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159CE163-3FD3-44D8-8354-B4B5C2A9DFA4}"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Sheet1!$A$1:$AK$384</definedName>
    <definedName name="_Hlk1048507" localSheetId="0">Sheet1!$I$383</definedName>
    <definedName name="_Hlk511228962">Sheet1!#REF!</definedName>
    <definedName name="_Hlk511229340">Sheet1!#REF!</definedName>
    <definedName name="_Hlk516490095" localSheetId="0">Sheet1!$I$346</definedName>
    <definedName name="_Hlk526934001" localSheetId="0">Sheet1!$G$89</definedName>
    <definedName name="_xlnm.Print_Area" localSheetId="0">Sheet1!$A$1:$AK$384</definedName>
    <definedName name="Z_0585DD1B_89D4_4278_953B_FA6D57DCCE82_.wvu.FilterData" localSheetId="0" hidden="1">Sheet1!$A$4:$AK$384</definedName>
    <definedName name="Z_0781B6C2_B440_4971_9809_BD16245A70FD_.wvu.FilterData" localSheetId="0" hidden="1">Sheet1!$A$1:$AK$384</definedName>
    <definedName name="Z_0781B6C2_B440_4971_9809_BD16245A70FD_.wvu.PrintArea" localSheetId="0" hidden="1">Sheet1!$A$1:$AK$384</definedName>
    <definedName name="Z_0A043D96_6DF8_4E40_9D1E_818A39BAFD81_.wvu.FilterData" localSheetId="0" hidden="1">Sheet1!$A$4:$AK$384</definedName>
    <definedName name="Z_0D4E932E_8E85_4001_9304_AAB4DBAD8A65_.wvu.FilterData" localSheetId="0" hidden="1">Sheet1!$A$4:$AK$362</definedName>
    <definedName name="Z_122B486E_8EE5_41FD_B958_74B116FA5D23_.wvu.FilterData" localSheetId="0" hidden="1">Sheet1!$A$1:$AK$362</definedName>
    <definedName name="Z_1278E668_633E_4AB5_BA11_904BA4B2301D_.wvu.FilterData" localSheetId="0" hidden="1">Sheet1!$A$1:$AK$362</definedName>
    <definedName name="Z_15F03B40_FCDD_463A_AE42_63F6121ACBED_.wvu.FilterData" localSheetId="0" hidden="1">Sheet1!$C$1:$C$384</definedName>
    <definedName name="Z_17F4A6A1_469E_46FB_A3A0_041FC3712E3B_.wvu.FilterData" localSheetId="0" hidden="1">Sheet1!$A$4:$AK$384</definedName>
    <definedName name="Z_19FC3531_0DA5_4817_A3AD_017115B33D3C_.wvu.FilterData" localSheetId="0" hidden="1">Sheet1!#REF!</definedName>
    <definedName name="Z_22D79F88_81A2_49FE_923A_13405540BBB2_.wvu.FilterData" localSheetId="0" hidden="1">Sheet1!$A$4:$AK$362</definedName>
    <definedName name="Z_2355B1FA_E7E3_44CD_A529_24812589AA28_.wvu.FilterData" localSheetId="0" hidden="1">Sheet1!$A$4:$AK$384</definedName>
    <definedName name="Z_250231BB_5F02_4B46_B1CA_B904A9B40BA2_.wvu.FilterData" localSheetId="0" hidden="1">Sheet1!$A$3:$AK$384</definedName>
    <definedName name="Z_25084D9D_9C92_4823_A653_D1AEC60737AD_.wvu.FilterData" localSheetId="0" hidden="1">Sheet1!$A$4:$AK$362</definedName>
    <definedName name="Z_2547C3D7_22F7_4CAF_8E48_C8F3425DB942_.wvu.FilterData" localSheetId="0" hidden="1">Sheet1!$A$4:$AK$384</definedName>
    <definedName name="Z_280C391A_EEDA_43A4_BCD2_EE017A1C1AE2_.wvu.FilterData" localSheetId="0" hidden="1">Sheet1!$A$4:$AK$384</definedName>
    <definedName name="Z_297CB86E_F816_4839_BE0B_A075145D0E50_.wvu.FilterData" localSheetId="0" hidden="1">Sheet1!$A$1:$AK$362</definedName>
    <definedName name="Z_2A26C971_CCE6_49C7_89EC_0B2699E5DD98_.wvu.FilterData" localSheetId="0" hidden="1">Sheet1!$A$4:$AK$384</definedName>
    <definedName name="Z_2A657C48_B241_4C19_9A74_98ECFC665F2A_.wvu.FilterData" localSheetId="0" hidden="1">Sheet1!$A$5:$AK$384</definedName>
    <definedName name="Z_2C296388_EDB5_4F1F_B0F4_90EC07CCD947_.wvu.FilterData" localSheetId="0" hidden="1">Sheet1!$A$1:$AK$384</definedName>
    <definedName name="Z_2C296388_EDB5_4F1F_B0F4_90EC07CCD947_.wvu.PrintArea" localSheetId="0" hidden="1">Sheet1!$A$1:$AK$384</definedName>
    <definedName name="Z_2E491347_3C24_4F24_80DE_5DC574AA2438_.wvu.FilterData" localSheetId="0" hidden="1">Sheet1!$A$4:$AK$384</definedName>
    <definedName name="Z_305BEEB9_C99E_4E52_A4AB_56EA1595A366_.wvu.FilterData" localSheetId="0" hidden="1">Sheet1!$A$4:$AK$384</definedName>
    <definedName name="Z_31567BC0_5366_4F93_AE32_123F006BC234_.wvu.FilterData" localSheetId="0" hidden="1">Sheet1!$A$4:$AK$384</definedName>
    <definedName name="Z_324E461A_DC75_4814_87BA_41F170D0ED0B_.wvu.FilterData" localSheetId="0" hidden="1">Sheet1!$A$4:$AK$384</definedName>
    <definedName name="Z_340EDCDE_FAE5_4319_AEAD_F8264DCA5D27_.wvu.FilterData" localSheetId="0" hidden="1">Sheet1!$A$5:$AK$384</definedName>
    <definedName name="Z_34BB42D3_88F0_437E_91ED_3E3C369B9525_.wvu.FilterData" localSheetId="0" hidden="1">Sheet1!$A$4:$AK$384</definedName>
    <definedName name="Z_36624B2D_80F9_4F79_AC4A_B3547C36F23F_.wvu.FilterData" localSheetId="0" hidden="1">Sheet1!$A$1:$AK$384</definedName>
    <definedName name="Z_36624B2D_80F9_4F79_AC4A_B3547C36F23F_.wvu.PrintArea" localSheetId="0" hidden="1">Sheet1!$A$1:$AK$384</definedName>
    <definedName name="Z_377DA8E3_6D61_4CAB_8EDD_2C41FF81A19E_.wvu.FilterData" localSheetId="0" hidden="1">Sheet1!$A$4:$AK$384</definedName>
    <definedName name="Z_38C68E87_361F_434A_8BE4_BA2AF4CB3868_.wvu.FilterData" localSheetId="0" hidden="1">Sheet1!$A$4:$AK$384</definedName>
    <definedName name="Z_3A00607E_664E_4ED3_AB65_1F25AC8DBC86_.wvu.FilterData" localSheetId="0" hidden="1">Sheet1!$C$1:$C$384</definedName>
    <definedName name="Z_3AFE79CE_CE75_447D_8C73_1AE63A224CBA_.wvu.FilterData" localSheetId="0" hidden="1">Sheet1!$A$4:$AK$384</definedName>
    <definedName name="Z_3AFE79CE_CE75_447D_8C73_1AE63A224CBA_.wvu.PrintArea" localSheetId="0" hidden="1">Sheet1!$A$1:$AK$384</definedName>
    <definedName name="Z_3E15816F_2EBF_42BD_89BB_84C7827E4C28_.wvu.FilterData" localSheetId="0" hidden="1">Sheet1!$A$4:$AK$384</definedName>
    <definedName name="Z_3E7AD119_0031_4735_857B_FBC0C47AB231_.wvu.FilterData" localSheetId="0" hidden="1">Sheet1!$A$4:$AK$384</definedName>
    <definedName name="Z_3F70E84F_60E2_4042_91AA_EFB3B23DDDDF_.wvu.FilterData" localSheetId="0" hidden="1">Sheet1!$A$1:$AK$362</definedName>
    <definedName name="Z_4179C3D9_D1C3_46CD_B643_627525757C5E_.wvu.FilterData" localSheetId="0" hidden="1">Sheet1!$A$1:$AK$271</definedName>
    <definedName name="Z_417D6CD8_690F_495B_A03E_2A89D52B6CE8_.wvu.FilterData" localSheetId="0" hidden="1">Sheet1!$A$4:$AK$384</definedName>
    <definedName name="Z_41AA4E5D_9625_4478_B720_2BD6AE34E699_.wvu.FilterData" localSheetId="0" hidden="1">Sheet1!$A$4:$AK$384</definedName>
    <definedName name="Z_471339A8_E0FA_4CA1_8194_04936068CF02_.wvu.FilterData" localSheetId="0" hidden="1">Sheet1!$A$1:$AK$384</definedName>
    <definedName name="Z_497C7126_2491_461C_AFC3_03C2E163F15C_.wvu.FilterData" localSheetId="0" hidden="1">Sheet1!$A$4:$AK$362</definedName>
    <definedName name="Z_4AAB8139_F2B6_43E5_8C9F_E607BD4F44E4_.wvu.FilterData" localSheetId="0" hidden="1">Sheet1!$A$1:$AK$362</definedName>
    <definedName name="Z_4C2A0B30_0070_415E_A110_A9BCC2779710_.wvu.FilterData" localSheetId="0" hidden="1">Sheet1!$C$1:$C$384</definedName>
    <definedName name="Z_4FDB167B_D56E_45D4_B120_847D0871AA6B_.wvu.FilterData" localSheetId="0" hidden="1">Sheet1!$A$4:$AK$384</definedName>
    <definedName name="Z_529F67B3_DE0D_4FDC_BFEA_8F16107265EB_.wvu.FilterData" localSheetId="0" hidden="1">Sheet1!$A$4:$AK$384</definedName>
    <definedName name="Z_53ED3D47_B2C0_43A1_9A1E_F030D529F74C_.wvu.FilterData" localSheetId="0" hidden="1">Sheet1!$A$4:$AK$384</definedName>
    <definedName name="Z_53ED3D47_B2C0_43A1_9A1E_F030D529F74C_.wvu.PrintArea" localSheetId="0" hidden="1">Sheet1!$A$1:$AK$384</definedName>
    <definedName name="Z_5789AB6A_B04B_4240_920E_89274E9F5C82_.wvu.FilterData" localSheetId="0" hidden="1">Sheet1!$A$4:$AK$275</definedName>
    <definedName name="Z_59EBF1CB_AF85_469A_B1D0_E57CB0203158_.wvu.FilterData" localSheetId="0" hidden="1">Sheet1!$C$1:$C$384</definedName>
    <definedName name="Z_5A66C3D0_FC57_4AA7_B0C6_C5E9A7DE2A79_.wvu.FilterData" localSheetId="0" hidden="1">Sheet1!$A$4:$AK$384</definedName>
    <definedName name="Z_5AAA4DFE_88B1_4674_95ED_5FCD7A50BC22_.wvu.FilterData" localSheetId="0" hidden="1">Sheet1!$A$1:$AK$384</definedName>
    <definedName name="Z_5AAA4DFE_88B1_4674_95ED_5FCD7A50BC22_.wvu.PrintArea" localSheetId="0" hidden="1">Sheet1!$A$1:$AK$384</definedName>
    <definedName name="Z_5E661ABE_E06E_455E_A661_DDD1907219D0_.wvu.FilterData" localSheetId="0" hidden="1">Sheet1!$A$1:$AK$362</definedName>
    <definedName name="Z_6408B19F_539D_4190_A77D_CCE77E163803_.wvu.FilterData" localSheetId="0" hidden="1">Sheet1!$A$1:$AK$362</definedName>
    <definedName name="Z_65B035E3_87FA_46C5_996E_864F2C8D0EBC_.wvu.Cols" localSheetId="0" hidden="1">Sheet1!$H:$N</definedName>
    <definedName name="Z_65B035E3_87FA_46C5_996E_864F2C8D0EBC_.wvu.FilterData" localSheetId="0" hidden="1">Sheet1!$A$4:$AK$384</definedName>
    <definedName name="Z_65B035E3_87FA_46C5_996E_864F2C8D0EBC_.wvu.PrintArea" localSheetId="0" hidden="1">Sheet1!$A$1:$AK$384</definedName>
    <definedName name="Z_65C35D6D_934F_4431_BA92_90255FC17BA4_.wvu.FilterData" localSheetId="0" hidden="1">Sheet1!$A$1:$AK$66</definedName>
    <definedName name="Z_65C35D6D_934F_4431_BA92_90255FC17BA4_.wvu.PrintArea" localSheetId="0" hidden="1">Sheet1!$A$1:$AK$384</definedName>
    <definedName name="Z_6B2EC822_DCDB_4711_A946_1038FC40FACE_.wvu.FilterData" localSheetId="0" hidden="1">Sheet1!$A$1:$AK$362</definedName>
    <definedName name="Z_6C96816B_17C2_4EA9_846E_8E6B5AD26B6D_.wvu.FilterData" localSheetId="0" hidden="1">Sheet1!#REF!</definedName>
    <definedName name="Z_6CE52079_5576_45A5_9A9F_9CA970D849EF_.wvu.FilterData" localSheetId="0" hidden="1">Sheet1!$A$4:$AK$384</definedName>
    <definedName name="Z_747340EB_2B31_46D2_ACDE_4FA91E2B50F6_.wvu.FilterData" localSheetId="0" hidden="1">Sheet1!$A$1:$AK$384</definedName>
    <definedName name="Z_747340EB_2B31_46D2_ACDE_4FA91E2B50F6_.wvu.PrintArea" localSheetId="0" hidden="1">Sheet1!$A$1:$AK$384</definedName>
    <definedName name="Z_7A12EF56_0E17_493A_8E1E_6DFC6553C116_.wvu.FilterData" localSheetId="0" hidden="1">Sheet1!$A$4:$AK$362</definedName>
    <definedName name="Z_7C1B4D6D_D666_48DD_AB17_E00791B6F0B6_.wvu.FilterData" localSheetId="0" hidden="1">Sheet1!$A$4:$AK$384</definedName>
    <definedName name="Z_7C1B4D6D_D666_48DD_AB17_E00791B6F0B6_.wvu.PrintArea" localSheetId="0" hidden="1">Sheet1!$A$1:$AK$384</definedName>
    <definedName name="Z_7C389A6C_C379_45EF_8779_FEC15F27C7E7_.wvu.FilterData" localSheetId="0" hidden="1">Sheet1!$C$1:$C$384</definedName>
    <definedName name="Z_7D2F4374_D571_49E4_B659_129D2AFDC43C_.wvu.FilterData" localSheetId="0" hidden="1">Sheet1!$A$4:$AK$384</definedName>
    <definedName name="Z_83085181_C77C_4D05_8C8A_9B8FFC5A1DD7_.wvu.FilterData" localSheetId="0" hidden="1">Sheet1!$A$4:$AK$384</definedName>
    <definedName name="Z_831F7439_6937_483F_B601_184FEF5CECFD_.wvu.FilterData" localSheetId="0" hidden="1">Sheet1!$A$4:$AK$384</definedName>
    <definedName name="Z_84FB199A_D56E_4FDD_AC4A_70CE86CD87BC_.wvu.FilterData" localSheetId="0" hidden="1">Sheet1!$A$1:$AK$384</definedName>
    <definedName name="Z_84FB199A_D56E_4FDD_AC4A_70CE86CD87BC_.wvu.PrintArea" localSheetId="0" hidden="1">Sheet1!$A$1:$AK$384</definedName>
    <definedName name="Z_87F9ACD0_3200_450C_B310_DAAD5FC85307_.wvu.FilterData" localSheetId="0" hidden="1">Sheet1!$A$4:$AK$384</definedName>
    <definedName name="Z_89EE8E7D_C811_4C16_975A_830983580DAD_.wvu.FilterData" localSheetId="0" hidden="1">Sheet1!$A$4:$AK$384</definedName>
    <definedName name="Z_89F20599_320E_4C2A_9159_8E9F2F24F61C_.wvu.FilterData" localSheetId="0" hidden="1">Sheet1!$A$4:$AK$384</definedName>
    <definedName name="Z_8AA945B4_D724_4D85_9940_66A1F18CFF54_.wvu.FilterData" localSheetId="0" hidden="1">Sheet1!$A$1:$AK$384</definedName>
    <definedName name="Z_8EDB8BF9_8BBB_4EEE_B4F0_C5928D0746DD_.wvu.FilterData" localSheetId="0" hidden="1">Sheet1!$A$1:$AK$384</definedName>
    <definedName name="Z_901F9774_8BE7_424D_87C2_1026F3FA2E93_.wvu.FilterData" localSheetId="0" hidden="1">Sheet1!$C$1:$C$384</definedName>
    <definedName name="Z_901F9774_8BE7_424D_87C2_1026F3FA2E93_.wvu.PrintArea" localSheetId="0" hidden="1">Sheet1!$A$1:$AK$384</definedName>
    <definedName name="Z_902D3CAF_0577_4A3F_A86A_C01FD8CA4695_.wvu.FilterData" localSheetId="0" hidden="1">Sheet1!$A$4:$AK$384</definedName>
    <definedName name="Z_9048650B_365B_48D5_8FC2_A911C6E66865_.wvu.FilterData" localSheetId="0" hidden="1">Sheet1!$A$1:$AK$384</definedName>
    <definedName name="Z_905D93EA_5662_45AB_8995_A9908B3E5D52_.wvu.FilterData" localSheetId="0" hidden="1">Sheet1!$B$1:$B$384</definedName>
    <definedName name="Z_905D93EA_5662_45AB_8995_A9908B3E5D52_.wvu.PrintArea" localSheetId="0" hidden="1">Sheet1!$A$1:$AK$384</definedName>
    <definedName name="Z_90D527B8_FE15_48EB_8A8E_6DB0EBF25D81_.wvu.FilterData" localSheetId="0" hidden="1">Sheet1!$A$1:$AK$384</definedName>
    <definedName name="Z_91199DA1_59E7_4345_8CB7_A1085C901326_.wvu.FilterData" localSheetId="0" hidden="1">Sheet1!$A$4:$AK$384</definedName>
    <definedName name="Z_91251A9B_6CF6_49E6_857D_BA6C728D7C53_.wvu.FilterData" localSheetId="0" hidden="1">Sheet1!$A$1:$AK$362</definedName>
    <definedName name="Z_923E7374_9C36_4380_9E0A_313EA2F408F0_.wvu.FilterData" localSheetId="0" hidden="1">Sheet1!$A$4:$AK$384</definedName>
    <definedName name="Z_9552AAE6_9279_4387_9199_64D0E8A50A87_.wvu.FilterData" localSheetId="0" hidden="1">Sheet1!$A$4:$AK$384</definedName>
    <definedName name="Z_97F6C5A1_2596_4037_A854_1D6AE8A1071E_.wvu.FilterData" localSheetId="0" hidden="1">Sheet1!$A$4:$AK$384</definedName>
    <definedName name="Z_9980B309_0131_4577_BF29_212714399FDF_.wvu.FilterData" localSheetId="0" hidden="1">Sheet1!$A$1:$AK$384</definedName>
    <definedName name="Z_9980B309_0131_4577_BF29_212714399FDF_.wvu.PrintArea" localSheetId="0" hidden="1">Sheet1!$A$1:$AK$384</definedName>
    <definedName name="Z_9DE067B2_E801_456D_B5D0_CD5646CA5948_.wvu.FilterData" localSheetId="0" hidden="1">Sheet1!$A$1:$AK$362</definedName>
    <definedName name="Z_9EA5E3FA_46F1_4729_828C_4A08518018C1_.wvu.FilterData" localSheetId="0" hidden="1">Sheet1!$A$1:$AK$362</definedName>
    <definedName name="Z_9EA5E3FA_46F1_4729_828C_4A08518018C1_.wvu.PrintArea" localSheetId="0" hidden="1">Sheet1!$A$1:$AK$384</definedName>
    <definedName name="Z_9F268523_731B_48FE_86AA_1A6382332A83_.wvu.FilterData" localSheetId="0" hidden="1">Sheet1!$A$4:$AK$384</definedName>
    <definedName name="Z_A093D1FA_1747_4946_A02E_7D721604BB07_.wvu.FilterData" localSheetId="0" hidden="1">Sheet1!$B$1:$B$384</definedName>
    <definedName name="Z_A3134A53_5204_4FFF_BA84_3528D3179C0C_.wvu.FilterData" localSheetId="0" hidden="1">Sheet1!$A$3:$AK$271</definedName>
    <definedName name="Z_A5B1481C_EF26_486A_984F_85CDDC2FD94F_.wvu.FilterData" localSheetId="0" hidden="1">Sheet1!$A$4:$AK$384</definedName>
    <definedName name="Z_A5B1481C_EF26_486A_984F_85CDDC2FD94F_.wvu.PrintArea" localSheetId="0" hidden="1">Sheet1!$A$1:$AK$384</definedName>
    <definedName name="Z_A5EFE636_E984_4BB3_BEFD_877FE7A4960F_.wvu.FilterData" localSheetId="0" hidden="1">Sheet1!$A$4:$AK$384</definedName>
    <definedName name="Z_A87F3E0E_3A8E_4B82_8170_33752259B7DB_.wvu.FilterData" localSheetId="0" hidden="1">Sheet1!$A$4:$AK$384</definedName>
    <definedName name="Z_A87F3E0E_3A8E_4B82_8170_33752259B7DB_.wvu.PrintArea" localSheetId="0" hidden="1">Sheet1!$A$1:$AK$384</definedName>
    <definedName name="Z_A9B3B58E_F12B_4916_890B_7D88AA745B81_.wvu.FilterData" localSheetId="0" hidden="1">Sheet1!$A$1:$AK$384</definedName>
    <definedName name="Z_AD1D8E66_18A9_4CB7_BBE4_02F7E757257F_.wvu.FilterData" localSheetId="0" hidden="1">Sheet1!$A$1:$AK$384</definedName>
    <definedName name="Z_AE58BCBC_9F06_4E6C_A28B_2F5626DD7C1B_.wvu.FilterData" localSheetId="0" hidden="1">Sheet1!$A$4:$AK$384</definedName>
    <definedName name="Z_AE8F3F1B_FDCB_45A5_9CC8_53B4E3A0445E_.wvu.FilterData" localSheetId="0" hidden="1">Sheet1!$A$1:$AK$362</definedName>
    <definedName name="Z_AECBC9F6_D9DE_4043_9C2F_160F7ECDAD3D_.wvu.FilterData" localSheetId="0" hidden="1">Sheet1!$A$4:$AK$384</definedName>
    <definedName name="Z_B31B819C_CFEB_4B80_9AED_AC603C39BE78_.wvu.FilterData" localSheetId="0" hidden="1">Sheet1!$A$4:$AK$384</definedName>
    <definedName name="Z_B407928D_3938_4D05_B2B2_40B4F21D0436_.wvu.FilterData" localSheetId="0" hidden="1">Sheet1!$A$4:$AK$4</definedName>
    <definedName name="Z_B5BED753_4D8C_498E_8AE1_A08F7C0956F7_.wvu.FilterData" localSheetId="0" hidden="1">Sheet1!$A$5:$AK$384</definedName>
    <definedName name="Z_BB5C630D_1317_4843_984F_E431986514A4_.wvu.FilterData" localSheetId="0" hidden="1">Sheet1!$A$4:$AK$384</definedName>
    <definedName name="Z_BBF2EF6C_D4AD_46E1_803F_582F4D45F852_.wvu.FilterData" localSheetId="0" hidden="1">Sheet1!$A$1:$AK$384</definedName>
    <definedName name="Z_BDA3804A_96FA_4D9F_AFED_695788A754E9_.wvu.FilterData" localSheetId="0" hidden="1">Sheet1!$A$4:$AK$275</definedName>
    <definedName name="Z_C3502361_AD2C_4705_878B_D12169ED60B1_.wvu.FilterData" localSheetId="0" hidden="1">Sheet1!$A$4:$AK$384</definedName>
    <definedName name="Z_C3502361_AD2C_4705_878B_D12169ED60B1_.wvu.PrintArea" localSheetId="0" hidden="1">Sheet1!$A$1:$AK$384</definedName>
    <definedName name="Z_C408A2F1_296F_4EAD_B15B_336D73846FDD_.wvu.FilterData" localSheetId="0" hidden="1">Sheet1!$A$1:$AK$66</definedName>
    <definedName name="Z_C408A2F1_296F_4EAD_B15B_336D73846FDD_.wvu.PrintArea" localSheetId="0" hidden="1">Sheet1!$A$1:$AK$384</definedName>
    <definedName name="Z_C4E44235_F714_4BCE_B2B0_F4813D3BDF91_.wvu.FilterData" localSheetId="0" hidden="1">Sheet1!$A$4:$AK$384</definedName>
    <definedName name="Z_C71F80D5_B6C1_4ED9_B18D_D719D69F5A47_.wvu.FilterData" localSheetId="0" hidden="1">Sheet1!$A$4:$AK$384</definedName>
    <definedName name="Z_C90ECED7_D145_417E_BB55_4FC7FD4BF46C_.wvu.FilterData" localSheetId="0" hidden="1">Sheet1!$A$1:$AK$362</definedName>
    <definedName name="Z_CAB79FAE_AA32_4D62_A794_A6DB6513D801_.wvu.FilterData" localSheetId="0" hidden="1">Sheet1!$A$4:$AK$384</definedName>
    <definedName name="Z_CC51448C_22F6_4583_82CD_2835AD1A82D7_.wvu.FilterData" localSheetId="0" hidden="1">Sheet1!$A$1:$AK$271</definedName>
    <definedName name="Z_CEFAC6F5_4048_4FB5_8E88_A602B5B48691_.wvu.FilterData" localSheetId="0" hidden="1">Sheet1!$A$1:$AK$66</definedName>
    <definedName name="Z_D1981FDB_7063_4FCF_8DD5_A549E616E6FF_.wvu.FilterData" localSheetId="0" hidden="1">Sheet1!$A$5:$AK$384</definedName>
    <definedName name="Z_D365E121_F95E_415A_8CA0_9EA7ECCC60F5_.wvu.FilterData" localSheetId="0" hidden="1">Sheet1!$A$4:$AK$384</definedName>
    <definedName name="Z_D56F5ED6_74F2_4AA3_9A98_EE5750FE63AF_.wvu.FilterData" localSheetId="0" hidden="1">Sheet1!$A$4:$AK$384</definedName>
    <definedName name="Z_D802EE0F_98B9_4410_B31B_4ACC0EC9C9BC_.wvu.FilterData" localSheetId="0" hidden="1">Sheet1!$A$4:$AK$384</definedName>
    <definedName name="Z_DAD27C7B_8B8A_46CB_98B5_59B1D1EFC319_.wvu.FilterData" localSheetId="0" hidden="1">Sheet1!$A$5:$AK$384</definedName>
    <definedName name="Z_DB41C7D7_14F0_4834_A7BD_0F1115A89C8E_.wvu.FilterData" localSheetId="0" hidden="1">Sheet1!$A$4:$AK$384</definedName>
    <definedName name="Z_DB43929D_F4B7_43FF_975F_960476D189E8_.wvu.FilterData" localSheetId="0" hidden="1">Sheet1!$A$4:$AK$384</definedName>
    <definedName name="Z_DB51BB9F_5710_40B0_80E7_39B059BFD11D_.wvu.FilterData" localSheetId="0" hidden="1">Sheet1!$A$1:$AK$384</definedName>
    <definedName name="Z_DB51BB9F_5710_40B0_80E7_39B059BFD11D_.wvu.PrintArea" localSheetId="0" hidden="1">Sheet1!$A$1:$AK$384</definedName>
    <definedName name="Z_DD93CA86_AFD6_4C47_828D_70472BFCD288_.wvu.FilterData" localSheetId="0" hidden="1">Sheet1!$A$4:$AK$384</definedName>
    <definedName name="Z_DE09B69C_7EEF_4060_8E06_F7DEC4B96D7E_.wvu.FilterData" localSheetId="0" hidden="1">Sheet1!$A$4:$AK$384</definedName>
    <definedName name="Z_E53ADB69_E454_408C_8AAF_7FDA9FEDF6D0_.wvu.FilterData" localSheetId="0" hidden="1">Sheet1!$A$5:$AK$384</definedName>
    <definedName name="Z_E64C6006_DE37_44CA_8083_01C511E323D9_.wvu.FilterData" localSheetId="0" hidden="1">Sheet1!$A$3:$AK$271</definedName>
    <definedName name="Z_E875C76B_3648_4C9A_A6B2_C3654837AAAC_.wvu.FilterData" localSheetId="0" hidden="1">Sheet1!$A$5:$AK$384</definedName>
    <definedName name="Z_EA64E7D7_BA48_4965_B650_778AE412FE0C_.wvu.FilterData" localSheetId="0" hidden="1">Sheet1!$A$1:$AK$384</definedName>
    <definedName name="Z_EA64E7D7_BA48_4965_B650_778AE412FE0C_.wvu.PrintArea" localSheetId="0" hidden="1">Sheet1!$A$1:$AK$384</definedName>
    <definedName name="Z_EB0F2E6A_FA33_479E_9A47_8E3494FBB4DE_.wvu.FilterData" localSheetId="0" hidden="1">Sheet1!$A$4:$AK$384</definedName>
    <definedName name="Z_EB0F2E6A_FA33_479E_9A47_8E3494FBB4DE_.wvu.PrintArea" localSheetId="0" hidden="1">Sheet1!$A$1:$AK$384</definedName>
    <definedName name="Z_EEA37434_2D22_478B_B49F_C3E8CD4AC2E1_.wvu.FilterData" localSheetId="0" hidden="1">Sheet1!$A$4:$AK$384</definedName>
    <definedName name="Z_EEA37434_2D22_478B_B49F_C3E8CD4AC2E1_.wvu.PrintArea" localSheetId="0" hidden="1">Sheet1!$A$1:$AK$384</definedName>
    <definedName name="Z_EF10298D_3F59_43F1_9A86_8C1CCA3B5D93_.wvu.FilterData" localSheetId="0" hidden="1">Sheet1!$A$4:$AK$384</definedName>
    <definedName name="Z_EF10298D_3F59_43F1_9A86_8C1CCA3B5D93_.wvu.PrintArea" localSheetId="0" hidden="1">Sheet1!$A$1:$AK$384</definedName>
    <definedName name="Z_EFE45138_A2B3_46EB_8A69_D9745D73FBF5_.wvu.FilterData" localSheetId="0" hidden="1">Sheet1!$A$4:$AK$384</definedName>
    <definedName name="Z_F52D90D4_508D_43B6_8295_6D179E5F0FEB_.wvu.FilterData" localSheetId="0" hidden="1">Sheet1!$A$4:$AK$384</definedName>
    <definedName name="Z_F952A18B_3430_4F65_89F2_B7C17998F981_.wvu.FilterData" localSheetId="0" hidden="1">Sheet1!$A$4:$AK$384</definedName>
    <definedName name="Z_FE50EAC0_52A5_4C33_B973_65E93D03D3EA_.wvu.FilterData" localSheetId="0" hidden="1">Sheet1!$A$1:$AK$384</definedName>
    <definedName name="Z_FE50EAC0_52A5_4C33_B973_65E93D03D3EA_.wvu.PrintArea" localSheetId="0" hidden="1">Sheet1!$A$1:$AK$384</definedName>
    <definedName name="Z_FFC44E67_8559_4D31_893D_BF5BA4229E04_.wvu.FilterData" localSheetId="0" hidden="1">Sheet1!$A$1:$AK$362</definedName>
  </definedNames>
  <calcPr calcId="181029"/>
  <customWorkbookViews>
    <customWorkbookView name="vlad.pereteanu - Personal View" guid="{5AAA4DFE-88B1-4674-95ED-5FCD7A50BC22}" mergeInterval="0" personalView="1" maximized="1" xWindow="-8"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mihaela.nicolae - Personal View" guid="{EF10298D-3F59-43F1-9A86-8C1CCA3B5D93}" mergeInterval="0" personalView="1" maximized="1" xWindow="-8"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daniela.voicu - Personal View" guid="{EA64E7D7-BA48-4965-B650-778AE412FE0C}" mergeInterval="0" personalView="1" xWindow="1922" yWindow="132" windowWidth="1898" windowHeight="804" tabRatio="154" activeSheetId="1"/>
    <customWorkbookView name="raluca.georgescu - Personal View" guid="{901F9774-8BE7-424D-87C2-1026F3FA2E93}" mergeInterval="0" personalView="1" maximized="1" xWindow="1912"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corina.pelmus - Personal View" guid="{EB0F2E6A-FA33-479E-9A47-8E3494FBB4DE}"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mihaela.vasilescu - Personal View" guid="{84FB199A-D56E-4FDD-AC4A-70CE86CD87BC}" mergeInterval="0" personalView="1" maximized="1" xWindow="1912"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90" i="1" l="1"/>
  <c r="AG6" i="1" l="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5" i="1"/>
  <c r="AE386" i="1" l="1"/>
  <c r="AJ250" i="1" l="1"/>
  <c r="AJ262" i="1"/>
  <c r="AK351" i="1"/>
  <c r="AJ351" i="1"/>
  <c r="AK360" i="1"/>
  <c r="AJ360" i="1"/>
  <c r="AK262" i="1"/>
  <c r="AJ279" i="1"/>
  <c r="AJ377" i="1"/>
  <c r="AJ282" i="1"/>
  <c r="AJ296" i="1" l="1"/>
  <c r="AJ358" i="1"/>
  <c r="AJ265" i="1"/>
  <c r="AJ324" i="1"/>
  <c r="AJ232" i="1"/>
  <c r="AJ215" i="1"/>
  <c r="AJ210" i="1"/>
  <c r="AJ209" i="1"/>
  <c r="AJ206" i="1"/>
  <c r="AJ202" i="1"/>
  <c r="AJ197" i="1" l="1"/>
  <c r="AJ7" i="1" l="1"/>
  <c r="AK138" i="1" l="1"/>
  <c r="AJ138" i="1"/>
  <c r="AK63" i="1"/>
  <c r="AJ63" i="1"/>
  <c r="AK10" i="1"/>
  <c r="AJ10" i="1"/>
  <c r="AK328" i="1"/>
  <c r="AJ328" i="1"/>
  <c r="AK7" i="1"/>
  <c r="AK32" i="1"/>
  <c r="AJ32" i="1"/>
  <c r="AJ135" i="1"/>
  <c r="AK135" i="1"/>
  <c r="AK103" i="1"/>
  <c r="AJ103" i="1"/>
  <c r="AK302" i="1"/>
  <c r="AJ302" i="1"/>
  <c r="AK6" i="1"/>
  <c r="AJ6" i="1"/>
  <c r="AK83" i="1"/>
  <c r="AJ83" i="1"/>
  <c r="AK71" i="1"/>
  <c r="AJ71" i="1"/>
  <c r="AK175" i="1"/>
  <c r="AJ175" i="1"/>
  <c r="AK244" i="1"/>
  <c r="AJ244" i="1"/>
  <c r="AK60" i="1"/>
  <c r="AJ60" i="1"/>
  <c r="AK67" i="1"/>
  <c r="AJ67" i="1"/>
  <c r="AK129" i="1"/>
  <c r="AJ129" i="1"/>
  <c r="AK29" i="1"/>
  <c r="AJ29" i="1"/>
  <c r="AK299" i="1"/>
  <c r="AK323" i="1"/>
  <c r="AJ323" i="1"/>
  <c r="AJ299" i="1"/>
  <c r="AJ146" i="1" l="1"/>
  <c r="AJ87" i="1"/>
  <c r="AJ171" i="1"/>
  <c r="AK154" i="1"/>
  <c r="AJ154" i="1"/>
  <c r="AK99" i="1"/>
  <c r="AJ99" i="1"/>
  <c r="AK57" i="1"/>
  <c r="AJ57" i="1"/>
  <c r="AK142" i="1"/>
  <c r="AJ142" i="1"/>
  <c r="AK77" i="1"/>
  <c r="AJ77" i="1"/>
  <c r="AJ240" i="1"/>
  <c r="Y54" i="1" l="1"/>
  <c r="V54" i="1"/>
  <c r="S54" i="1"/>
  <c r="AE54" i="1" l="1"/>
  <c r="AK346" i="1"/>
  <c r="AJ346" i="1"/>
  <c r="AK280" i="1"/>
  <c r="AJ280" i="1"/>
  <c r="AJ258" i="1"/>
  <c r="AK248" i="1"/>
  <c r="AJ248" i="1"/>
  <c r="AK288" i="1"/>
  <c r="AJ288" i="1"/>
  <c r="AK364" i="1"/>
  <c r="AJ364" i="1"/>
  <c r="AK359" i="1"/>
  <c r="AJ359" i="1"/>
  <c r="AK334" i="1"/>
  <c r="AJ334" i="1"/>
  <c r="AJ291" i="1"/>
  <c r="AK287" i="1"/>
  <c r="AJ287" i="1"/>
  <c r="AK293" i="1"/>
  <c r="AJ293" i="1"/>
  <c r="AK260" i="1"/>
  <c r="AJ260" i="1"/>
  <c r="AK251" i="1"/>
  <c r="AJ251" i="1"/>
  <c r="AK309" i="1"/>
  <c r="AJ309" i="1"/>
  <c r="AK345" i="1"/>
  <c r="AJ345" i="1"/>
  <c r="AJ295" i="1"/>
  <c r="AK319" i="1"/>
  <c r="AJ319" i="1"/>
  <c r="AK330" i="1"/>
  <c r="AJ330" i="1"/>
  <c r="AK281" i="1"/>
  <c r="AJ281" i="1"/>
  <c r="AJ335" i="1"/>
  <c r="AK275" i="1"/>
  <c r="AJ275" i="1"/>
  <c r="AK269" i="1"/>
  <c r="AJ269" i="1"/>
  <c r="AK256" i="1"/>
  <c r="AJ256" i="1"/>
  <c r="AK250" i="1"/>
  <c r="AK249" i="1"/>
  <c r="AJ249" i="1"/>
  <c r="AK303" i="1"/>
  <c r="AJ303" i="1"/>
  <c r="AK326" i="1"/>
  <c r="AJ326" i="1"/>
  <c r="AK366" i="1"/>
  <c r="AJ366" i="1"/>
  <c r="AK331" i="1"/>
  <c r="AJ331" i="1"/>
  <c r="AK315" i="1"/>
  <c r="AJ315" i="1"/>
  <c r="AK312" i="1"/>
  <c r="AJ312" i="1"/>
  <c r="AK355" i="1"/>
  <c r="AJ355" i="1"/>
  <c r="AK363" i="1"/>
  <c r="AJ363" i="1"/>
  <c r="AJ285" i="1"/>
  <c r="AK352" i="1"/>
  <c r="AJ352" i="1"/>
  <c r="M54" i="1" l="1"/>
  <c r="AK304" i="1"/>
  <c r="AJ304" i="1"/>
  <c r="AB111" i="1" l="1"/>
  <c r="Y111" i="1"/>
  <c r="V111" i="1"/>
  <c r="S111" i="1"/>
  <c r="AE111" i="1" l="1"/>
  <c r="M111" i="1" s="1"/>
  <c r="AB125" i="1"/>
  <c r="Y125" i="1"/>
  <c r="V125" i="1"/>
  <c r="S125" i="1"/>
  <c r="Y384" i="1" l="1"/>
  <c r="V384" i="1"/>
  <c r="S384" i="1"/>
  <c r="AE384" i="1" l="1"/>
  <c r="AB28" i="1"/>
  <c r="Y28" i="1"/>
  <c r="V28" i="1"/>
  <c r="S28" i="1"/>
  <c r="AE28" i="1" s="1"/>
  <c r="AB119" i="1"/>
  <c r="Y119" i="1"/>
  <c r="V119" i="1"/>
  <c r="S119" i="1"/>
  <c r="M384" i="1" l="1"/>
  <c r="AE119" i="1"/>
  <c r="M119" i="1" s="1"/>
  <c r="M28" i="1"/>
  <c r="AB148" i="1"/>
  <c r="Y148" i="1"/>
  <c r="V148" i="1"/>
  <c r="S148" i="1"/>
  <c r="AE148" i="1" l="1"/>
  <c r="AB74" i="1"/>
  <c r="Y74" i="1"/>
  <c r="V74" i="1"/>
  <c r="S74" i="1"/>
  <c r="M148" i="1" l="1"/>
  <c r="AE74" i="1"/>
  <c r="M74" i="1" s="1"/>
  <c r="E74" i="1"/>
  <c r="AB52" i="1" l="1"/>
  <c r="AB53" i="1"/>
  <c r="AB55" i="1"/>
  <c r="Y52" i="1"/>
  <c r="Y53" i="1"/>
  <c r="Y55" i="1"/>
  <c r="V52" i="1"/>
  <c r="V53" i="1"/>
  <c r="V55" i="1"/>
  <c r="S51" i="1"/>
  <c r="S52" i="1"/>
  <c r="S53" i="1"/>
  <c r="S55" i="1"/>
  <c r="AE55" i="1" l="1"/>
  <c r="AE53" i="1"/>
  <c r="AE52" i="1"/>
  <c r="AB75" i="1"/>
  <c r="Y75" i="1"/>
  <c r="V75" i="1"/>
  <c r="S75" i="1"/>
  <c r="N75" i="1"/>
  <c r="P75" i="1"/>
  <c r="Q75" i="1"/>
  <c r="R75" i="1"/>
  <c r="E75" i="1"/>
  <c r="M55" i="1" l="1"/>
  <c r="M53" i="1"/>
  <c r="M52" i="1"/>
  <c r="AE75" i="1"/>
  <c r="AB118" i="1"/>
  <c r="Y118" i="1"/>
  <c r="V118" i="1"/>
  <c r="S118" i="1"/>
  <c r="M75" i="1" l="1"/>
  <c r="AE118" i="1"/>
  <c r="M118" i="1" s="1"/>
  <c r="AB15" i="1"/>
  <c r="Y15" i="1"/>
  <c r="V15" i="1"/>
  <c r="S15" i="1"/>
  <c r="AE15" i="1" l="1"/>
  <c r="Y162" i="1"/>
  <c r="AB162" i="1"/>
  <c r="V162" i="1"/>
  <c r="S162" i="1"/>
  <c r="M15" i="1" l="1"/>
  <c r="AE162" i="1"/>
  <c r="AB126" i="1"/>
  <c r="S35" i="1"/>
  <c r="V35" i="1"/>
  <c r="Y35" i="1"/>
  <c r="Y126" i="1"/>
  <c r="V126" i="1"/>
  <c r="S126" i="1"/>
  <c r="AE126" i="1" l="1"/>
  <c r="AE125" i="1"/>
  <c r="M162" i="1"/>
  <c r="AE35" i="1"/>
  <c r="AB161" i="1"/>
  <c r="Y161" i="1"/>
  <c r="V161" i="1"/>
  <c r="S161" i="1"/>
  <c r="S117" i="1"/>
  <c r="V117" i="1"/>
  <c r="Y117" i="1"/>
  <c r="AB117" i="1"/>
  <c r="M125" i="1" l="1"/>
  <c r="M126" i="1"/>
  <c r="AE161" i="1"/>
  <c r="M161" i="1" s="1"/>
  <c r="AE117" i="1"/>
  <c r="AB24" i="1"/>
  <c r="Y24" i="1"/>
  <c r="V24" i="1"/>
  <c r="S24" i="1"/>
  <c r="M117" i="1" l="1"/>
  <c r="AE24" i="1"/>
  <c r="M24" i="1" l="1"/>
  <c r="AB91" i="1" l="1"/>
  <c r="Y91" i="1"/>
  <c r="V91" i="1"/>
  <c r="S91" i="1"/>
  <c r="AE91" i="1" l="1"/>
  <c r="M91" i="1" s="1"/>
  <c r="S354" i="1"/>
  <c r="AB124" i="1"/>
  <c r="Y124" i="1"/>
  <c r="V124" i="1"/>
  <c r="S124" i="1"/>
  <c r="AE124" i="1" l="1"/>
  <c r="Y98" i="1"/>
  <c r="V98" i="1"/>
  <c r="S98" i="1"/>
  <c r="AB66" i="1" l="1"/>
  <c r="Y66" i="1"/>
  <c r="V66" i="1"/>
  <c r="S66" i="1"/>
  <c r="AE66" i="1" l="1"/>
  <c r="N66" i="1"/>
  <c r="O66" i="1"/>
  <c r="E66" i="1"/>
  <c r="F66" i="1"/>
  <c r="M66" i="1" l="1"/>
  <c r="Y90" i="1"/>
  <c r="V90" i="1"/>
  <c r="S90" i="1"/>
  <c r="AE90" i="1" l="1"/>
  <c r="AJ321" i="1"/>
  <c r="M90" i="1" l="1"/>
  <c r="AK356" i="1"/>
  <c r="AJ356" i="1"/>
  <c r="AJ163" i="1"/>
  <c r="AJ373" i="1"/>
  <c r="AJ278" i="1"/>
  <c r="AJ267" i="1"/>
  <c r="AJ322" i="1"/>
  <c r="AJ238" i="1"/>
  <c r="AJ237" i="1"/>
  <c r="AJ272" i="1"/>
  <c r="AJ224" i="1"/>
  <c r="AJ233" i="1"/>
  <c r="AJ213" i="1"/>
  <c r="AJ207" i="1"/>
  <c r="AK200" i="1"/>
  <c r="AJ200" i="1"/>
  <c r="AK84" i="1"/>
  <c r="AJ84" i="1"/>
  <c r="AK167" i="1"/>
  <c r="AJ167" i="1"/>
  <c r="AK155" i="1"/>
  <c r="AJ155" i="1"/>
  <c r="AK145" i="1"/>
  <c r="AJ145" i="1"/>
  <c r="AK25" i="1"/>
  <c r="AJ25" i="1"/>
  <c r="AK22" i="1"/>
  <c r="AJ22" i="1"/>
  <c r="AK332" i="1"/>
  <c r="AJ332" i="1"/>
  <c r="AK5" i="1"/>
  <c r="AJ5" i="1"/>
  <c r="AK159" i="1"/>
  <c r="AJ159" i="1"/>
  <c r="AJ139" i="1"/>
  <c r="AJ243" i="1"/>
  <c r="AJ36" i="1"/>
  <c r="AK20" i="1"/>
  <c r="AJ20" i="1"/>
  <c r="AK141" i="1"/>
  <c r="AJ141" i="1"/>
  <c r="AJ112" i="1"/>
  <c r="AK120" i="1"/>
  <c r="AJ120" i="1"/>
  <c r="AK307" i="1"/>
  <c r="AJ307" i="1"/>
  <c r="AK337" i="1"/>
  <c r="AJ337" i="1"/>
  <c r="AK311" i="1"/>
  <c r="AJ311" i="1"/>
  <c r="AK258" i="1"/>
  <c r="AJ264" i="1"/>
  <c r="AK247" i="1"/>
  <c r="AJ247" i="1"/>
  <c r="AK274" i="1"/>
  <c r="AJ274" i="1"/>
  <c r="AJ263" i="1"/>
  <c r="AK316" i="1"/>
  <c r="AJ316" i="1"/>
  <c r="AK320" i="1"/>
  <c r="AJ320" i="1"/>
  <c r="AK338" i="1"/>
  <c r="AJ338" i="1"/>
  <c r="AJ347" i="1"/>
  <c r="AK291" i="1"/>
  <c r="AK367" i="1"/>
  <c r="AJ367" i="1"/>
  <c r="AK273" i="1"/>
  <c r="AJ273" i="1"/>
  <c r="AK349" i="1"/>
  <c r="AJ349" i="1"/>
  <c r="AK276" i="1"/>
  <c r="AJ276" i="1"/>
  <c r="AJ252" i="1"/>
  <c r="AK255" i="1"/>
  <c r="AJ255" i="1"/>
  <c r="AK259" i="1"/>
  <c r="AJ259" i="1"/>
  <c r="AK327" i="1"/>
  <c r="AJ327" i="1"/>
  <c r="AK336" i="1"/>
  <c r="AJ336" i="1"/>
  <c r="AK295" i="1"/>
  <c r="AK289" i="1"/>
  <c r="AJ289" i="1"/>
  <c r="AJ342" i="1"/>
  <c r="AJ305" i="1"/>
  <c r="AK343" i="1"/>
  <c r="AJ343" i="1"/>
  <c r="AK300" i="1"/>
  <c r="AJ300" i="1"/>
  <c r="AJ368" i="1"/>
  <c r="AK335" i="1"/>
  <c r="AJ290" i="1"/>
  <c r="AK257" i="1"/>
  <c r="AJ257" i="1"/>
  <c r="AK297" i="1"/>
  <c r="AJ297" i="1"/>
  <c r="AK242" i="1"/>
  <c r="AJ242" i="1"/>
  <c r="AJ301" i="1"/>
  <c r="AJ357" i="1"/>
  <c r="AK350" i="1"/>
  <c r="AJ350" i="1"/>
  <c r="AK285" i="1"/>
  <c r="AJ95" i="1"/>
  <c r="AJ137" i="1"/>
  <c r="AK87" i="1"/>
  <c r="AJ122" i="1"/>
  <c r="AK85" i="1"/>
  <c r="AJ85" i="1"/>
  <c r="AK171" i="1"/>
  <c r="AK33" i="1"/>
  <c r="AJ33" i="1"/>
  <c r="AK177" i="1"/>
  <c r="AJ177" i="1"/>
  <c r="AK8" i="1"/>
  <c r="AJ8" i="1"/>
  <c r="AK132" i="1"/>
  <c r="AJ132" i="1"/>
  <c r="AK114" i="1"/>
  <c r="AJ114" i="1"/>
  <c r="AK49" i="1"/>
  <c r="AJ49" i="1"/>
  <c r="AB68" i="1" l="1"/>
  <c r="Y68" i="1"/>
  <c r="V68" i="1"/>
  <c r="S68" i="1"/>
  <c r="AE68" i="1" l="1"/>
  <c r="M68" i="1" s="1"/>
  <c r="AH383" i="1"/>
  <c r="AH384" i="1" s="1"/>
  <c r="AI383" i="1"/>
  <c r="Y383" i="1"/>
  <c r="AB383" i="1"/>
  <c r="V383" i="1"/>
  <c r="S383" i="1"/>
  <c r="AE383" i="1" l="1"/>
  <c r="M383" i="1" l="1"/>
  <c r="AB65" i="1"/>
  <c r="Y65" i="1"/>
  <c r="V65" i="1"/>
  <c r="S65" i="1"/>
  <c r="AB192" i="1"/>
  <c r="Y192" i="1"/>
  <c r="V192" i="1"/>
  <c r="S192" i="1"/>
  <c r="AB191" i="1"/>
  <c r="Y191" i="1"/>
  <c r="V191" i="1"/>
  <c r="S191" i="1"/>
  <c r="AE65" i="1" l="1"/>
  <c r="M65" i="1" s="1"/>
  <c r="AE192" i="1"/>
  <c r="M192" i="1" s="1"/>
  <c r="AE191" i="1"/>
  <c r="M191" i="1" l="1"/>
  <c r="V382" i="1"/>
  <c r="AB382" i="1" l="1"/>
  <c r="Y382" i="1"/>
  <c r="S382" i="1"/>
  <c r="AE382" i="1" l="1"/>
  <c r="S337" i="1"/>
  <c r="M382" i="1" l="1"/>
  <c r="AB45" i="1"/>
  <c r="Y45" i="1"/>
  <c r="V45" i="1"/>
  <c r="S45" i="1"/>
  <c r="AE45" i="1" l="1"/>
  <c r="M45" i="1" s="1"/>
  <c r="AB381" i="1"/>
  <c r="Y381" i="1"/>
  <c r="V381" i="1"/>
  <c r="S381" i="1"/>
  <c r="AE381" i="1" l="1"/>
  <c r="AB110" i="1"/>
  <c r="Y110" i="1"/>
  <c r="S110" i="1"/>
  <c r="V110" i="1"/>
  <c r="M381" i="1" l="1"/>
  <c r="AE110" i="1"/>
  <c r="M110" i="1" s="1"/>
  <c r="AJ286" i="1" l="1"/>
  <c r="AJ298" i="1"/>
  <c r="AJ241" i="1"/>
  <c r="AJ239" i="1"/>
  <c r="AJ113" i="1"/>
  <c r="AK122" i="1"/>
  <c r="AK42" i="1"/>
  <c r="AJ42" i="1"/>
  <c r="AK9" i="1"/>
  <c r="AJ9" i="1"/>
  <c r="AJ168" i="1"/>
  <c r="AK168" i="1"/>
  <c r="AK26" i="1"/>
  <c r="AJ26" i="1"/>
  <c r="AK21" i="1"/>
  <c r="AJ21" i="1"/>
  <c r="AK284" i="1"/>
  <c r="AJ284" i="1"/>
  <c r="AK286" i="1"/>
  <c r="AJ246" i="1"/>
  <c r="AJ344" i="1"/>
  <c r="AK314" i="1" l="1"/>
  <c r="AJ314" i="1"/>
  <c r="AK264" i="1"/>
  <c r="AK246" i="1"/>
  <c r="AJ277" i="1"/>
  <c r="AJ317" i="1"/>
  <c r="AK321" i="1"/>
  <c r="AK344" i="1"/>
  <c r="AK261" i="1"/>
  <c r="AJ261" i="1"/>
  <c r="AK362" i="1"/>
  <c r="AJ362" i="1"/>
  <c r="AK333" i="1"/>
  <c r="AJ333" i="1"/>
  <c r="AK347" i="1"/>
  <c r="AJ271" i="1"/>
  <c r="AK252" i="1"/>
  <c r="AK253" i="1"/>
  <c r="AJ253" i="1"/>
  <c r="AJ268" i="1"/>
  <c r="AK342" i="1"/>
  <c r="AK305" i="1"/>
  <c r="AJ339" i="1"/>
  <c r="AK290" i="1"/>
  <c r="AK318" i="1"/>
  <c r="AJ318" i="1"/>
  <c r="AK308" i="1"/>
  <c r="AJ308" i="1"/>
  <c r="AJ306" i="1"/>
  <c r="AK306" i="1"/>
  <c r="AJ353" i="1"/>
  <c r="AJ369" i="1"/>
  <c r="AK361" i="1"/>
  <c r="AJ361" i="1"/>
  <c r="AK301" i="1"/>
  <c r="AJ348" i="1"/>
  <c r="AK357" i="1"/>
  <c r="AK341" i="1"/>
  <c r="AJ341" i="1"/>
  <c r="AJ340" i="1"/>
  <c r="AK139" i="1"/>
  <c r="AK243" i="1"/>
  <c r="AK36" i="1"/>
  <c r="AK144" i="1"/>
  <c r="AJ144" i="1"/>
  <c r="AK16" i="1"/>
  <c r="AJ16" i="1"/>
  <c r="AK121" i="1"/>
  <c r="AJ121" i="1"/>
  <c r="AK112" i="1"/>
  <c r="AK163" i="1"/>
  <c r="AK170" i="1"/>
  <c r="AJ170" i="1"/>
  <c r="AJ270" i="1"/>
  <c r="AJ226" i="1"/>
  <c r="AJ231" i="1"/>
  <c r="AJ254" i="1"/>
  <c r="AJ266" i="1"/>
  <c r="AJ216" i="1"/>
  <c r="AJ212" i="1"/>
  <c r="AJ205" i="1"/>
  <c r="AJ195" i="1"/>
  <c r="Y130" i="1" l="1"/>
  <c r="AB19" i="1" l="1"/>
  <c r="Y19" i="1"/>
  <c r="V19" i="1"/>
  <c r="S19" i="1"/>
  <c r="AE19" i="1" l="1"/>
  <c r="AB281" i="1"/>
  <c r="Y281" i="1"/>
  <c r="S281" i="1"/>
  <c r="V281" i="1"/>
  <c r="M19" i="1" l="1"/>
  <c r="AJ283" i="1"/>
  <c r="AJ228" i="1"/>
  <c r="AJ227" i="1"/>
  <c r="AJ220" i="1"/>
  <c r="AJ234" i="1"/>
  <c r="AJ217" i="1"/>
  <c r="AJ203" i="1"/>
  <c r="AJ199" i="1"/>
  <c r="AJ198" i="1"/>
  <c r="AJ194" i="1"/>
  <c r="AK152" i="1"/>
  <c r="AJ152" i="1"/>
  <c r="AJ97" i="1"/>
  <c r="AK39" i="1"/>
  <c r="AJ39" i="1"/>
  <c r="AK131" i="1"/>
  <c r="AJ131" i="1"/>
  <c r="AK174" i="1"/>
  <c r="AJ174" i="1"/>
  <c r="AK245" i="1"/>
  <c r="AJ245" i="1"/>
  <c r="AK92" i="1"/>
  <c r="AJ92" i="1"/>
  <c r="AK263" i="1"/>
  <c r="AK277" i="1"/>
  <c r="AK317" i="1"/>
  <c r="AK271" i="1" l="1"/>
  <c r="AK292" i="1"/>
  <c r="AJ292" i="1"/>
  <c r="AK339" i="1"/>
  <c r="AK348" i="1"/>
  <c r="AK340" i="1" l="1"/>
  <c r="AJ182" i="1" l="1"/>
  <c r="AK182" i="1"/>
  <c r="AJ82" i="1"/>
  <c r="AK113" i="1"/>
  <c r="AK158" i="1"/>
  <c r="AJ158" i="1"/>
  <c r="AB115" i="1" l="1"/>
  <c r="AB116" i="1"/>
  <c r="Y116" i="1"/>
  <c r="S116" i="1"/>
  <c r="V116" i="1"/>
  <c r="AE116" i="1" l="1"/>
  <c r="Y151" i="1"/>
  <c r="Y166" i="1" l="1"/>
  <c r="V166" i="1"/>
  <c r="S166" i="1"/>
  <c r="AE166" i="1" l="1"/>
  <c r="Y104" i="1"/>
  <c r="V104" i="1"/>
  <c r="S104" i="1"/>
  <c r="AB376" i="1"/>
  <c r="V376" i="1"/>
  <c r="S376" i="1"/>
  <c r="M166" i="1" l="1"/>
  <c r="AE376" i="1"/>
  <c r="Y156" i="1"/>
  <c r="AB190" i="1" l="1"/>
  <c r="Y190" i="1"/>
  <c r="V190" i="1"/>
  <c r="S190" i="1"/>
  <c r="AE190" i="1" l="1"/>
  <c r="AC189" i="1"/>
  <c r="AB14" i="1"/>
  <c r="Y14" i="1"/>
  <c r="V14" i="1"/>
  <c r="S14" i="1"/>
  <c r="M190" i="1" l="1"/>
  <c r="AE14" i="1"/>
  <c r="AB172" i="1"/>
  <c r="Y172" i="1"/>
  <c r="V172" i="1"/>
  <c r="S172" i="1"/>
  <c r="M14" i="1" l="1"/>
  <c r="AE172" i="1"/>
  <c r="M172" i="1" l="1"/>
  <c r="AB13" i="1"/>
  <c r="Y13" i="1"/>
  <c r="V13" i="1"/>
  <c r="S13" i="1"/>
  <c r="AE13" i="1" l="1"/>
  <c r="AB157" i="1"/>
  <c r="Y157" i="1"/>
  <c r="Y153" i="1"/>
  <c r="V156" i="1"/>
  <c r="V157" i="1"/>
  <c r="S157" i="1"/>
  <c r="S154" i="1"/>
  <c r="M13" i="1" l="1"/>
  <c r="AB156" i="1"/>
  <c r="S156" i="1"/>
  <c r="S155" i="1"/>
  <c r="AE157" i="1"/>
  <c r="M157" i="1" l="1"/>
  <c r="AE156" i="1"/>
  <c r="Y133" i="1"/>
  <c r="M156" i="1" l="1"/>
  <c r="AB187" i="1"/>
  <c r="Y187" i="1"/>
  <c r="V187" i="1"/>
  <c r="S187" i="1"/>
  <c r="AB186" i="1"/>
  <c r="Y186" i="1"/>
  <c r="V186" i="1"/>
  <c r="S186" i="1"/>
  <c r="AE186" i="1" l="1"/>
  <c r="AE187" i="1"/>
  <c r="AB89" i="1"/>
  <c r="M186" i="1" l="1"/>
  <c r="M187" i="1"/>
  <c r="AB380" i="1"/>
  <c r="Y380" i="1"/>
  <c r="V380" i="1"/>
  <c r="S380" i="1"/>
  <c r="AB379" i="1"/>
  <c r="Y379" i="1"/>
  <c r="V379" i="1"/>
  <c r="S379" i="1"/>
  <c r="AE380" i="1" l="1"/>
  <c r="AE379" i="1"/>
  <c r="M380" i="1" l="1"/>
  <c r="M379" i="1"/>
  <c r="AJ225" i="1"/>
  <c r="AJ329" i="1" l="1"/>
  <c r="AJ235" i="1"/>
  <c r="AK41" i="1" l="1"/>
  <c r="AJ41" i="1"/>
  <c r="AJ193" i="1" l="1"/>
  <c r="AJ76" i="1"/>
  <c r="AK76" i="1"/>
  <c r="AK97" i="1"/>
  <c r="AK102" i="1"/>
  <c r="AJ102" i="1"/>
  <c r="AJ325" i="1" l="1"/>
  <c r="AK325" i="1"/>
  <c r="AK294" i="1"/>
  <c r="AJ294" i="1"/>
  <c r="Y80" i="1" l="1"/>
  <c r="AK61" i="1" l="1"/>
  <c r="AJ61" i="1"/>
  <c r="AB185" i="1" l="1"/>
  <c r="AB188" i="1"/>
  <c r="AB189" i="1"/>
  <c r="Y185" i="1"/>
  <c r="Y188" i="1"/>
  <c r="Y189" i="1"/>
  <c r="V188" i="1"/>
  <c r="V189" i="1"/>
  <c r="V185" i="1"/>
  <c r="S188" i="1"/>
  <c r="S189" i="1"/>
  <c r="S185" i="1"/>
  <c r="AE188" i="1" l="1"/>
  <c r="M188" i="1" s="1"/>
  <c r="AE189" i="1"/>
  <c r="AE185" i="1"/>
  <c r="M185" i="1" s="1"/>
  <c r="M189" i="1" l="1"/>
  <c r="AB184" i="1" l="1"/>
  <c r="Y184" i="1"/>
  <c r="V184" i="1"/>
  <c r="S184" i="1"/>
  <c r="AE184" i="1" l="1"/>
  <c r="M184" i="1" s="1"/>
  <c r="V378" i="1"/>
  <c r="AB378" i="1"/>
  <c r="Y378" i="1"/>
  <c r="S378" i="1"/>
  <c r="AE378" i="1" l="1"/>
  <c r="M378" i="1" l="1"/>
  <c r="AB12" i="1"/>
  <c r="Y12" i="1"/>
  <c r="V12" i="1"/>
  <c r="S12" i="1"/>
  <c r="AE12" i="1" l="1"/>
  <c r="M12" i="1" l="1"/>
  <c r="AJ30" i="1"/>
  <c r="AJ98" i="1"/>
  <c r="AK70" i="1" l="1"/>
  <c r="AJ70" i="1"/>
  <c r="S212" i="1" l="1"/>
  <c r="S96" i="1" l="1"/>
  <c r="AB23" i="1" l="1"/>
  <c r="Y23" i="1"/>
  <c r="V23" i="1"/>
  <c r="S23" i="1"/>
  <c r="AE23" i="1" l="1"/>
  <c r="AJ310" i="1" l="1"/>
  <c r="AJ230" i="1"/>
  <c r="AJ229" i="1"/>
  <c r="AJ223" i="1"/>
  <c r="AJ86" i="1"/>
  <c r="AK123" i="1" l="1"/>
  <c r="AJ123" i="1"/>
  <c r="AK98" i="1"/>
  <c r="AK176" i="1" l="1"/>
  <c r="AJ176" i="1"/>
  <c r="AK134" i="1"/>
  <c r="AJ134" i="1"/>
  <c r="AK101" i="1"/>
  <c r="AJ101" i="1"/>
  <c r="AK81" i="1"/>
  <c r="AJ81" i="1"/>
  <c r="AK69" i="1"/>
  <c r="AJ69" i="1"/>
  <c r="AK40" i="1"/>
  <c r="AJ40" i="1"/>
  <c r="AK46" i="1"/>
  <c r="AJ46" i="1"/>
  <c r="AJ313" i="1"/>
  <c r="AK268" i="1" l="1"/>
  <c r="AB59" i="1" l="1"/>
  <c r="S109" i="1" l="1"/>
  <c r="V109" i="1"/>
  <c r="Y109" i="1"/>
  <c r="AB109" i="1"/>
  <c r="AE109" i="1" l="1"/>
  <c r="AB11" i="1"/>
  <c r="Y11" i="1"/>
  <c r="V11" i="1"/>
  <c r="S11" i="1"/>
  <c r="M109" i="1" l="1"/>
  <c r="AE11" i="1"/>
  <c r="AB153" i="1"/>
  <c r="V153" i="1"/>
  <c r="S153" i="1"/>
  <c r="M11" i="1" l="1"/>
  <c r="AE153" i="1"/>
  <c r="Y128" i="1"/>
  <c r="Y137" i="1"/>
  <c r="M153" i="1" l="1"/>
  <c r="AB150" i="1"/>
  <c r="V100" i="1"/>
  <c r="S100" i="1"/>
  <c r="AB371" i="1" l="1"/>
  <c r="AB372" i="1"/>
  <c r="AB373" i="1"/>
  <c r="Y371" i="1"/>
  <c r="Y372" i="1"/>
  <c r="Y373" i="1"/>
  <c r="V371" i="1"/>
  <c r="V372" i="1"/>
  <c r="V373" i="1"/>
  <c r="S371" i="1"/>
  <c r="S372" i="1"/>
  <c r="S373" i="1"/>
  <c r="AE371" i="1" l="1"/>
  <c r="M371" i="1" s="1"/>
  <c r="AE373" i="1"/>
  <c r="AE372" i="1"/>
  <c r="M373" i="1" l="1"/>
  <c r="M372" i="1"/>
  <c r="Y150" i="1"/>
  <c r="V150" i="1"/>
  <c r="S150" i="1"/>
  <c r="AE150" i="1" l="1"/>
  <c r="V370" i="1"/>
  <c r="M150" i="1" l="1"/>
  <c r="Y115" i="1"/>
  <c r="V115" i="1"/>
  <c r="S115" i="1"/>
  <c r="AE115" i="1" l="1"/>
  <c r="M115" i="1" l="1"/>
  <c r="M23" i="1" l="1"/>
  <c r="AB137" i="1"/>
  <c r="V137" i="1"/>
  <c r="S137" i="1"/>
  <c r="AB133" i="1"/>
  <c r="V133" i="1"/>
  <c r="S133" i="1"/>
  <c r="M116" i="1"/>
  <c r="AB106" i="1"/>
  <c r="AB107" i="1"/>
  <c r="Y106" i="1"/>
  <c r="Y107" i="1"/>
  <c r="V106" i="1"/>
  <c r="V107" i="1"/>
  <c r="S106" i="1"/>
  <c r="S107" i="1"/>
  <c r="Y100" i="1"/>
  <c r="Y99" i="1"/>
  <c r="AB100" i="1"/>
  <c r="AB96" i="1"/>
  <c r="AB95" i="1"/>
  <c r="AB94" i="1"/>
  <c r="AB93" i="1"/>
  <c r="Y95" i="1"/>
  <c r="Y96" i="1"/>
  <c r="V96" i="1"/>
  <c r="V95" i="1"/>
  <c r="S95" i="1"/>
  <c r="Y89" i="1"/>
  <c r="V89" i="1"/>
  <c r="S89" i="1"/>
  <c r="AB79" i="1"/>
  <c r="Y79" i="1"/>
  <c r="V79" i="1"/>
  <c r="S79" i="1"/>
  <c r="AB64" i="1"/>
  <c r="Y64" i="1"/>
  <c r="V64" i="1"/>
  <c r="S64" i="1"/>
  <c r="AB44" i="1"/>
  <c r="Y44" i="1"/>
  <c r="V44" i="1"/>
  <c r="S44" i="1"/>
  <c r="AB27" i="1"/>
  <c r="Y27" i="1"/>
  <c r="S27" i="1"/>
  <c r="V27" i="1"/>
  <c r="AE133" i="1" l="1"/>
  <c r="M133" i="1" s="1"/>
  <c r="AE89" i="1"/>
  <c r="AE79" i="1"/>
  <c r="AE100" i="1"/>
  <c r="AE106" i="1"/>
  <c r="AE44" i="1"/>
  <c r="AE107" i="1"/>
  <c r="AE137" i="1"/>
  <c r="AE64" i="1"/>
  <c r="AE95" i="1"/>
  <c r="AE96" i="1"/>
  <c r="AE27" i="1"/>
  <c r="M96" i="1" l="1"/>
  <c r="M106" i="1"/>
  <c r="M107" i="1"/>
  <c r="M79" i="1"/>
  <c r="M100" i="1"/>
  <c r="M44" i="1"/>
  <c r="M137" i="1"/>
  <c r="M64" i="1"/>
  <c r="M95" i="1"/>
  <c r="M89" i="1"/>
  <c r="M27" i="1"/>
  <c r="AB43" i="1" l="1"/>
  <c r="Y43" i="1"/>
  <c r="V43" i="1"/>
  <c r="S43" i="1"/>
  <c r="AE43" i="1" l="1"/>
  <c r="M43" i="1" l="1"/>
  <c r="AB78" i="1"/>
  <c r="Y78" i="1"/>
  <c r="V78" i="1"/>
  <c r="S78" i="1"/>
  <c r="AE78" i="1" l="1"/>
  <c r="M78" i="1" l="1"/>
  <c r="Y88" i="1"/>
  <c r="V88" i="1"/>
  <c r="S88" i="1"/>
  <c r="AE88" i="1" l="1"/>
  <c r="M88" i="1" l="1"/>
  <c r="AB316" i="1" l="1"/>
  <c r="AB178" i="1" l="1"/>
  <c r="AB179" i="1"/>
  <c r="AB180" i="1"/>
  <c r="Y177" i="1"/>
  <c r="Y178" i="1"/>
  <c r="Y179" i="1"/>
  <c r="Y180" i="1"/>
  <c r="V177" i="1"/>
  <c r="V178" i="1"/>
  <c r="V179" i="1"/>
  <c r="V180" i="1"/>
  <c r="S178" i="1"/>
  <c r="S179" i="1"/>
  <c r="S180" i="1"/>
  <c r="S177" i="1"/>
  <c r="AE180" i="1" l="1"/>
  <c r="AE179" i="1"/>
  <c r="AE178" i="1"/>
  <c r="M180" i="1" l="1"/>
  <c r="M178" i="1"/>
  <c r="M179" i="1"/>
  <c r="AB105" i="1"/>
  <c r="Y105" i="1"/>
  <c r="V105" i="1"/>
  <c r="S105" i="1"/>
  <c r="AB104" i="1"/>
  <c r="AE104" i="1" s="1"/>
  <c r="AE105" i="1" l="1"/>
  <c r="M104" i="1"/>
  <c r="M105" i="1" l="1"/>
  <c r="Y94" i="1"/>
  <c r="V94" i="1"/>
  <c r="S94" i="1"/>
  <c r="AE94" i="1" l="1"/>
  <c r="Y59" i="1"/>
  <c r="V59" i="1"/>
  <c r="S59" i="1"/>
  <c r="M94" i="1" l="1"/>
  <c r="AE59" i="1"/>
  <c r="M59" i="1" l="1"/>
  <c r="AB183" i="1"/>
  <c r="Y183" i="1"/>
  <c r="V183" i="1"/>
  <c r="S183" i="1"/>
  <c r="AE183" i="1" l="1"/>
  <c r="M183" i="1" l="1"/>
  <c r="Y149" i="1"/>
  <c r="S149" i="1"/>
  <c r="Y58" i="1" l="1"/>
  <c r="V58" i="1"/>
  <c r="S58" i="1"/>
  <c r="AE58" i="1" l="1"/>
  <c r="AB367" i="1" l="1"/>
  <c r="Y367" i="1"/>
  <c r="S138" i="1" l="1"/>
  <c r="V138" i="1"/>
  <c r="AB140" i="1" l="1"/>
  <c r="AB138" i="1"/>
  <c r="Y140" i="1"/>
  <c r="Y138" i="1"/>
  <c r="V140" i="1"/>
  <c r="S140" i="1"/>
  <c r="AE138" i="1" l="1"/>
  <c r="AE140" i="1"/>
  <c r="M140" i="1" l="1"/>
  <c r="M58" i="1"/>
  <c r="Y63" i="1"/>
  <c r="V63" i="1"/>
  <c r="S63" i="1"/>
  <c r="S62" i="1"/>
  <c r="AB364" i="1"/>
  <c r="Y364" i="1"/>
  <c r="S364" i="1"/>
  <c r="AB98" i="1" l="1"/>
  <c r="AE98" i="1" s="1"/>
  <c r="AB164" i="1"/>
  <c r="Y164" i="1"/>
  <c r="V164" i="1"/>
  <c r="S164" i="1"/>
  <c r="AB163" i="1"/>
  <c r="Y163" i="1"/>
  <c r="V163" i="1"/>
  <c r="S163" i="1"/>
  <c r="AE164" i="1" l="1"/>
  <c r="AE163" i="1"/>
  <c r="M98" i="1"/>
  <c r="M163" i="1" l="1"/>
  <c r="M164" i="1"/>
  <c r="Y361" i="1" l="1"/>
  <c r="AB375" i="1"/>
  <c r="AB374" i="1"/>
  <c r="AB370" i="1"/>
  <c r="AB369" i="1"/>
  <c r="AB368" i="1"/>
  <c r="AB366" i="1"/>
  <c r="AB365" i="1"/>
  <c r="AB363" i="1"/>
  <c r="Y375" i="1"/>
  <c r="Y374" i="1"/>
  <c r="Y370" i="1"/>
  <c r="Y369" i="1"/>
  <c r="Y368" i="1"/>
  <c r="Y366" i="1"/>
  <c r="Y365" i="1"/>
  <c r="Y363" i="1"/>
  <c r="V375" i="1"/>
  <c r="V374" i="1"/>
  <c r="V369" i="1"/>
  <c r="V368" i="1"/>
  <c r="V367" i="1"/>
  <c r="V366" i="1"/>
  <c r="V365" i="1"/>
  <c r="V364" i="1"/>
  <c r="V363" i="1"/>
  <c r="S375" i="1"/>
  <c r="S374" i="1"/>
  <c r="S370" i="1"/>
  <c r="S369" i="1"/>
  <c r="S368" i="1"/>
  <c r="S367" i="1"/>
  <c r="S366" i="1"/>
  <c r="S365" i="1"/>
  <c r="S363" i="1"/>
  <c r="AB362" i="1"/>
  <c r="Y362" i="1"/>
  <c r="V362" i="1"/>
  <c r="S362" i="1"/>
  <c r="AB361" i="1"/>
  <c r="V361" i="1"/>
  <c r="S361" i="1"/>
  <c r="V182" i="1"/>
  <c r="AB51" i="1"/>
  <c r="AB50" i="1"/>
  <c r="Y51" i="1"/>
  <c r="Y50" i="1"/>
  <c r="V51" i="1"/>
  <c r="V50" i="1"/>
  <c r="S50" i="1"/>
  <c r="AE365" i="1" l="1"/>
  <c r="AE368" i="1"/>
  <c r="AE375" i="1"/>
  <c r="AE361" i="1"/>
  <c r="M361" i="1" s="1"/>
  <c r="AE50" i="1"/>
  <c r="AE362" i="1"/>
  <c r="M362" i="1" s="1"/>
  <c r="AE369" i="1"/>
  <c r="AE51" i="1"/>
  <c r="AE364" i="1"/>
  <c r="AE367" i="1"/>
  <c r="AE374" i="1"/>
  <c r="AE363" i="1"/>
  <c r="AE366" i="1"/>
  <c r="AE370" i="1"/>
  <c r="M370" i="1" s="1"/>
  <c r="M374" i="1" l="1"/>
  <c r="M368" i="1"/>
  <c r="M375" i="1"/>
  <c r="M369" i="1"/>
  <c r="M51" i="1"/>
  <c r="M50" i="1"/>
  <c r="M367" i="1"/>
  <c r="M364" i="1"/>
  <c r="M363" i="1"/>
  <c r="M366" i="1"/>
  <c r="M365" i="1"/>
  <c r="AB358" i="1"/>
  <c r="Y358" i="1"/>
  <c r="V358" i="1"/>
  <c r="S358" i="1"/>
  <c r="V359" i="1" l="1"/>
  <c r="S353" i="1" l="1"/>
  <c r="S350" i="1" l="1"/>
  <c r="AB377" i="1" l="1"/>
  <c r="Y377" i="1"/>
  <c r="V377" i="1"/>
  <c r="S377" i="1"/>
  <c r="AE377" i="1" l="1"/>
  <c r="M377" i="1" l="1"/>
  <c r="S139" i="1"/>
  <c r="Y93" i="1" l="1"/>
  <c r="AB340" i="1" l="1"/>
  <c r="Y340" i="1"/>
  <c r="V340" i="1"/>
  <c r="S340" i="1"/>
  <c r="AE340" i="1" l="1"/>
  <c r="Y152" i="1"/>
  <c r="M340" i="1" l="1"/>
  <c r="AB86" i="1"/>
  <c r="Y86" i="1"/>
  <c r="V86" i="1"/>
  <c r="S86" i="1"/>
  <c r="AE86" i="1" l="1"/>
  <c r="Y158" i="1" l="1"/>
  <c r="AB182" i="1"/>
  <c r="Y182" i="1"/>
  <c r="S182" i="1"/>
  <c r="AD334" i="1" l="1"/>
  <c r="AC334" i="1"/>
  <c r="X334" i="1"/>
  <c r="W334" i="1"/>
  <c r="U334" i="1"/>
  <c r="T334" i="1"/>
  <c r="Y25" i="1" l="1"/>
  <c r="V25" i="1"/>
  <c r="S25" i="1"/>
  <c r="AE25" i="1" l="1"/>
  <c r="Y123" i="1"/>
  <c r="V123" i="1"/>
  <c r="S123" i="1"/>
  <c r="AE123" i="1" l="1"/>
  <c r="M123" i="1" l="1"/>
  <c r="M86" i="1"/>
  <c r="M61" i="1"/>
  <c r="AB114" i="1" l="1"/>
  <c r="T114" i="1"/>
  <c r="Y57" i="1" l="1"/>
  <c r="S57" i="1"/>
  <c r="AB85" i="1"/>
  <c r="Y85" i="1"/>
  <c r="V85" i="1"/>
  <c r="S85" i="1"/>
  <c r="AE85" i="1" l="1"/>
  <c r="S127" i="1"/>
  <c r="M85" i="1" l="1"/>
  <c r="Y132" i="1" l="1"/>
  <c r="AB333" i="1" l="1"/>
  <c r="AB334" i="1"/>
  <c r="AB335" i="1"/>
  <c r="AB336" i="1"/>
  <c r="AB337" i="1"/>
  <c r="AB338" i="1"/>
  <c r="AB339" i="1"/>
  <c r="AB341" i="1"/>
  <c r="AB342" i="1"/>
  <c r="AB343" i="1"/>
  <c r="AB344" i="1"/>
  <c r="AB139" i="1"/>
  <c r="AB345" i="1"/>
  <c r="AB346" i="1"/>
  <c r="AB347" i="1"/>
  <c r="AB348" i="1"/>
  <c r="AB349" i="1"/>
  <c r="AB350" i="1"/>
  <c r="AB351" i="1"/>
  <c r="AB352" i="1"/>
  <c r="AB353" i="1"/>
  <c r="AB354" i="1"/>
  <c r="AB355" i="1"/>
  <c r="AB356" i="1"/>
  <c r="AB357" i="1"/>
  <c r="AB359" i="1"/>
  <c r="Y333" i="1"/>
  <c r="Y334" i="1"/>
  <c r="Y335" i="1"/>
  <c r="Y336" i="1"/>
  <c r="Y337" i="1"/>
  <c r="Y338" i="1"/>
  <c r="Y339" i="1"/>
  <c r="Y341" i="1"/>
  <c r="Y342" i="1"/>
  <c r="Y343" i="1"/>
  <c r="Y344" i="1"/>
  <c r="Y139" i="1"/>
  <c r="Y345" i="1"/>
  <c r="Y346" i="1"/>
  <c r="Y347" i="1"/>
  <c r="Y348" i="1"/>
  <c r="Y349" i="1"/>
  <c r="Y350" i="1"/>
  <c r="Y351" i="1"/>
  <c r="Y352" i="1"/>
  <c r="Y353" i="1"/>
  <c r="Y354" i="1"/>
  <c r="Y355" i="1"/>
  <c r="Y356" i="1"/>
  <c r="Y357" i="1"/>
  <c r="Y359" i="1"/>
  <c r="V333" i="1"/>
  <c r="V334" i="1"/>
  <c r="V335" i="1"/>
  <c r="V336" i="1"/>
  <c r="V337" i="1"/>
  <c r="V338" i="1"/>
  <c r="V339" i="1"/>
  <c r="V341" i="1"/>
  <c r="V342" i="1"/>
  <c r="V343" i="1"/>
  <c r="V344" i="1"/>
  <c r="V139" i="1"/>
  <c r="V345" i="1"/>
  <c r="V346" i="1"/>
  <c r="V347" i="1"/>
  <c r="V348" i="1"/>
  <c r="V349" i="1"/>
  <c r="V350" i="1"/>
  <c r="V351" i="1"/>
  <c r="V352" i="1"/>
  <c r="V353" i="1"/>
  <c r="V354" i="1"/>
  <c r="V355" i="1"/>
  <c r="V356" i="1"/>
  <c r="V357" i="1"/>
  <c r="S333" i="1"/>
  <c r="S334" i="1"/>
  <c r="S335" i="1"/>
  <c r="S336" i="1"/>
  <c r="S338" i="1"/>
  <c r="S339" i="1"/>
  <c r="S341" i="1"/>
  <c r="S342" i="1"/>
  <c r="S343" i="1"/>
  <c r="S344" i="1"/>
  <c r="S345" i="1"/>
  <c r="S346" i="1"/>
  <c r="S347" i="1"/>
  <c r="S348" i="1"/>
  <c r="S349" i="1"/>
  <c r="S351" i="1"/>
  <c r="S352" i="1"/>
  <c r="S355" i="1"/>
  <c r="S356" i="1"/>
  <c r="S357" i="1"/>
  <c r="S359" i="1"/>
  <c r="AE359" i="1" l="1"/>
  <c r="AE355" i="1"/>
  <c r="M355" i="1" s="1"/>
  <c r="AE351" i="1"/>
  <c r="M351" i="1" s="1"/>
  <c r="AE347" i="1"/>
  <c r="AE344" i="1"/>
  <c r="AE337" i="1"/>
  <c r="M337" i="1" s="1"/>
  <c r="AE333" i="1"/>
  <c r="AE356" i="1"/>
  <c r="AE352" i="1"/>
  <c r="AE348" i="1"/>
  <c r="AE139" i="1"/>
  <c r="AE341" i="1"/>
  <c r="AE334" i="1"/>
  <c r="AE357" i="1"/>
  <c r="AE353" i="1"/>
  <c r="AE349" i="1"/>
  <c r="AE345" i="1"/>
  <c r="AE342" i="1"/>
  <c r="AE338" i="1"/>
  <c r="AE335" i="1"/>
  <c r="AE358" i="1"/>
  <c r="M358" i="1" s="1"/>
  <c r="AE354" i="1"/>
  <c r="AE350" i="1"/>
  <c r="AE346" i="1"/>
  <c r="AE343" i="1"/>
  <c r="AE339" i="1"/>
  <c r="AE336" i="1"/>
  <c r="Z122" i="1"/>
  <c r="W122" i="1"/>
  <c r="T122" i="1"/>
  <c r="M354" i="1" l="1"/>
  <c r="M359" i="1"/>
  <c r="M339" i="1"/>
  <c r="M344" i="1"/>
  <c r="M338" i="1"/>
  <c r="M139" i="1"/>
  <c r="M341" i="1"/>
  <c r="M356" i="1"/>
  <c r="M353" i="1"/>
  <c r="M333" i="1"/>
  <c r="M347" i="1"/>
  <c r="M342" i="1"/>
  <c r="M357" i="1"/>
  <c r="M335" i="1"/>
  <c r="M350" i="1"/>
  <c r="M346" i="1"/>
  <c r="M343" i="1"/>
  <c r="M348" i="1"/>
  <c r="M349" i="1"/>
  <c r="M352" i="1"/>
  <c r="M345" i="1"/>
  <c r="M334" i="1"/>
  <c r="M336" i="1"/>
  <c r="Y77" i="1"/>
  <c r="AB324" i="1" l="1"/>
  <c r="Y324" i="1"/>
  <c r="V324" i="1"/>
  <c r="S324" i="1"/>
  <c r="AE324" i="1" l="1"/>
  <c r="S322" i="1"/>
  <c r="M324" i="1" l="1"/>
  <c r="AB177" i="1" l="1"/>
  <c r="AE177" i="1" s="1"/>
  <c r="AB32" i="1"/>
  <c r="Y32" i="1"/>
  <c r="V32" i="1"/>
  <c r="S32" i="1"/>
  <c r="M177" i="1" l="1"/>
  <c r="AE32" i="1"/>
  <c r="M32" i="1" s="1"/>
  <c r="V46" i="1"/>
  <c r="AB48" i="1" l="1"/>
  <c r="AB49" i="1"/>
  <c r="Y48" i="1"/>
  <c r="Y49" i="1"/>
  <c r="V48" i="1"/>
  <c r="V49" i="1"/>
  <c r="S48" i="1"/>
  <c r="S49" i="1"/>
  <c r="AE49" i="1" l="1"/>
  <c r="AE48" i="1"/>
  <c r="V120" i="1"/>
  <c r="M49" i="1" l="1"/>
  <c r="M48" i="1"/>
  <c r="AE22" i="1"/>
  <c r="M22" i="1" l="1"/>
  <c r="S310" i="1"/>
  <c r="AB129" i="1" l="1"/>
  <c r="Y129" i="1"/>
  <c r="V129" i="1"/>
  <c r="S129" i="1"/>
  <c r="AE129" i="1" l="1"/>
  <c r="M129" i="1" l="1"/>
  <c r="AB315" i="1"/>
  <c r="AB317" i="1"/>
  <c r="AB318" i="1"/>
  <c r="AB319" i="1"/>
  <c r="AB320" i="1"/>
  <c r="AB321" i="1"/>
  <c r="AB322" i="1"/>
  <c r="AB323" i="1"/>
  <c r="Y315" i="1"/>
  <c r="Y316" i="1"/>
  <c r="Y317" i="1"/>
  <c r="Y318" i="1"/>
  <c r="Y319" i="1"/>
  <c r="Y320" i="1"/>
  <c r="Y321" i="1"/>
  <c r="Y322" i="1"/>
  <c r="Y323" i="1"/>
  <c r="V315" i="1"/>
  <c r="V316" i="1"/>
  <c r="V317" i="1"/>
  <c r="V318" i="1"/>
  <c r="V319" i="1"/>
  <c r="V320" i="1"/>
  <c r="V321" i="1"/>
  <c r="V322" i="1"/>
  <c r="V323" i="1"/>
  <c r="S315" i="1"/>
  <c r="S316" i="1"/>
  <c r="S317" i="1"/>
  <c r="S318" i="1"/>
  <c r="S319" i="1"/>
  <c r="S320" i="1"/>
  <c r="S321" i="1"/>
  <c r="S323" i="1"/>
  <c r="AB311" i="1"/>
  <c r="AB312" i="1"/>
  <c r="AB313" i="1"/>
  <c r="AB314" i="1"/>
  <c r="AB325" i="1"/>
  <c r="AB326" i="1"/>
  <c r="AB327" i="1"/>
  <c r="AB328" i="1"/>
  <c r="AB329" i="1"/>
  <c r="AB330" i="1"/>
  <c r="AB331" i="1"/>
  <c r="AB332" i="1"/>
  <c r="AB360" i="1"/>
  <c r="Y311" i="1"/>
  <c r="Y312" i="1"/>
  <c r="Y313" i="1"/>
  <c r="Y314" i="1"/>
  <c r="Y325" i="1"/>
  <c r="Y326" i="1"/>
  <c r="Y327" i="1"/>
  <c r="Y328" i="1"/>
  <c r="Y329" i="1"/>
  <c r="Y330" i="1"/>
  <c r="V311" i="1"/>
  <c r="V312" i="1"/>
  <c r="V313" i="1"/>
  <c r="V314" i="1"/>
  <c r="V325" i="1"/>
  <c r="V326" i="1"/>
  <c r="V327" i="1"/>
  <c r="V328" i="1"/>
  <c r="V329" i="1"/>
  <c r="V330" i="1"/>
  <c r="V331" i="1"/>
  <c r="S311" i="1"/>
  <c r="S313" i="1"/>
  <c r="S314" i="1"/>
  <c r="S325" i="1"/>
  <c r="S326" i="1"/>
  <c r="S327" i="1"/>
  <c r="S328" i="1"/>
  <c r="S329" i="1"/>
  <c r="S330" i="1"/>
  <c r="Y331" i="1"/>
  <c r="S331" i="1"/>
  <c r="AE318" i="1" l="1"/>
  <c r="M318" i="1" s="1"/>
  <c r="AE322" i="1"/>
  <c r="AE330" i="1"/>
  <c r="AE326" i="1"/>
  <c r="AE312" i="1"/>
  <c r="AE325" i="1"/>
  <c r="AE327" i="1"/>
  <c r="AE313" i="1"/>
  <c r="AE320" i="1"/>
  <c r="AE316" i="1"/>
  <c r="AE321" i="1"/>
  <c r="AE317" i="1"/>
  <c r="M317" i="1" s="1"/>
  <c r="AE311" i="1"/>
  <c r="AE331" i="1"/>
  <c r="M331" i="1" s="1"/>
  <c r="AE328" i="1"/>
  <c r="M328" i="1" s="1"/>
  <c r="AE314" i="1"/>
  <c r="AE329" i="1"/>
  <c r="AE323" i="1"/>
  <c r="AE319" i="1"/>
  <c r="AE315" i="1"/>
  <c r="M327" i="1" l="1"/>
  <c r="M321" i="1"/>
  <c r="M316" i="1"/>
  <c r="M315" i="1"/>
  <c r="M320" i="1"/>
  <c r="M314" i="1"/>
  <c r="M326" i="1"/>
  <c r="M325" i="1"/>
  <c r="M319" i="1"/>
  <c r="M329" i="1"/>
  <c r="M311" i="1"/>
  <c r="M322" i="1"/>
  <c r="M313" i="1"/>
  <c r="M312" i="1"/>
  <c r="M323" i="1"/>
  <c r="M330" i="1"/>
  <c r="AB9" i="1" l="1"/>
  <c r="AB10" i="1"/>
  <c r="Y9" i="1"/>
  <c r="Y10" i="1"/>
  <c r="V9" i="1"/>
  <c r="V10" i="1"/>
  <c r="S9" i="1"/>
  <c r="S10" i="1"/>
  <c r="AE9" i="1" l="1"/>
  <c r="AE10" i="1"/>
  <c r="S8" i="1"/>
  <c r="M10" i="1" l="1"/>
  <c r="M9" i="1"/>
  <c r="AB304" i="1"/>
  <c r="AB305" i="1"/>
  <c r="AB306" i="1"/>
  <c r="AB307" i="1"/>
  <c r="AB308" i="1"/>
  <c r="AB309" i="1"/>
  <c r="AB310" i="1"/>
  <c r="Y304" i="1"/>
  <c r="Y305" i="1"/>
  <c r="Y306" i="1"/>
  <c r="Y307" i="1"/>
  <c r="Y308" i="1"/>
  <c r="Y309" i="1"/>
  <c r="Y310" i="1"/>
  <c r="V304" i="1"/>
  <c r="V305" i="1"/>
  <c r="V306" i="1"/>
  <c r="V307" i="1"/>
  <c r="V308" i="1"/>
  <c r="V309" i="1"/>
  <c r="V310" i="1"/>
  <c r="S304" i="1"/>
  <c r="S305" i="1"/>
  <c r="S306" i="1"/>
  <c r="S307" i="1"/>
  <c r="S308" i="1"/>
  <c r="S309" i="1"/>
  <c r="AE308" i="1" l="1"/>
  <c r="AE310" i="1"/>
  <c r="AE309" i="1"/>
  <c r="AE307" i="1"/>
  <c r="AE305" i="1"/>
  <c r="AE304" i="1"/>
  <c r="AE306" i="1"/>
  <c r="S167" i="1"/>
  <c r="M306" i="1" l="1"/>
  <c r="M305" i="1"/>
  <c r="M310" i="1"/>
  <c r="M309" i="1"/>
  <c r="M308" i="1"/>
  <c r="M304" i="1"/>
  <c r="M307" i="1"/>
  <c r="S301" i="1"/>
  <c r="S200" i="1" l="1"/>
  <c r="S297" i="1" l="1"/>
  <c r="AB167" i="1" l="1"/>
  <c r="Y167" i="1"/>
  <c r="V167" i="1"/>
  <c r="AE167" i="1" l="1"/>
  <c r="M167" i="1" l="1"/>
  <c r="AB135" i="1"/>
  <c r="Y135" i="1"/>
  <c r="V135" i="1"/>
  <c r="S135" i="1"/>
  <c r="AE135" i="1" l="1"/>
  <c r="AB293" i="1"/>
  <c r="AB292" i="1"/>
  <c r="Y292" i="1"/>
  <c r="M135" i="1" l="1"/>
  <c r="AB170" i="1"/>
  <c r="Y170" i="1"/>
  <c r="V170" i="1"/>
  <c r="S170" i="1"/>
  <c r="AB291" i="1"/>
  <c r="V291" i="1"/>
  <c r="S291" i="1"/>
  <c r="AB294" i="1"/>
  <c r="AB295" i="1"/>
  <c r="AB296" i="1"/>
  <c r="AB297" i="1"/>
  <c r="AB298" i="1"/>
  <c r="AB299" i="1"/>
  <c r="AB300" i="1"/>
  <c r="AB301" i="1"/>
  <c r="AB302" i="1"/>
  <c r="AB303" i="1"/>
  <c r="Y293" i="1"/>
  <c r="Y294" i="1"/>
  <c r="Y295" i="1"/>
  <c r="Y296" i="1"/>
  <c r="Y297" i="1"/>
  <c r="Y298" i="1"/>
  <c r="Y299" i="1"/>
  <c r="Y300" i="1"/>
  <c r="Y301" i="1"/>
  <c r="Y302" i="1"/>
  <c r="Y303" i="1"/>
  <c r="Y332" i="1"/>
  <c r="Y360" i="1"/>
  <c r="V292" i="1"/>
  <c r="V293" i="1"/>
  <c r="V294" i="1"/>
  <c r="V295" i="1"/>
  <c r="V296" i="1"/>
  <c r="V297" i="1"/>
  <c r="V298" i="1"/>
  <c r="V299" i="1"/>
  <c r="V300" i="1"/>
  <c r="V301" i="1"/>
  <c r="V302" i="1"/>
  <c r="V303" i="1"/>
  <c r="V332" i="1"/>
  <c r="V360" i="1"/>
  <c r="S292" i="1"/>
  <c r="S293" i="1"/>
  <c r="S294" i="1"/>
  <c r="S295" i="1"/>
  <c r="S296" i="1"/>
  <c r="S298" i="1"/>
  <c r="S299" i="1"/>
  <c r="S300" i="1"/>
  <c r="S302" i="1"/>
  <c r="S303" i="1"/>
  <c r="S332" i="1"/>
  <c r="S360" i="1"/>
  <c r="AE299" i="1" l="1"/>
  <c r="AE297" i="1"/>
  <c r="AE301" i="1"/>
  <c r="AE303" i="1"/>
  <c r="AE295" i="1"/>
  <c r="AE293" i="1"/>
  <c r="AE302" i="1"/>
  <c r="AE298" i="1"/>
  <c r="AE294" i="1"/>
  <c r="AE360" i="1"/>
  <c r="AE170" i="1"/>
  <c r="AE291" i="1"/>
  <c r="AE332" i="1"/>
  <c r="AE300" i="1"/>
  <c r="AE296" i="1"/>
  <c r="AE292" i="1"/>
  <c r="Y290" i="1"/>
  <c r="AB290" i="1"/>
  <c r="V290" i="1"/>
  <c r="S290" i="1"/>
  <c r="M332" i="1" l="1"/>
  <c r="M296" i="1"/>
  <c r="M360" i="1"/>
  <c r="M298" i="1"/>
  <c r="M297" i="1"/>
  <c r="M301" i="1"/>
  <c r="M295" i="1"/>
  <c r="M303" i="1"/>
  <c r="M170" i="1"/>
  <c r="M293" i="1"/>
  <c r="M302" i="1"/>
  <c r="M300" i="1"/>
  <c r="M299" i="1"/>
  <c r="M294" i="1"/>
  <c r="M292" i="1"/>
  <c r="M291" i="1"/>
  <c r="AE290" i="1"/>
  <c r="AB289" i="1"/>
  <c r="Y289" i="1"/>
  <c r="V289" i="1"/>
  <c r="S289" i="1"/>
  <c r="M290" i="1" l="1"/>
  <c r="AE289" i="1"/>
  <c r="AB274" i="1"/>
  <c r="M289" i="1" l="1"/>
  <c r="V146" i="1"/>
  <c r="V147" i="1"/>
  <c r="Y146" i="1"/>
  <c r="Y147" i="1"/>
  <c r="AB145" i="1"/>
  <c r="Y145" i="1"/>
  <c r="V145" i="1"/>
  <c r="AB146" i="1"/>
  <c r="AB147" i="1"/>
  <c r="S146" i="1"/>
  <c r="S147" i="1"/>
  <c r="AE147" i="1" l="1"/>
  <c r="AE146" i="1"/>
  <c r="AE281" i="1"/>
  <c r="M146" i="1" l="1"/>
  <c r="M147" i="1"/>
  <c r="S278" i="1"/>
  <c r="S279" i="1"/>
  <c r="S280" i="1"/>
  <c r="S282" i="1"/>
  <c r="S283" i="1"/>
  <c r="S284" i="1"/>
  <c r="S285" i="1"/>
  <c r="S286" i="1"/>
  <c r="AB273" i="1" l="1"/>
  <c r="AB275" i="1"/>
  <c r="AB276" i="1"/>
  <c r="AB277" i="1"/>
  <c r="AB278" i="1"/>
  <c r="AB279" i="1"/>
  <c r="AB280" i="1"/>
  <c r="AB282" i="1"/>
  <c r="AB283" i="1"/>
  <c r="AB284" i="1"/>
  <c r="AB285" i="1"/>
  <c r="AB286" i="1"/>
  <c r="AB287" i="1"/>
  <c r="AB288" i="1"/>
  <c r="Y275" i="1"/>
  <c r="Y276" i="1"/>
  <c r="Y277" i="1"/>
  <c r="Y278" i="1"/>
  <c r="Y279" i="1"/>
  <c r="Y280" i="1"/>
  <c r="Y282" i="1"/>
  <c r="Y283" i="1"/>
  <c r="Y284" i="1"/>
  <c r="Y285" i="1"/>
  <c r="Y286" i="1"/>
  <c r="Y287" i="1"/>
  <c r="Y288" i="1"/>
  <c r="V277" i="1"/>
  <c r="V278" i="1"/>
  <c r="V279" i="1"/>
  <c r="V280" i="1"/>
  <c r="V282" i="1"/>
  <c r="V283" i="1"/>
  <c r="V284" i="1"/>
  <c r="V285" i="1"/>
  <c r="V286" i="1"/>
  <c r="V287" i="1"/>
  <c r="V288" i="1"/>
  <c r="S277" i="1"/>
  <c r="S287" i="1"/>
  <c r="AE280" i="1" l="1"/>
  <c r="AE284" i="1"/>
  <c r="AE283" i="1"/>
  <c r="AE286" i="1"/>
  <c r="M286" i="1" s="1"/>
  <c r="AE282" i="1"/>
  <c r="AE287" i="1"/>
  <c r="AE279" i="1"/>
  <c r="AE285" i="1"/>
  <c r="AE278" i="1"/>
  <c r="AE277" i="1"/>
  <c r="S29" i="1"/>
  <c r="Y29" i="1"/>
  <c r="V29" i="1"/>
  <c r="M278" i="1" l="1"/>
  <c r="M282" i="1"/>
  <c r="M280" i="1"/>
  <c r="M281" i="1"/>
  <c r="M284" i="1"/>
  <c r="M279" i="1"/>
  <c r="M283" i="1"/>
  <c r="M287" i="1"/>
  <c r="M285" i="1"/>
  <c r="M277" i="1"/>
  <c r="AE29" i="1"/>
  <c r="S272" i="1"/>
  <c r="AB272" i="1"/>
  <c r="M29" i="1" l="1"/>
  <c r="Y271" i="1"/>
  <c r="Y270" i="1"/>
  <c r="V271" i="1"/>
  <c r="V270" i="1"/>
  <c r="S271" i="1"/>
  <c r="S270" i="1"/>
  <c r="AB121" i="1" l="1"/>
  <c r="Y121" i="1"/>
  <c r="V121" i="1"/>
  <c r="S121" i="1"/>
  <c r="AB270" i="1" l="1"/>
  <c r="AE270" i="1" s="1"/>
  <c r="AB271" i="1"/>
  <c r="AE271" i="1" s="1"/>
  <c r="Y272" i="1"/>
  <c r="Y273" i="1"/>
  <c r="Y274" i="1"/>
  <c r="V272" i="1"/>
  <c r="V273" i="1"/>
  <c r="V274" i="1"/>
  <c r="V275" i="1"/>
  <c r="V276" i="1"/>
  <c r="S273" i="1"/>
  <c r="S274" i="1"/>
  <c r="S275" i="1"/>
  <c r="S276" i="1"/>
  <c r="S288" i="1"/>
  <c r="AE288" i="1" s="1"/>
  <c r="AE274" i="1" l="1"/>
  <c r="AE275" i="1"/>
  <c r="AE273" i="1"/>
  <c r="AE276" i="1"/>
  <c r="AE272" i="1"/>
  <c r="M121" i="1"/>
  <c r="M270" i="1"/>
  <c r="AB268" i="1"/>
  <c r="Y268" i="1"/>
  <c r="V268" i="1"/>
  <c r="S268" i="1"/>
  <c r="M274" i="1" l="1"/>
  <c r="M276" i="1"/>
  <c r="M273" i="1"/>
  <c r="M275" i="1"/>
  <c r="M288" i="1"/>
  <c r="M272" i="1"/>
  <c r="AE268" i="1"/>
  <c r="S267" i="1"/>
  <c r="M268" i="1" l="1"/>
  <c r="AB266" i="1" l="1"/>
  <c r="Y266" i="1"/>
  <c r="V266" i="1"/>
  <c r="S266" i="1"/>
  <c r="AE266" i="1" l="1"/>
  <c r="M266" i="1" l="1"/>
  <c r="V220" i="1"/>
  <c r="V194" i="1" l="1"/>
  <c r="V195" i="1"/>
  <c r="V196" i="1"/>
  <c r="V197" i="1"/>
  <c r="V198" i="1"/>
  <c r="V199" i="1"/>
  <c r="V201" i="1"/>
  <c r="V202" i="1"/>
  <c r="V203" i="1"/>
  <c r="V204" i="1"/>
  <c r="V205" i="1"/>
  <c r="V206" i="1"/>
  <c r="V207" i="1"/>
  <c r="V208" i="1"/>
  <c r="V209" i="1"/>
  <c r="V210" i="1"/>
  <c r="V211" i="1"/>
  <c r="V212" i="1"/>
  <c r="V213" i="1"/>
  <c r="V214" i="1"/>
  <c r="V215" i="1"/>
  <c r="V216" i="1"/>
  <c r="V217" i="1"/>
  <c r="V218" i="1"/>
  <c r="V219"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7" i="1"/>
  <c r="V269" i="1"/>
  <c r="AB181" i="1" l="1"/>
  <c r="Y175" i="1"/>
  <c r="Y176" i="1"/>
  <c r="Y181" i="1"/>
  <c r="Y174" i="1"/>
  <c r="S175" i="1"/>
  <c r="S176" i="1"/>
  <c r="S181" i="1"/>
  <c r="S174" i="1"/>
  <c r="Y173" i="1"/>
  <c r="Y171" i="1"/>
  <c r="Y169" i="1"/>
  <c r="Y168" i="1"/>
  <c r="Y165" i="1"/>
  <c r="Y160" i="1"/>
  <c r="S173" i="1"/>
  <c r="S171" i="1"/>
  <c r="S169" i="1"/>
  <c r="S168" i="1"/>
  <c r="S165" i="1"/>
  <c r="S160" i="1"/>
  <c r="S145" i="1"/>
  <c r="S158" i="1"/>
  <c r="S152" i="1"/>
  <c r="S151" i="1"/>
  <c r="S142" i="1"/>
  <c r="S143" i="1"/>
  <c r="V142" i="1"/>
  <c r="V143" i="1"/>
  <c r="Y142" i="1"/>
  <c r="Y143" i="1"/>
  <c r="AB136" i="1"/>
  <c r="Y136" i="1"/>
  <c r="S136" i="1"/>
  <c r="S132" i="1"/>
  <c r="Y127" i="1"/>
  <c r="S130" i="1"/>
  <c r="S128" i="1"/>
  <c r="S120" i="1"/>
  <c r="Y114" i="1"/>
  <c r="V114" i="1"/>
  <c r="S112" i="1"/>
  <c r="AB102" i="1"/>
  <c r="AB103" i="1"/>
  <c r="Y102" i="1"/>
  <c r="Y103" i="1"/>
  <c r="V103" i="1"/>
  <c r="S102" i="1"/>
  <c r="S103" i="1"/>
  <c r="AB71" i="1"/>
  <c r="AB72" i="1"/>
  <c r="AB73" i="1"/>
  <c r="Y72" i="1"/>
  <c r="Y73" i="1"/>
  <c r="Y71" i="1"/>
  <c r="V72" i="1"/>
  <c r="V73" i="1"/>
  <c r="S72" i="1"/>
  <c r="S73" i="1"/>
  <c r="S93" i="1"/>
  <c r="AB84" i="1"/>
  <c r="AB87" i="1"/>
  <c r="Y84" i="1"/>
  <c r="Y87" i="1"/>
  <c r="V84" i="1"/>
  <c r="V87" i="1"/>
  <c r="S84" i="1"/>
  <c r="S87" i="1"/>
  <c r="AB82" i="1"/>
  <c r="Y82" i="1"/>
  <c r="V82" i="1"/>
  <c r="S82" i="1"/>
  <c r="S80" i="1"/>
  <c r="Y76" i="1"/>
  <c r="S77" i="1"/>
  <c r="S76" i="1"/>
  <c r="S71" i="1"/>
  <c r="S70" i="1"/>
  <c r="Y69" i="1"/>
  <c r="S69" i="1"/>
  <c r="V67" i="1"/>
  <c r="Y67" i="1"/>
  <c r="AB67" i="1"/>
  <c r="Y47" i="1"/>
  <c r="S47" i="1"/>
  <c r="Y41" i="1"/>
  <c r="Y42" i="1"/>
  <c r="V41" i="1"/>
  <c r="V42" i="1"/>
  <c r="S41" i="1"/>
  <c r="S42" i="1"/>
  <c r="Y40" i="1"/>
  <c r="S40" i="1"/>
  <c r="AE145" i="1" l="1"/>
  <c r="AE103" i="1"/>
  <c r="AE82" i="1"/>
  <c r="AE73" i="1"/>
  <c r="AE72" i="1"/>
  <c r="AE87" i="1"/>
  <c r="AE84" i="1"/>
  <c r="AB40" i="1"/>
  <c r="AB41" i="1"/>
  <c r="AE41" i="1" s="1"/>
  <c r="AB42" i="1"/>
  <c r="AE42" i="1" s="1"/>
  <c r="AB46" i="1"/>
  <c r="AB47" i="1"/>
  <c r="AB56" i="1"/>
  <c r="AB57" i="1"/>
  <c r="AB62" i="1"/>
  <c r="AB63" i="1"/>
  <c r="AB69" i="1"/>
  <c r="AB70" i="1"/>
  <c r="AB76" i="1"/>
  <c r="AB77" i="1"/>
  <c r="AB80" i="1"/>
  <c r="AB81" i="1"/>
  <c r="AB83" i="1"/>
  <c r="AB92" i="1"/>
  <c r="AB97" i="1"/>
  <c r="AB101" i="1"/>
  <c r="AB108" i="1"/>
  <c r="AB112" i="1"/>
  <c r="AB113" i="1"/>
  <c r="AE113" i="1" s="1"/>
  <c r="AE114" i="1"/>
  <c r="AB120" i="1"/>
  <c r="AB122" i="1"/>
  <c r="AE122" i="1" s="1"/>
  <c r="AB127" i="1"/>
  <c r="AB128" i="1"/>
  <c r="AB130" i="1"/>
  <c r="AB131" i="1"/>
  <c r="AB132" i="1"/>
  <c r="AB134" i="1"/>
  <c r="AB141" i="1"/>
  <c r="AB142" i="1"/>
  <c r="AB143" i="1"/>
  <c r="AE143" i="1" s="1"/>
  <c r="AB144" i="1"/>
  <c r="AB149" i="1"/>
  <c r="AB151" i="1"/>
  <c r="AB152" i="1"/>
  <c r="AB154" i="1"/>
  <c r="AE154" i="1" s="1"/>
  <c r="M154" i="1" s="1"/>
  <c r="AB155" i="1"/>
  <c r="AB158" i="1"/>
  <c r="AB159" i="1"/>
  <c r="AB160" i="1"/>
  <c r="AB165" i="1"/>
  <c r="AB168" i="1"/>
  <c r="AB169" i="1"/>
  <c r="AB171" i="1"/>
  <c r="AB173" i="1"/>
  <c r="AB174" i="1"/>
  <c r="AB175" i="1"/>
  <c r="AB176" i="1"/>
  <c r="AB193" i="1"/>
  <c r="AB194" i="1"/>
  <c r="AB195" i="1"/>
  <c r="AB196" i="1"/>
  <c r="AB197" i="1"/>
  <c r="AB198" i="1"/>
  <c r="AB199" i="1"/>
  <c r="AB200" i="1"/>
  <c r="AB201" i="1"/>
  <c r="AB39" i="1"/>
  <c r="V40" i="1"/>
  <c r="V47" i="1"/>
  <c r="V57" i="1"/>
  <c r="V69" i="1"/>
  <c r="V70" i="1"/>
  <c r="V71" i="1"/>
  <c r="AE71" i="1" s="1"/>
  <c r="V76" i="1"/>
  <c r="V77" i="1"/>
  <c r="V80" i="1"/>
  <c r="V81" i="1"/>
  <c r="V83" i="1"/>
  <c r="V92" i="1"/>
  <c r="V93" i="1"/>
  <c r="V97" i="1"/>
  <c r="V101" i="1"/>
  <c r="V102" i="1"/>
  <c r="AE102" i="1" s="1"/>
  <c r="V108" i="1"/>
  <c r="V112" i="1"/>
  <c r="V127" i="1"/>
  <c r="V128" i="1"/>
  <c r="V130" i="1"/>
  <c r="V131" i="1"/>
  <c r="V132" i="1"/>
  <c r="V134" i="1"/>
  <c r="V136" i="1"/>
  <c r="V141" i="1"/>
  <c r="V144" i="1"/>
  <c r="V149" i="1"/>
  <c r="V151" i="1"/>
  <c r="V152" i="1"/>
  <c r="V155" i="1"/>
  <c r="V158" i="1"/>
  <c r="V159" i="1"/>
  <c r="V160" i="1"/>
  <c r="V165" i="1"/>
  <c r="V168" i="1"/>
  <c r="V169" i="1"/>
  <c r="V171" i="1"/>
  <c r="V173" i="1"/>
  <c r="V174" i="1"/>
  <c r="V175" i="1"/>
  <c r="V176" i="1"/>
  <c r="V181" i="1"/>
  <c r="AE181" i="1" s="1"/>
  <c r="M181" i="1" s="1"/>
  <c r="V39" i="1"/>
  <c r="S39" i="1"/>
  <c r="Y33" i="1"/>
  <c r="Y34" i="1"/>
  <c r="V33" i="1"/>
  <c r="V34" i="1"/>
  <c r="S33" i="1"/>
  <c r="S34" i="1"/>
  <c r="Y37" i="1"/>
  <c r="Y38" i="1"/>
  <c r="AB37" i="1"/>
  <c r="AB38" i="1"/>
  <c r="V37" i="1"/>
  <c r="V38" i="1"/>
  <c r="S37" i="1"/>
  <c r="S38" i="1"/>
  <c r="AB30" i="1"/>
  <c r="AE30" i="1" s="1"/>
  <c r="AB26" i="1"/>
  <c r="Y26" i="1"/>
  <c r="V26" i="1"/>
  <c r="S26" i="1"/>
  <c r="AB60" i="1"/>
  <c r="AB21" i="1"/>
  <c r="AB22" i="1"/>
  <c r="AB20" i="1"/>
  <c r="Y60" i="1"/>
  <c r="V60" i="1"/>
  <c r="V21" i="1"/>
  <c r="AE21" i="1" s="1"/>
  <c r="S60" i="1"/>
  <c r="AB17" i="1"/>
  <c r="AB18" i="1"/>
  <c r="AB16" i="1"/>
  <c r="Y17" i="1"/>
  <c r="Y18" i="1"/>
  <c r="V17" i="1"/>
  <c r="V18" i="1"/>
  <c r="S17" i="1"/>
  <c r="S18" i="1"/>
  <c r="S7" i="1"/>
  <c r="V7" i="1"/>
  <c r="V8" i="1"/>
  <c r="Y7" i="1"/>
  <c r="Y8" i="1"/>
  <c r="AB6" i="1"/>
  <c r="AB7" i="1"/>
  <c r="AB8" i="1"/>
  <c r="AB5" i="1"/>
  <c r="S196"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7" i="1"/>
  <c r="AB269"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7" i="1"/>
  <c r="Y269" i="1"/>
  <c r="Y195" i="1"/>
  <c r="Y196" i="1"/>
  <c r="Y197" i="1"/>
  <c r="Y198" i="1"/>
  <c r="Y199" i="1"/>
  <c r="Y200" i="1"/>
  <c r="Y201" i="1"/>
  <c r="Y202" i="1"/>
  <c r="Y203" i="1"/>
  <c r="Y204" i="1"/>
  <c r="Y205" i="1"/>
  <c r="Y206" i="1"/>
  <c r="Y207" i="1"/>
  <c r="Y208" i="1"/>
  <c r="Y209" i="1"/>
  <c r="Y210" i="1"/>
  <c r="Y194" i="1"/>
  <c r="Y193" i="1"/>
  <c r="V193" i="1"/>
  <c r="S195" i="1"/>
  <c r="S197" i="1"/>
  <c r="S198" i="1"/>
  <c r="S199" i="1"/>
  <c r="S201" i="1"/>
  <c r="S202" i="1"/>
  <c r="S203" i="1"/>
  <c r="S204" i="1"/>
  <c r="S205" i="1"/>
  <c r="S206" i="1"/>
  <c r="S207" i="1"/>
  <c r="S208" i="1"/>
  <c r="S209" i="1"/>
  <c r="S210" i="1"/>
  <c r="S211"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9" i="1"/>
  <c r="S194" i="1"/>
  <c r="S193" i="1"/>
  <c r="Y134" i="1"/>
  <c r="S134" i="1"/>
  <c r="Y144" i="1"/>
  <c r="S144" i="1"/>
  <c r="Y159" i="1"/>
  <c r="S159" i="1"/>
  <c r="AB36" i="1"/>
  <c r="Y36" i="1"/>
  <c r="V36" i="1"/>
  <c r="S36" i="1"/>
  <c r="Y141" i="1"/>
  <c r="S141" i="1"/>
  <c r="Y131" i="1"/>
  <c r="S131" i="1"/>
  <c r="Y120" i="1"/>
  <c r="Y108" i="1"/>
  <c r="S108" i="1"/>
  <c r="Y112" i="1"/>
  <c r="Y97" i="1"/>
  <c r="S97" i="1"/>
  <c r="Y101" i="1"/>
  <c r="S101" i="1"/>
  <c r="Y83" i="1"/>
  <c r="S83" i="1"/>
  <c r="Y92" i="1"/>
  <c r="S92" i="1"/>
  <c r="Y81" i="1"/>
  <c r="S81" i="1"/>
  <c r="S67" i="1"/>
  <c r="Y46" i="1"/>
  <c r="S46" i="1"/>
  <c r="Y31" i="1"/>
  <c r="V31" i="1"/>
  <c r="S31" i="1"/>
  <c r="Y20" i="1"/>
  <c r="V20" i="1"/>
  <c r="S20" i="1"/>
  <c r="Y16" i="1"/>
  <c r="V16" i="1"/>
  <c r="S16" i="1"/>
  <c r="Y6" i="1"/>
  <c r="V6" i="1"/>
  <c r="S6" i="1"/>
  <c r="Y5" i="1"/>
  <c r="V5" i="1"/>
  <c r="S5" i="1"/>
  <c r="AE128" i="1" l="1"/>
  <c r="AE26" i="1"/>
  <c r="M35" i="1"/>
  <c r="M82" i="1"/>
  <c r="M30" i="1"/>
  <c r="M41" i="1"/>
  <c r="M21" i="1"/>
  <c r="M71" i="1"/>
  <c r="M114" i="1"/>
  <c r="M73" i="1"/>
  <c r="M113" i="1"/>
  <c r="M87" i="1"/>
  <c r="M42" i="1"/>
  <c r="M72" i="1"/>
  <c r="M39" i="1"/>
  <c r="M143" i="1"/>
  <c r="AE127" i="1"/>
  <c r="M103" i="1"/>
  <c r="M84" i="1"/>
  <c r="AE267" i="1"/>
  <c r="AE31" i="1"/>
  <c r="AE20" i="1"/>
  <c r="AE77" i="1"/>
  <c r="AE169" i="1"/>
  <c r="AE60" i="1"/>
  <c r="AE194" i="1"/>
  <c r="AE6" i="1"/>
  <c r="AE263" i="1"/>
  <c r="AE259" i="1"/>
  <c r="AE255" i="1"/>
  <c r="AE251" i="1"/>
  <c r="AE247" i="1"/>
  <c r="AE243" i="1"/>
  <c r="AE239" i="1"/>
  <c r="AE235" i="1"/>
  <c r="AE231" i="1"/>
  <c r="AE227" i="1"/>
  <c r="AE223" i="1"/>
  <c r="AE219" i="1"/>
  <c r="AE215" i="1"/>
  <c r="AE211" i="1"/>
  <c r="AE207" i="1"/>
  <c r="AE203" i="1"/>
  <c r="AE199" i="1"/>
  <c r="AE175" i="1"/>
  <c r="AE171" i="1"/>
  <c r="AE132" i="1"/>
  <c r="AE5" i="1"/>
  <c r="AE262" i="1"/>
  <c r="AE258" i="1"/>
  <c r="AE254" i="1"/>
  <c r="AE250" i="1"/>
  <c r="AE246" i="1"/>
  <c r="AE242" i="1"/>
  <c r="AE238" i="1"/>
  <c r="AE234" i="1"/>
  <c r="AE230" i="1"/>
  <c r="AE226" i="1"/>
  <c r="AE222" i="1"/>
  <c r="AE218" i="1"/>
  <c r="AE214" i="1"/>
  <c r="AE210" i="1"/>
  <c r="AE206" i="1"/>
  <c r="AE202" i="1"/>
  <c r="AE198" i="1"/>
  <c r="AE208" i="1"/>
  <c r="AE204" i="1"/>
  <c r="AE120" i="1"/>
  <c r="AE70" i="1"/>
  <c r="AE80" i="1"/>
  <c r="AE57" i="1"/>
  <c r="AE40" i="1"/>
  <c r="AE173" i="1"/>
  <c r="AE168" i="1"/>
  <c r="AE155" i="1"/>
  <c r="M124" i="1"/>
  <c r="AE130" i="1"/>
  <c r="AE152" i="1"/>
  <c r="AE149" i="1"/>
  <c r="AE174" i="1"/>
  <c r="AE165" i="1"/>
  <c r="AE160" i="1"/>
  <c r="AE158" i="1"/>
  <c r="M158" i="1" s="1"/>
  <c r="AE151" i="1"/>
  <c r="AE47" i="1"/>
  <c r="AE63" i="1"/>
  <c r="AE83" i="1"/>
  <c r="AE76" i="1"/>
  <c r="AE81" i="1"/>
  <c r="AE69" i="1"/>
  <c r="AE93" i="1"/>
  <c r="AE67" i="1"/>
  <c r="AE200" i="1"/>
  <c r="AE56" i="1"/>
  <c r="AE46" i="1"/>
  <c r="AE229" i="1"/>
  <c r="AE225" i="1"/>
  <c r="AE217" i="1"/>
  <c r="AE213" i="1"/>
  <c r="AE62" i="1"/>
  <c r="AE182" i="1"/>
  <c r="AE141" i="1"/>
  <c r="AE131" i="1"/>
  <c r="AE159" i="1"/>
  <c r="AE134" i="1"/>
  <c r="AE195" i="1"/>
  <c r="AE7" i="1"/>
  <c r="AE17" i="1"/>
  <c r="AE264" i="1"/>
  <c r="AE260" i="1"/>
  <c r="AE256" i="1"/>
  <c r="AE252" i="1"/>
  <c r="AE248" i="1"/>
  <c r="AE244" i="1"/>
  <c r="AE240" i="1"/>
  <c r="AE236" i="1"/>
  <c r="AE232" i="1"/>
  <c r="AE228" i="1"/>
  <c r="AE224" i="1"/>
  <c r="AE220" i="1"/>
  <c r="AE216" i="1"/>
  <c r="AE212" i="1"/>
  <c r="AE97" i="1"/>
  <c r="AE108" i="1"/>
  <c r="AE196" i="1"/>
  <c r="AE101" i="1"/>
  <c r="AE269" i="1"/>
  <c r="AE265" i="1"/>
  <c r="AE261" i="1"/>
  <c r="AE257" i="1"/>
  <c r="AE253" i="1"/>
  <c r="AE249" i="1"/>
  <c r="AE245" i="1"/>
  <c r="AE241" i="1"/>
  <c r="AE237" i="1"/>
  <c r="AE233" i="1"/>
  <c r="AE221" i="1"/>
  <c r="AE209" i="1"/>
  <c r="AE205" i="1"/>
  <c r="AE201" i="1"/>
  <c r="AE197" i="1"/>
  <c r="AE193" i="1"/>
  <c r="AE176" i="1"/>
  <c r="AE144" i="1"/>
  <c r="AE142" i="1"/>
  <c r="AE136" i="1"/>
  <c r="AE112" i="1"/>
  <c r="AE92" i="1"/>
  <c r="AE34" i="1"/>
  <c r="AE37" i="1"/>
  <c r="AE33" i="1"/>
  <c r="AE18" i="1"/>
  <c r="AE38" i="1"/>
  <c r="AE8" i="1"/>
  <c r="AE16" i="1"/>
  <c r="AE36" i="1"/>
  <c r="M26" i="1" l="1"/>
  <c r="M149" i="1"/>
  <c r="M33" i="1"/>
  <c r="M152" i="1"/>
  <c r="M175" i="1"/>
  <c r="M122" i="1"/>
  <c r="M40" i="1"/>
  <c r="M77" i="1"/>
  <c r="M127" i="1"/>
  <c r="M57" i="1"/>
  <c r="M142" i="1"/>
  <c r="M56" i="1"/>
  <c r="M69" i="1"/>
  <c r="M76" i="1"/>
  <c r="M165" i="1"/>
  <c r="M70" i="1"/>
  <c r="M8" i="1"/>
  <c r="M176" i="1"/>
  <c r="M174" i="1"/>
  <c r="M132" i="1"/>
  <c r="M182" i="1"/>
  <c r="M63" i="1"/>
  <c r="M130" i="1"/>
  <c r="M171" i="1"/>
  <c r="M37" i="1"/>
  <c r="M93" i="1"/>
  <c r="M168" i="1"/>
  <c r="M38" i="1"/>
  <c r="M17" i="1"/>
  <c r="M173" i="1"/>
  <c r="M169" i="1"/>
  <c r="M128" i="1"/>
  <c r="M136" i="1"/>
  <c r="M151" i="1"/>
  <c r="M160" i="1"/>
  <c r="M80" i="1"/>
  <c r="M25" i="1"/>
  <c r="M34" i="1"/>
  <c r="M18" i="1"/>
  <c r="M155" i="1"/>
  <c r="M221" i="1"/>
  <c r="M226" i="1"/>
  <c r="M36" i="1"/>
  <c r="M228" i="1"/>
  <c r="M249" i="1"/>
  <c r="M232" i="1"/>
  <c r="M237" i="1"/>
  <c r="M60" i="1"/>
  <c r="M7" i="1"/>
  <c r="M145" i="1"/>
  <c r="M271" i="1"/>
  <c r="M47" i="1"/>
  <c r="M219" i="1"/>
  <c r="M248" i="1"/>
  <c r="M214" i="1"/>
  <c r="M203" i="1"/>
  <c r="M198" i="1"/>
  <c r="M264" i="1"/>
  <c r="M253" i="1"/>
  <c r="M235" i="1"/>
  <c r="M220" i="1"/>
  <c r="M205" i="1"/>
  <c r="M251" i="1"/>
  <c r="M204" i="1"/>
  <c r="M208" i="1"/>
  <c r="M224" i="1"/>
  <c r="M236" i="1"/>
  <c r="M252" i="1"/>
  <c r="M209" i="1"/>
  <c r="M225" i="1"/>
  <c r="M241" i="1"/>
  <c r="M257" i="1"/>
  <c r="M269" i="1"/>
  <c r="M207" i="1"/>
  <c r="M223" i="1"/>
  <c r="M239" i="1"/>
  <c r="M255" i="1"/>
  <c r="M202" i="1"/>
  <c r="M218" i="1"/>
  <c r="M230" i="1"/>
  <c r="M242" i="1"/>
  <c r="M258" i="1"/>
  <c r="M193" i="1"/>
  <c r="M195" i="1"/>
  <c r="M212" i="1"/>
  <c r="M240" i="1"/>
  <c r="M256" i="1"/>
  <c r="M197" i="1"/>
  <c r="M213" i="1"/>
  <c r="M229" i="1"/>
  <c r="M245" i="1"/>
  <c r="M261" i="1"/>
  <c r="M194" i="1"/>
  <c r="M211" i="1"/>
  <c r="M227" i="1"/>
  <c r="M243" i="1"/>
  <c r="M259" i="1"/>
  <c r="M206" i="1"/>
  <c r="M222" i="1"/>
  <c r="M234" i="1"/>
  <c r="M246" i="1"/>
  <c r="M262" i="1"/>
  <c r="M196" i="1"/>
  <c r="M254" i="1"/>
  <c r="M200" i="1"/>
  <c r="M216" i="1"/>
  <c r="M244" i="1"/>
  <c r="M260" i="1"/>
  <c r="M201" i="1"/>
  <c r="M217" i="1"/>
  <c r="M233" i="1"/>
  <c r="M265" i="1"/>
  <c r="M199" i="1"/>
  <c r="M215" i="1"/>
  <c r="M231" i="1"/>
  <c r="M247" i="1"/>
  <c r="M263" i="1"/>
  <c r="M210" i="1"/>
  <c r="M238" i="1"/>
  <c r="M250" i="1"/>
  <c r="M267" i="1"/>
  <c r="M112" i="1"/>
  <c r="M101" i="1"/>
  <c r="M144" i="1"/>
  <c r="M20" i="1"/>
  <c r="M5" i="1"/>
  <c r="M46" i="1"/>
  <c r="M120" i="1"/>
  <c r="M102" i="1"/>
  <c r="M83" i="1"/>
  <c r="M159" i="1"/>
  <c r="M131" i="1"/>
  <c r="M108" i="1"/>
  <c r="M31" i="1"/>
  <c r="M141" i="1"/>
  <c r="M97" i="1"/>
  <c r="M81" i="1"/>
  <c r="M92" i="1"/>
  <c r="M67" i="1"/>
  <c r="M6" i="1"/>
  <c r="M16" i="1"/>
  <c r="M134" i="1"/>
  <c r="AB99" i="1" l="1"/>
  <c r="AE99" i="1" l="1"/>
  <c r="M99" i="1" l="1"/>
</calcChain>
</file>

<file path=xl/sharedStrings.xml><?xml version="1.0" encoding="utf-8"?>
<sst xmlns="http://schemas.openxmlformats.org/spreadsheetml/2006/main" count="5018" uniqueCount="1530">
  <si>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</si>
  <si>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</si>
  <si>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</si>
  <si>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</si>
  <si>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</si>
  <si>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</si>
  <si>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</si>
  <si>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</si>
  <si>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</si>
  <si>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</si>
  <si>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</si>
  <si>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</si>
  <si>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</si>
  <si>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</si>
  <si>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</si>
  <si>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</si>
  <si>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</si>
  <si>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</si>
  <si>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</si>
  <si>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</si>
  <si>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</si>
  <si>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</si>
  <si>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</si>
  <si>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</si>
  <si>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</si>
  <si>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</si>
  <si>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</si>
  <si>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</si>
  <si>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</si>
  <si>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</si>
  <si>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</si>
  <si>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</si>
  <si>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</si>
  <si>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</si>
  <si>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</si>
  <si>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</si>
  <si>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</si>
  <si>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</si>
  <si>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</si>
  <si>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</si>
  <si>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</si>
  <si>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</si>
  <si>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</si>
  <si>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</si>
  <si>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</si>
  <si>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</si>
  <si>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</si>
  <si>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</si>
  <si>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</si>
  <si>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</si>
  <si>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</si>
  <si>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</si>
  <si>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</si>
  <si>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</si>
  <si>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</si>
  <si>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</si>
  <si>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</si>
  <si>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</si>
  <si>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</si>
  <si>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</si>
  <si>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</si>
  <si>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</si>
  <si>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</si>
  <si>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</si>
  <si>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</si>
  <si>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</si>
  <si>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</si>
  <si>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</si>
  <si>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</si>
  <si>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</si>
  <si>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</si>
  <si>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</si>
  <si>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</si>
  <si>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</si>
  <si>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</si>
  <si>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</si>
  <si>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</si>
  <si>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</si>
  <si>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</si>
  <si>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</si>
  <si>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</si>
  <si>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</si>
  <si>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</si>
  <si>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</si>
  <si>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</si>
  <si>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</si>
  <si>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</si>
  <si>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</si>
  <si>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</si>
  <si>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</si>
  <si>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</si>
  <si>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</si>
  <si>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</si>
  <si>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</si>
  <si>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</si>
  <si>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</si>
  <si>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</si>
  <si>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</si>
  <si>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</si>
  <si>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</si>
  <si>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</si>
  <si>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</si>
  <si>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</si>
  <si>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</si>
  <si>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</si>
  <si>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</si>
  <si>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</si>
  <si>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</si>
  <si>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</si>
  <si>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</si>
  <si>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</si>
  <si>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</si>
  <si>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</si>
  <si>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</si>
  <si>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</si>
  <si>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</si>
  <si>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</si>
  <si>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</si>
  <si>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</si>
  <si>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</si>
  <si>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</si>
  <si>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</si>
  <si>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</si>
  <si>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</si>
  <si>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</si>
  <si>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</si>
  <si>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</si>
  <si>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</si>
  <si>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</si>
  <si>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</si>
  <si>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</si>
  <si>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</si>
  <si>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</si>
  <si>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</si>
  <si>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</si>
  <si>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</si>
  <si>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</si>
  <si>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</si>
  <si>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</si>
  <si>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</si>
  <si>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</si>
  <si>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</si>
  <si>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</si>
  <si>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</si>
  <si>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</si>
  <si>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</si>
  <si>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</si>
  <si>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</si>
  <si>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</si>
  <si>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</si>
  <si>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</si>
  <si>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</si>
  <si>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</si>
  <si>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</si>
  <si>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</si>
  <si>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</si>
  <si>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</si>
  <si>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</si>
  <si>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</si>
  <si>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</si>
  <si>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</si>
  <si>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</si>
  <si>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</si>
  <si>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</si>
  <si>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</si>
  <si>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</si>
  <si>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</si>
  <si>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</si>
  <si>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</si>
  <si>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</si>
  <si>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</si>
  <si>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</si>
  <si>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</si>
  <si>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</si>
  <si>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</si>
  <si>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</si>
  <si>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</si>
  <si>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</si>
  <si>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</si>
  <si>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</si>
  <si>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</si>
  <si>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</si>
  <si>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</si>
  <si>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</si>
  <si>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</si>
  <si>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</si>
  <si>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</si>
  <si>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</si>
  <si>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</si>
  <si>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</si>
  <si>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</si>
  <si>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</si>
  <si>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</si>
  <si>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</si>
  <si>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</si>
  <si>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</si>
  <si>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</si>
  <si>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</si>
  <si>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</si>
  <si>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</si>
  <si>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</si>
  <si>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</si>
  <si>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</si>
  <si>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</si>
  <si>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</si>
  <si>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</si>
  <si>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</si>
  <si>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</si>
  <si>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</si>
  <si>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</si>
  <si>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</si>
  <si>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</si>
  <si>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</si>
  <si>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</si>
  <si>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</si>
  <si>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</si>
  <si>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</si>
  <si>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</si>
  <si>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</si>
  <si>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</si>
  <si>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</si>
  <si>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</si>
  <si>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</si>
  <si>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</si>
  <si>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</si>
  <si>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</si>
  <si>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</si>
  <si>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</si>
  <si>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</si>
  <si>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</si>
  <si>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</si>
  <si>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</si>
  <si>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</si>
  <si>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</si>
  <si>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</si>
  <si>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</si>
  <si>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</si>
  <si>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</si>
  <si>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</si>
  <si>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</si>
  <si>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</si>
  <si>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</si>
  <si>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</si>
  <si>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</si>
  <si>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</si>
  <si>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</si>
  <si>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</si>
  <si>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</si>
  <si>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</si>
  <si>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</si>
  <si>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</si>
  <si>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</si>
  <si>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</si>
  <si>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</si>
  <si>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</si>
  <si>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</si>
  <si>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</si>
  <si>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</si>
  <si>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</si>
  <si>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</si>
  <si>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</si>
  <si>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</si>
  <si>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</si>
  <si>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</si>
  <si>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</si>
  <si>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</si>
  <si>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</si>
  <si>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</si>
  <si>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</si>
  <si>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</si>
  <si>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</si>
  <si>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</si>
  <si>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</si>
  <si>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</si>
  <si>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</si>
  <si>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</si>
  <si>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</si>
  <si>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</si>
  <si>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</si>
  <si>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</si>
  <si>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</si>
  <si>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</si>
  <si>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</si>
  <si>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</si>
  <si>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</si>
  <si>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</si>
  <si>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</si>
  <si>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</si>
  <si>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</si>
  <si>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</si>
  <si>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</si>
  <si>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</si>
  <si>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</si>
  <si>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</si>
  <si>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</si>
  <si>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</si>
  <si>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</si>
  <si>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</si>
  <si>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</si>
  <si>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</si>
  <si>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</si>
  <si>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</si>
  <si>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</si>
  <si>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</si>
  <si>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</si>
  <si>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</si>
  <si>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</si>
  <si>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</si>
  <si>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</si>
  <si>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</si>
  <si>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</si>
  <si>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</si>
  <si>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</si>
  <si>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</si>
  <si>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</si>
  <si>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</si>
  <si>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</si>
  <si>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</si>
  <si>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</si>
  <si>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</si>
  <si>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</si>
  <si>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</si>
  <si>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</si>
  <si>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</si>
  <si>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</si>
  <si>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</si>
  <si>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</si>
  <si>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</si>
  <si>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</si>
  <si>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</si>
  <si>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</si>
  <si>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</si>
  <si>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</si>
  <si>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</si>
  <si>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</si>
  <si>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</si>
  <si>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</si>
  <si>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</si>
  <si>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</si>
  <si>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</si>
  <si>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</si>
  <si>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</si>
  <si>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</si>
  <si>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</si>
  <si>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</si>
  <si>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</si>
  <si>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</si>
  <si>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</si>
  <si>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</si>
  <si>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</si>
  <si>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</si>
  <si>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</si>
  <si>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</si>
  <si>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</si>
  <si>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</si>
  <si>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</si>
  <si>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</si>
  <si>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</si>
  <si>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</si>
  <si>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</si>
  <si>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</si>
  <si>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</si>
  <si>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</si>
  <si>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</si>
  <si>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</si>
  <si>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</si>
  <si>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</si>
  <si>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</si>
  <si>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</si>
  <si>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</si>
  <si>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</si>
  <si>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</si>
  <si>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</si>
  <si>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</si>
  <si>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</si>
  <si>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</si>
  <si>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</si>
  <si>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</si>
  <si>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</si>
  <si>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</si>
  <si>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</si>
  <si>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</si>
  <si>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</si>
  <si>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</si>
  <si>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</si>
  <si>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</si>
  <si>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</si>
  <si>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</si>
  <si>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</si>
  <si>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</si>
  <si>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</si>
  <si>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</si>
  <si>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</si>
  <si>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</si>
  <si>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</si>
  <si>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</si>
  <si>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</si>
  <si>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</si>
  <si>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</si>
  <si>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</si>
  <si>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</si>
  <si>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</si>
  <si>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</si>
  <si>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</si>
  <si>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</si>
  <si>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</si>
  <si>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</si>
  <si>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</si>
  <si>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</si>
  <si>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</si>
  <si>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</si>
  <si>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</si>
  <si>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</si>
  <si>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</si>
  <si>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</si>
  <si>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</si>
  <si>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</si>
  <si>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</si>
  <si>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</si>
  <si>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</si>
  <si>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</si>
  <si>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</si>
  <si>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</si>
  <si>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</si>
  <si>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</si>
  <si>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</si>
  <si>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</si>
  <si>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</si>
  <si>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</si>
  <si>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</si>
  <si>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</si>
  <si>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</si>
  <si>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</si>
  <si>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</si>
  <si>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</si>
  <si>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</si>
  <si>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</si>
  <si>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</si>
  <si>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</si>
  <si>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</si>
  <si>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</si>
  <si>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</si>
  <si>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</si>
  <si>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</si>
  <si>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</si>
  <si>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</si>
  <si>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</si>
  <si>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</si>
  <si>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</si>
  <si>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</si>
  <si>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</si>
  <si>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</si>
  <si>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</si>
  <si>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</si>
  <si>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</si>
  <si>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</si>
  <si>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</si>
  <si>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</si>
  <si>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</si>
  <si>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</si>
  <si>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</si>
  <si>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</si>
  <si>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</si>
  <si>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</si>
  <si>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</si>
  <si>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</si>
  <si>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</si>
  <si>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</si>
  <si>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</si>
  <si>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</si>
  <si>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</si>
  <si>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</si>
  <si>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</si>
  <si>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</si>
  <si>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</si>
  <si>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</si>
  <si>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</si>
  <si>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</si>
  <si>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</si>
  <si>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</si>
  <si>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</si>
  <si>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</si>
  <si>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</si>
  <si>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</si>
  <si>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</si>
  <si>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</si>
  <si>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</si>
  <si>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</si>
  <si>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</si>
  <si>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</si>
  <si>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</si>
  <si>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</si>
  <si>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</si>
  <si>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</si>
  <si>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</si>
  <si>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</si>
  <si>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</si>
  <si>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</si>
  <si>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</si>
  <si>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</si>
  <si>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</si>
  <si>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</si>
  <si>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</si>
  <si>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</si>
  <si>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</si>
  <si>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</si>
  <si>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</si>
  <si>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</si>
  <si>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</si>
  <si>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</si>
  <si>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</si>
  <si>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</si>
  <si>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</si>
  <si>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</si>
  <si>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</si>
  <si>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</si>
  <si>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</si>
  <si>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</si>
  <si>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</si>
  <si>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</si>
  <si>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</si>
  <si>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</si>
  <si>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</si>
  <si>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</si>
  <si>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</si>
  <si>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</si>
  <si>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</si>
  <si>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</si>
  <si>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</si>
  <si>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</si>
  <si>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</si>
  <si>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</si>
  <si>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</si>
  <si>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</si>
  <si>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</si>
  <si>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</si>
  <si>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</si>
  <si>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</si>
  <si>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</si>
  <si>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</si>
  <si>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</si>
  <si>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</si>
  <si>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</si>
  <si>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</si>
  <si>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</si>
  <si>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</si>
  <si>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</si>
  <si>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</si>
  <si>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</si>
  <si>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</si>
  <si>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</si>
  <si>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</si>
  <si>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</si>
  <si>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</si>
  <si>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</si>
  <si>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</si>
  <si>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</si>
  <si>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</si>
  <si>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</si>
  <si>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</si>
  <si>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</si>
  <si>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</si>
  <si>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</si>
  <si>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</si>
  <si>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</si>
  <si>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</si>
  <si>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</si>
  <si>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</si>
  <si>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</si>
  <si>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</si>
  <si>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</si>
  <si>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</si>
  <si>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</si>
  <si>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</si>
  <si>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</si>
  <si>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</si>
  <si>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</si>
  <si>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</si>
  <si>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</si>
  <si>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</si>
  <si>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</si>
  <si>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</si>
  <si>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</si>
  <si>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</si>
  <si>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</si>
  <si>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</si>
  <si>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</si>
  <si>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</si>
  <si>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</si>
  <si>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</si>
  <si>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</si>
  <si>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</si>
  <si>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</si>
  <si>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</si>
  <si>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</si>
  <si>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</si>
  <si>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</si>
  <si>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</si>
  <si>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</si>
  <si>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</si>
  <si>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</si>
  <si>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</si>
  <si>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</si>
  <si>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</si>
  <si>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</si>
  <si>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</si>
  <si>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</si>
  <si>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</si>
  <si>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</si>
  <si>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</si>
  <si>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</si>
  <si>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</si>
  <si>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</si>
  <si>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</si>
  <si>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</si>
  <si>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</si>
  <si>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</si>
  <si>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</si>
  <si>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</si>
  <si>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</si>
  <si>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</si>
  <si>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</si>
  <si>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</si>
  <si>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</si>
  <si>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</si>
  <si>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</si>
  <si>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</si>
  <si>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</si>
  <si>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</si>
  <si>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</si>
  <si>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</si>
  <si>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</si>
  <si>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</si>
  <si>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</si>
  <si>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</si>
  <si>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</si>
  <si>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</si>
  <si>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</si>
  <si>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</si>
  <si>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</si>
  <si>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</si>
  <si>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</si>
  <si>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</si>
  <si>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</si>
  <si>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</si>
  <si>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</si>
  <si>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</si>
  <si>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</si>
  <si>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</si>
  <si>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</si>
  <si>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</si>
  <si>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</si>
  <si>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</si>
  <si>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</si>
  <si>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</si>
  <si>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</si>
  <si>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</si>
  <si>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</si>
  <si>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</si>
  <si>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</si>
  <si>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</si>
  <si>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</si>
  <si>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</si>
  <si>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</si>
  <si>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</si>
  <si>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</si>
  <si>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</si>
  <si>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</si>
  <si>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</si>
  <si>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</si>
  <si>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</si>
  <si>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</si>
  <si>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</si>
  <si>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</si>
  <si>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</si>
  <si>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</si>
  <si>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</si>
  <si>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</si>
  <si>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</si>
  <si>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</si>
  <si>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</si>
  <si>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</si>
  <si>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</si>
  <si>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</si>
  <si>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</si>
  <si>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</si>
  <si>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</si>
  <si>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</si>
  <si>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</si>
  <si>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</si>
  <si>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</si>
  <si>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</si>
  <si>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</si>
  <si>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</si>
  <si>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</si>
  <si>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</si>
  <si>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</si>
  <si>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</si>
  <si>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</si>
  <si>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</si>
  <si>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</si>
  <si>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</si>
  <si>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</si>
  <si>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</si>
  <si>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</si>
  <si>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</si>
  <si>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</si>
  <si>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</si>
  <si>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</si>
  <si>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</si>
  <si>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</si>
  <si>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</si>
  <si>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</si>
  <si>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</si>
  <si>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</si>
  <si>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</si>
  <si>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</si>
  <si>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</si>
  <si>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</si>
  <si>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</si>
  <si>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</si>
  <si>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</si>
  <si>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</si>
  <si>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</si>
  <si>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</si>
  <si>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</si>
  <si>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</si>
  <si>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</si>
  <si>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</si>
  <si>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</si>
  <si>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</si>
  <si>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</si>
  <si>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</si>
  <si>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</si>
  <si>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</si>
  <si>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</si>
  <si>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</si>
  <si>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</si>
  <si>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</si>
  <si>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</si>
  <si>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</si>
  <si>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</si>
  <si>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</si>
  <si>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</si>
  <si>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</si>
  <si>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</si>
  <si>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</si>
  <si>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</si>
  <si>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</si>
  <si>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</si>
  <si>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</si>
  <si>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</si>
  <si>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</si>
  <si>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</si>
  <si>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</si>
  <si>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</si>
  <si>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</si>
  <si>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</si>
  <si>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</si>
  <si>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</si>
  <si>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</si>
  <si>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</si>
  <si>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</si>
  <si>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</si>
  <si>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</si>
  <si>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</si>
  <si>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</si>
  <si>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</si>
  <si>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</si>
  <si>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</si>
  <si>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</si>
  <si>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</si>
  <si>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</si>
  <si>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</si>
  <si>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</si>
  <si>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</si>
  <si>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</si>
  <si>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</si>
  <si>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</si>
  <si>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</si>
  <si>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</si>
  <si>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</si>
  <si>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</si>
  <si>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</si>
  <si>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</si>
  <si>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</si>
  <si>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</si>
  <si>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</si>
  <si>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</si>
  <si>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</si>
  <si>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</si>
  <si>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</si>
  <si>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</si>
  <si>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</si>
  <si>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</si>
  <si>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</si>
  <si>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</si>
  <si>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</si>
  <si>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</si>
  <si>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</si>
  <si>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</si>
  <si>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</si>
  <si>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</si>
  <si>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</si>
  <si>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</si>
  <si>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</si>
  <si>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</si>
  <si>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</si>
  <si>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</si>
  <si>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</si>
  <si>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</si>
  <si>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</si>
  <si>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</si>
  <si>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</si>
  <si>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</si>
  <si>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</si>
  <si>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</si>
  <si>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</si>
  <si>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</si>
  <si>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</si>
  <si>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</si>
  <si>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</si>
  <si>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</si>
  <si>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</si>
  <si>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</si>
  <si>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</si>
  <si>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</si>
  <si>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</si>
  <si>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</si>
  <si>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</si>
  <si>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</si>
  <si>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</si>
  <si>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</si>
  <si>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</si>
  <si>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</si>
  <si>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</si>
  <si>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</si>
  <si>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</si>
  <si>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</si>
  <si>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</si>
  <si>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</si>
  <si>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</si>
  <si>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</si>
  <si>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</si>
  <si>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</si>
  <si>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</si>
  <si>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</si>
  <si>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</si>
  <si>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</si>
  <si>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</si>
  <si>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</si>
  <si>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</si>
  <si>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</si>
  <si>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</si>
  <si>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</si>
  <si>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</si>
  <si>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</si>
  <si>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</si>
  <si>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</si>
  <si>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</si>
  <si>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</si>
  <si>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</si>
  <si>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</si>
  <si>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</si>
  <si>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</si>
  <si>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</si>
  <si>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</si>
  <si>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</si>
  <si>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</si>
  <si>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</si>
  <si>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</si>
  <si>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</si>
  <si>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</si>
  <si>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</si>
  <si>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</si>
  <si>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</si>
  <si>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</si>
  <si>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</si>
  <si>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</si>
  <si>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</si>
  <si>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</si>
  <si>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</si>
  <si>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</si>
  <si>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</si>
  <si>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</si>
  <si>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</si>
  <si>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</si>
  <si>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</si>
  <si>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</si>
  <si>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</si>
  <si>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</si>
  <si>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</si>
  <si>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AA5 /06.08.18</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</si>
  <si>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</si>
  <si>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</si>
  <si>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</si>
  <si>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</si>
  <si>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</si>
  <si>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</si>
  <si>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</si>
  <si>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</si>
  <si>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</si>
  <si>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</si>
  <si>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</si>
  <si>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</si>
  <si>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</si>
  <si>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</si>
  <si>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</si>
  <si>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</si>
  <si>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</si>
  <si>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</si>
  <si>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</si>
  <si>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</si>
  <si>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</si>
  <si>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</si>
  <si>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</si>
  <si>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</si>
  <si>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</si>
  <si>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</si>
  <si>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</si>
  <si>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</si>
  <si>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</si>
  <si>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</si>
  <si>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</si>
  <si>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</si>
  <si>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</si>
  <si>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</si>
  <si>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</si>
  <si>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</si>
  <si>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</si>
  <si>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</si>
  <si>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</si>
  <si>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</si>
  <si>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</si>
  <si>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</si>
  <si>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</si>
  <si>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</si>
  <si>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</si>
  <si>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</si>
  <si>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</si>
  <si>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</si>
  <si>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</si>
  <si>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</si>
  <si>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</si>
  <si>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</si>
  <si>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</si>
  <si>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</si>
  <si>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</si>
  <si>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</si>
  <si>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</si>
  <si>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</si>
  <si>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</si>
  <si>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</si>
  <si>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</si>
  <si>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</si>
  <si>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</si>
  <si>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</si>
  <si>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</si>
  <si>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</si>
  <si>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</si>
  <si>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</si>
  <si>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</si>
  <si>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</si>
  <si>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</si>
  <si>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</si>
  <si>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</si>
  <si>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</si>
  <si>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</si>
  <si>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</si>
  <si>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</si>
  <si>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</si>
  <si>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</si>
  <si>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</si>
  <si>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</si>
  <si>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</si>
  <si>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</si>
  <si>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</si>
  <si>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</si>
  <si>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</si>
  <si>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</si>
  <si>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</si>
  <si>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</si>
  <si>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</si>
  <si>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</si>
  <si>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</si>
  <si>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</si>
  <si>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</si>
  <si>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Asociația Mesteșukar Mobil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</si>
  <si>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</si>
  <si>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</si>
  <si>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</si>
  <si>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</si>
  <si>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</si>
  <si>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</si>
  <si>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</si>
  <si>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</si>
  <si>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</si>
  <si>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</si>
  <si>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</si>
  <si>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</si>
  <si>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</si>
  <si>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</si>
  <si>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</si>
  <si>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</si>
  <si>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</si>
  <si>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</si>
  <si>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</si>
  <si>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</si>
  <si>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</si>
  <si>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</si>
  <si>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</si>
  <si>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</si>
  <si>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</si>
  <si>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</si>
  <si>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</si>
  <si>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</si>
  <si>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</si>
  <si>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</si>
  <si>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</si>
  <si>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</si>
  <si>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</si>
  <si>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</si>
  <si>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</si>
  <si>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</si>
  <si>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</si>
  <si>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</si>
  <si>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</si>
  <si>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</si>
  <si>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</si>
  <si>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</si>
  <si>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</si>
  <si>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</si>
  <si>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</si>
  <si>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</si>
  <si>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</si>
  <si>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</si>
  <si>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</si>
  <si>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</si>
  <si>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</si>
  <si>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</si>
  <si>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</si>
  <si>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</si>
  <si>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</si>
  <si>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</si>
  <si>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</si>
  <si>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</si>
  <si>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</si>
  <si>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</si>
  <si>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</si>
  <si>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</si>
  <si>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</si>
  <si>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</si>
  <si>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</si>
  <si>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</si>
  <si>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</si>
  <si>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</si>
  <si>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</si>
  <si>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</si>
  <si>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</si>
  <si>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</si>
  <si>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</si>
  <si>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</si>
  <si>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</si>
  <si>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</si>
  <si>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</si>
  <si>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</si>
  <si>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</si>
  <si>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</si>
  <si>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</si>
  <si>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</si>
  <si>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</si>
  <si>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</si>
  <si>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</si>
  <si>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</si>
  <si>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</si>
  <si>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</si>
  <si>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</si>
  <si>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</si>
  <si>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</si>
  <si>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</si>
  <si>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</si>
  <si>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</si>
  <si>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</si>
  <si>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</si>
  <si>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</si>
  <si>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</si>
  <si>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</si>
  <si>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</si>
  <si>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</si>
  <si>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</si>
  <si>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</si>
  <si>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</si>
  <si>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</si>
  <si>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</si>
  <si>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</si>
  <si>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</si>
  <si>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</si>
  <si>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AA1 / 09.06.2017                                       AA2/12.10.2018</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</si>
  <si>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</si>
  <si>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</si>
  <si>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</si>
  <si>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</si>
  <si>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</si>
  <si>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</si>
  <si>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</si>
  <si>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</si>
  <si>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</si>
  <si>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</si>
  <si>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</si>
  <si>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</si>
  <si>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</si>
  <si>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</si>
  <si>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</si>
  <si>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</si>
  <si>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</si>
  <si>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</si>
  <si>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</si>
  <si>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</si>
  <si>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</si>
  <si>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</si>
  <si>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</si>
  <si>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</si>
  <si>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</si>
  <si>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</si>
  <si>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</si>
  <si>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</si>
  <si>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</si>
  <si>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</si>
  <si>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</si>
  <si>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</si>
  <si>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</si>
  <si>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</si>
  <si>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</si>
  <si>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</si>
  <si>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</si>
  <si>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</si>
  <si>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</si>
  <si>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</si>
  <si>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</si>
  <si>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</si>
  <si>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</si>
  <si>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</si>
  <si>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</si>
  <si>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</si>
  <si>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</si>
  <si>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</si>
  <si>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</si>
  <si>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</si>
  <si>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</si>
  <si>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</si>
  <si>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</si>
  <si>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</si>
  <si>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</si>
  <si>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</si>
  <si>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</si>
  <si>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</si>
  <si>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</si>
  <si>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</si>
  <si>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</si>
  <si>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</si>
  <si>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</si>
  <si>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</si>
  <si>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</si>
  <si>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</si>
  <si>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</si>
  <si>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</si>
  <si>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</si>
  <si>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</si>
  <si>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</si>
  <si>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</si>
  <si>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</si>
  <si>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</si>
  <si>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</si>
  <si>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</si>
  <si>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</si>
  <si>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</si>
  <si>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</si>
  <si>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</si>
  <si>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</si>
  <si>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</si>
  <si>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</si>
  <si>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</si>
  <si>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</si>
  <si>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</si>
  <si>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</si>
  <si>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</si>
  <si>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</si>
  <si>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</si>
  <si>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</si>
  <si>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</si>
  <si>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</si>
  <si>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</si>
  <si>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</si>
  <si>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</si>
  <si>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</si>
  <si>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</si>
  <si>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</si>
  <si>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</si>
  <si>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</si>
  <si>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</si>
  <si>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</si>
  <si>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</si>
  <si>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</si>
  <si>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</si>
  <si>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</si>
  <si>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</si>
  <si>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</si>
  <si>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</si>
  <si>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</si>
  <si>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</si>
  <si>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AA3 / 30.07.2018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</si>
  <si>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</si>
  <si>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</si>
  <si>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</si>
  <si>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</si>
  <si>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</si>
  <si>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</si>
  <si>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</si>
  <si>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</si>
  <si>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</si>
  <si>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</si>
  <si>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</si>
  <si>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</si>
  <si>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</si>
  <si>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</si>
  <si>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</si>
  <si>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</si>
  <si>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</si>
  <si>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</si>
  <si>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</si>
  <si>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</si>
  <si>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</si>
  <si>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</si>
  <si>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</si>
  <si>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</si>
  <si>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</si>
  <si>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</si>
  <si>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</si>
  <si>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</si>
  <si>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</si>
  <si>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</si>
  <si>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</si>
  <si>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</si>
  <si>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</si>
  <si>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</si>
  <si>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</si>
  <si>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</si>
  <si>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AA5/ 31.01.2019</t>
  </si>
  <si>
    <t>AA1/01.02.2019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</si>
  <si>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</si>
  <si>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</si>
  <si>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</si>
  <si>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</si>
  <si>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</si>
  <si>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</si>
  <si>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</si>
  <si>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</si>
  <si>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</si>
  <si>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</si>
  <si>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</si>
  <si>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</si>
  <si>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</si>
  <si>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</si>
  <si>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</si>
  <si>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</si>
  <si>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</si>
  <si>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</si>
  <si>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</si>
  <si>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</si>
  <si>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</si>
  <si>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</si>
  <si>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</si>
  <si>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</si>
  <si>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</si>
  <si>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</si>
  <si>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</si>
  <si>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</si>
  <si>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</si>
  <si>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</si>
  <si>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</si>
  <si>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</si>
  <si>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</si>
  <si>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</si>
  <si>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</si>
  <si>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</si>
  <si>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</si>
  <si>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</si>
  <si>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</si>
  <si>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</si>
  <si>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</si>
  <si>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</si>
  <si>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</si>
  <si>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</si>
  <si>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</si>
  <si>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</si>
  <si>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</si>
  <si>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</si>
  <si>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</si>
  <si>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</si>
  <si>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</si>
  <si>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</si>
  <si>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</si>
  <si>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</si>
  <si>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</si>
  <si>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</si>
  <si>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</si>
  <si>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</si>
  <si>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</si>
  <si>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</si>
  <si>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</si>
  <si>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</si>
  <si>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</si>
  <si>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</si>
  <si>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</si>
  <si>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</si>
  <si>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</si>
  <si>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</si>
  <si>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</si>
  <si>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</si>
  <si>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</si>
  <si>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</si>
  <si>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</si>
  <si>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</si>
  <si>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</si>
  <si>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</si>
  <si>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</si>
  <si>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</si>
  <si>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</si>
  <si>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</si>
  <si>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</si>
  <si>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</si>
  <si>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</si>
  <si>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</si>
  <si>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</si>
  <si>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</si>
  <si>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</si>
  <si>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</si>
  <si>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</si>
  <si>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</si>
  <si>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</si>
  <si>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</si>
  <si>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</si>
  <si>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</si>
  <si>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</si>
  <si>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</si>
  <si>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</si>
  <si>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</si>
  <si>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</si>
  <si>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</si>
  <si>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</si>
  <si>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AA2/30.01.2019</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</si>
  <si>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</si>
  <si>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</si>
  <si>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</si>
  <si>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</si>
  <si>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</si>
  <si>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</si>
  <si>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</si>
  <si>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</si>
  <si>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</si>
  <si>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</si>
  <si>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</si>
  <si>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</si>
  <si>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</si>
  <si>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 xml:space="preserve">                                                 AA4/08.04.2019</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</si>
  <si>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</si>
  <si>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</si>
  <si>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</si>
  <si>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</si>
  <si>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</si>
  <si>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</si>
  <si>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</si>
  <si>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</si>
  <si>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</si>
  <si>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</si>
  <si>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</si>
  <si>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</si>
  <si>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</si>
  <si>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</si>
  <si>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</si>
  <si>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</si>
  <si>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</si>
  <si>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</si>
  <si>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</si>
  <si>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</si>
  <si>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</si>
  <si>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</si>
  <si>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</si>
  <si>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</si>
  <si>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</si>
  <si>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</si>
  <si>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</si>
  <si>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AA1/10.05.2019</t>
  </si>
  <si>
    <t>AA3/10.05.2019</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</si>
  <si>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</si>
  <si>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</si>
  <si>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</si>
  <si>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</si>
  <si>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</si>
  <si>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</si>
  <si>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</si>
  <si>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</si>
  <si>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</si>
  <si>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</si>
  <si>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</si>
  <si>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</si>
  <si>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</si>
  <si>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AA2</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</si>
  <si>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</si>
  <si>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</si>
  <si>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</si>
  <si>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</si>
  <si>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</si>
  <si>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</si>
  <si>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</si>
  <si>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</si>
  <si>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</si>
  <si>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</si>
  <si>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</si>
  <si>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</si>
  <si>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</si>
  <si>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</si>
  <si>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</si>
  <si>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</si>
  <si>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</si>
  <si>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AA5/27.05.2019</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</si>
  <si>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</si>
  <si>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</si>
  <si>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</si>
  <si>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</si>
  <si>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</si>
  <si>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</si>
  <si>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</si>
  <si>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</si>
  <si>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</si>
  <si>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</si>
  <si>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</si>
  <si>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</si>
  <si>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AA3/31.05.2019</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</si>
  <si>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</si>
  <si>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</si>
  <si>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</si>
  <si>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</si>
  <si>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</si>
  <si>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</si>
  <si>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</si>
  <si>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</si>
  <si>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</si>
  <si>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</si>
  <si>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</si>
  <si>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</si>
  <si>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</si>
  <si>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AA8 /03.09.2018 prel. Proiect 45L               AA9/11.02.2019 realoc.sume</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</si>
  <si>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</si>
  <si>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</si>
  <si>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</si>
  <si>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</si>
  <si>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</si>
  <si>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</si>
  <si>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</si>
  <si>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</si>
  <si>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</si>
  <si>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</si>
  <si>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</si>
  <si>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</si>
  <si>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</si>
  <si>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</si>
  <si>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</si>
  <si>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</si>
  <si>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</si>
  <si>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</si>
  <si>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</si>
  <si>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</si>
  <si>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</si>
  <si>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</si>
  <si>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</si>
  <si>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</si>
  <si>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</si>
  <si>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</si>
  <si>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</si>
  <si>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</si>
  <si>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</si>
  <si>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</si>
  <si>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</si>
  <si>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</si>
  <si>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</si>
  <si>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</si>
  <si>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</si>
  <si>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</si>
  <si>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</si>
  <si>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</si>
  <si>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</si>
  <si>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</si>
  <si>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</si>
  <si>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</si>
  <si>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</si>
  <si>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</si>
  <si>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</si>
  <si>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</si>
  <si>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</si>
  <si>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</si>
  <si>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</si>
  <si>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in implementare</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</si>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</sst>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7" formatCode="0.0000000"/>
    <numFmt numFmtId="170" formatCode="0.0000"/>
  </numFmts>
  <fonts count="6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sz val="10"/>
      <name val="Calibri"/>
      <family val="2"/>
      <charset val="1"/>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6">
    <xf numFmtId="0" fontId="0" fillId="0" borderId="0"/>
    <xf numFmtId="164" fontId="17" fillId="0" borderId="0" applyFont="0" applyFill="0" applyBorder="0" applyAlignment="0" applyProtection="0"/>
    <xf numFmtId="164" fontId="17" fillId="0" borderId="0" applyFont="0" applyFill="0" applyBorder="0" applyAlignment="0" applyProtection="0"/>
    <xf numFmtId="0" fontId="44"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6" fillId="0" borderId="0"/>
    <xf numFmtId="0" fontId="17" fillId="0" borderId="0"/>
    <xf numFmtId="0" fontId="17" fillId="0" borderId="0"/>
    <xf numFmtId="0" fontId="28" fillId="0" borderId="0"/>
    <xf numFmtId="0" fontId="10" fillId="0" borderId="0"/>
    <xf numFmtId="0" fontId="10" fillId="0" borderId="0"/>
  </cellStyleXfs>
  <cellXfs count="300">
    <xf numFmtId="0" fontId="0" fillId="0" borderId="0" xfId="0"/>
    <xf numFmtId="4" fontId="21" fillId="0" borderId="3" xfId="0" applyNumberFormat="1" applyFont="1" applyFill="1" applyBorder="1" applyAlignment="1">
      <alignment horizontal="right" vertical="center" wrapText="1"/>
    </xf>
    <xf numFmtId="4" fontId="15" fillId="2" borderId="3"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0" fillId="0" borderId="0" xfId="0" applyFill="1"/>
    <xf numFmtId="4" fontId="15" fillId="0" borderId="3" xfId="0"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3" fontId="15" fillId="0" borderId="3" xfId="0" applyNumberFormat="1"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3" xfId="0" applyFont="1" applyFill="1" applyBorder="1" applyAlignment="1">
      <alignment vertical="center" wrapText="1"/>
    </xf>
    <xf numFmtId="0" fontId="18"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18" fillId="0" borderId="3" xfId="0" applyFont="1" applyFill="1" applyBorder="1" applyAlignment="1">
      <alignment horizontal="justify" vertical="top" wrapText="1"/>
    </xf>
    <xf numFmtId="14" fontId="18" fillId="0" borderId="3"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66" fontId="18" fillId="0" borderId="3" xfId="1" applyNumberFormat="1" applyFont="1" applyFill="1" applyBorder="1" applyAlignment="1">
      <alignment horizontal="right" vertical="center" wrapText="1"/>
    </xf>
    <xf numFmtId="4" fontId="23" fillId="0" borderId="0" xfId="0" applyNumberFormat="1" applyFont="1" applyFill="1" applyAlignment="1">
      <alignment horizontal="right" vertical="center" wrapText="1"/>
    </xf>
    <xf numFmtId="4" fontId="21" fillId="0" borderId="3" xfId="1" applyNumberFormat="1" applyFont="1" applyFill="1" applyBorder="1" applyAlignment="1">
      <alignment horizontal="right" vertical="center" wrapText="1"/>
    </xf>
    <xf numFmtId="166" fontId="21" fillId="0" borderId="3" xfId="1"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4" fontId="18" fillId="0" borderId="3" xfId="0" applyNumberFormat="1" applyFont="1" applyFill="1" applyBorder="1" applyAlignment="1">
      <alignment horizontal="right" vertical="center" wrapText="1"/>
    </xf>
    <xf numFmtId="0" fontId="34" fillId="0" borderId="3" xfId="0" applyFont="1" applyFill="1" applyBorder="1" applyAlignment="1">
      <alignment horizontal="left" vertical="center" wrapText="1"/>
    </xf>
    <xf numFmtId="0" fontId="34" fillId="0" borderId="3" xfId="0" applyFont="1" applyFill="1" applyBorder="1" applyAlignment="1">
      <alignment horizontal="justify" vertical="top" wrapText="1"/>
    </xf>
    <xf numFmtId="14" fontId="21" fillId="0" borderId="3" xfId="0" applyNumberFormat="1" applyFont="1" applyFill="1" applyBorder="1" applyAlignment="1">
      <alignment horizontal="center" vertical="center" wrapText="1"/>
    </xf>
    <xf numFmtId="0" fontId="15" fillId="0" borderId="3" xfId="0" applyFont="1" applyFill="1" applyBorder="1" applyAlignment="1">
      <alignment horizontal="right" vertical="center" wrapText="1"/>
    </xf>
    <xf numFmtId="3" fontId="15" fillId="0" borderId="3" xfId="0" applyNumberFormat="1" applyFont="1" applyFill="1" applyBorder="1" applyAlignment="1">
      <alignment horizontal="right" vertic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horizontal="left" vertical="center" wrapText="1"/>
    </xf>
    <xf numFmtId="166" fontId="18" fillId="0" borderId="3" xfId="0"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3" xfId="0" applyFont="1" applyFill="1" applyBorder="1" applyAlignment="1">
      <alignment horizontal="left" vertical="top" wrapText="1"/>
    </xf>
    <xf numFmtId="0" fontId="37" fillId="0" borderId="1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8" fillId="0" borderId="3" xfId="0" applyFont="1" applyFill="1" applyBorder="1" applyAlignment="1">
      <alignment horizontal="right" vertical="center" wrapText="1"/>
    </xf>
    <xf numFmtId="0" fontId="20" fillId="0" borderId="0" xfId="0" applyFont="1" applyFill="1" applyAlignment="1">
      <alignment wrapText="1"/>
    </xf>
    <xf numFmtId="165" fontId="21" fillId="0" borderId="3" xfId="0" applyNumberFormat="1" applyFont="1" applyFill="1" applyBorder="1" applyAlignment="1">
      <alignment horizontal="center" vertical="center" wrapText="1"/>
    </xf>
    <xf numFmtId="0" fontId="21" fillId="0" borderId="3" xfId="0" applyFont="1" applyFill="1" applyBorder="1" applyAlignment="1">
      <alignment horizontal="right" vertical="center" wrapText="1"/>
    </xf>
    <xf numFmtId="0" fontId="7" fillId="0" borderId="0" xfId="0" applyFont="1" applyFill="1"/>
    <xf numFmtId="0" fontId="18" fillId="0" borderId="3" xfId="0" applyFont="1" applyFill="1" applyBorder="1" applyAlignment="1">
      <alignment horizontal="justify" vertical="center" wrapText="1"/>
    </xf>
    <xf numFmtId="4" fontId="18" fillId="0" borderId="7" xfId="0" applyNumberFormat="1" applyFont="1" applyFill="1" applyBorder="1" applyAlignment="1">
      <alignment horizontal="right" vertical="center" wrapText="1"/>
    </xf>
    <xf numFmtId="1" fontId="25" fillId="0" borderId="3" xfId="0" applyNumberFormat="1" applyFont="1" applyFill="1" applyBorder="1" applyAlignment="1">
      <alignment horizontal="center" vertical="center" wrapText="1"/>
    </xf>
    <xf numFmtId="166" fontId="18" fillId="0" borderId="3" xfId="1" applyNumberFormat="1" applyFont="1" applyFill="1" applyBorder="1" applyAlignment="1">
      <alignment horizontal="center" vertical="center" wrapText="1"/>
    </xf>
    <xf numFmtId="4" fontId="49" fillId="0" borderId="0" xfId="0" applyNumberFormat="1" applyFont="1" applyFill="1" applyAlignment="1">
      <alignment horizontal="center" vertical="center" wrapText="1"/>
    </xf>
    <xf numFmtId="14" fontId="23" fillId="0" borderId="3"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center" wrapText="1"/>
    </xf>
    <xf numFmtId="0" fontId="21" fillId="0" borderId="15" xfId="0" applyFont="1" applyFill="1" applyBorder="1" applyAlignment="1">
      <alignment vertical="center" wrapText="1"/>
    </xf>
    <xf numFmtId="0" fontId="18" fillId="0" borderId="15" xfId="0" applyFont="1" applyFill="1" applyBorder="1" applyAlignment="1">
      <alignment horizontal="left" vertical="center" wrapText="1"/>
    </xf>
    <xf numFmtId="4" fontId="15" fillId="0" borderId="3" xfId="0" applyNumberFormat="1" applyFont="1" applyFill="1" applyBorder="1" applyAlignment="1">
      <alignment horizontal="right" vertical="center" wrapText="1"/>
    </xf>
    <xf numFmtId="166" fontId="21" fillId="0" borderId="6" xfId="1" applyNumberFormat="1" applyFont="1" applyFill="1" applyBorder="1" applyAlignment="1">
      <alignment horizontal="right" vertical="center" wrapText="1"/>
    </xf>
    <xf numFmtId="4" fontId="21" fillId="0" borderId="6" xfId="1" applyNumberFormat="1" applyFont="1" applyFill="1" applyBorder="1" applyAlignment="1">
      <alignment horizontal="right" vertical="center" wrapText="1"/>
    </xf>
    <xf numFmtId="167" fontId="21" fillId="0" borderId="3" xfId="0"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0" fontId="23" fillId="0" borderId="3" xfId="0" applyFont="1" applyFill="1" applyBorder="1" applyAlignment="1">
      <alignment horizontal="left" vertical="center" wrapText="1"/>
    </xf>
    <xf numFmtId="165" fontId="21" fillId="0" borderId="3" xfId="0" applyNumberFormat="1"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5" fillId="0"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31" fillId="0" borderId="3" xfId="0" applyFont="1" applyFill="1" applyBorder="1" applyAlignment="1">
      <alignment vertical="center" wrapText="1"/>
    </xf>
    <xf numFmtId="0" fontId="31" fillId="0" borderId="3" xfId="0" applyFont="1" applyFill="1" applyBorder="1" applyAlignment="1">
      <alignment horizontal="center" vertical="center" wrapText="1"/>
    </xf>
    <xf numFmtId="0" fontId="18" fillId="0" borderId="3" xfId="0" applyFont="1" applyFill="1" applyBorder="1" applyAlignment="1">
      <alignment horizontal="left" vertical="top" wrapText="1"/>
    </xf>
    <xf numFmtId="4" fontId="20" fillId="0" borderId="3" xfId="1" applyNumberFormat="1" applyFont="1" applyFill="1" applyBorder="1" applyAlignment="1">
      <alignment horizontal="right" vertical="center" wrapText="1"/>
    </xf>
    <xf numFmtId="0" fontId="23" fillId="0" borderId="3" xfId="0" applyFont="1" applyFill="1" applyBorder="1" applyAlignment="1">
      <alignment vertical="center" wrapText="1"/>
    </xf>
    <xf numFmtId="0" fontId="4" fillId="0" borderId="0" xfId="0" applyFont="1" applyFill="1"/>
    <xf numFmtId="0" fontId="23" fillId="0" borderId="0" xfId="0" applyFont="1" applyFill="1" applyAlignment="1">
      <alignment vertical="center" wrapText="1"/>
    </xf>
    <xf numFmtId="0" fontId="31" fillId="0" borderId="0" xfId="0" applyFont="1" applyFill="1" applyAlignment="1">
      <alignment vertical="center" wrapText="1"/>
    </xf>
    <xf numFmtId="0" fontId="18" fillId="0" borderId="3" xfId="0" applyFont="1" applyFill="1" applyBorder="1" applyAlignment="1">
      <alignment vertical="center" wrapText="1"/>
    </xf>
    <xf numFmtId="0" fontId="30" fillId="0" borderId="3" xfId="0" applyFont="1" applyFill="1" applyBorder="1" applyAlignment="1">
      <alignment vertical="top" wrapText="1"/>
    </xf>
    <xf numFmtId="0" fontId="40" fillId="0" borderId="3" xfId="0" applyFont="1" applyFill="1" applyBorder="1" applyAlignment="1">
      <alignment horizontal="right" vertical="center" wrapText="1"/>
    </xf>
    <xf numFmtId="4" fontId="41" fillId="0" borderId="0" xfId="0" applyNumberFormat="1" applyFont="1" applyFill="1" applyAlignment="1">
      <alignment vertical="center" wrapText="1"/>
    </xf>
    <xf numFmtId="4" fontId="40" fillId="0" borderId="3" xfId="1" applyNumberFormat="1" applyFont="1" applyFill="1" applyBorder="1" applyAlignment="1">
      <alignment horizontal="right" vertical="center" wrapText="1"/>
    </xf>
    <xf numFmtId="4" fontId="40" fillId="0" borderId="3" xfId="0" applyNumberFormat="1" applyFont="1" applyFill="1" applyBorder="1" applyAlignment="1">
      <alignment horizontal="right" vertical="center" wrapText="1"/>
    </xf>
    <xf numFmtId="14" fontId="39" fillId="0" borderId="3" xfId="0" applyNumberFormat="1" applyFont="1" applyFill="1" applyBorder="1" applyAlignment="1">
      <alignment horizontal="right" vertical="center" wrapText="1"/>
    </xf>
    <xf numFmtId="14" fontId="37" fillId="0" borderId="3" xfId="0" applyNumberFormat="1" applyFont="1" applyFill="1" applyBorder="1" applyAlignment="1">
      <alignment horizontal="right" vertical="center" wrapText="1"/>
    </xf>
    <xf numFmtId="0" fontId="29" fillId="0" borderId="3"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51" fillId="0" borderId="3" xfId="0" applyFont="1" applyFill="1" applyBorder="1" applyAlignment="1">
      <alignment vertical="center" wrapText="1"/>
    </xf>
    <xf numFmtId="0" fontId="34" fillId="0" borderId="3" xfId="0" applyFont="1" applyFill="1" applyBorder="1" applyAlignment="1">
      <alignment vertical="top" wrapText="1"/>
    </xf>
    <xf numFmtId="1" fontId="18" fillId="0" borderId="3"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right" vertical="center" wrapText="1"/>
    </xf>
    <xf numFmtId="4" fontId="18" fillId="0" borderId="3" xfId="0" applyNumberFormat="1" applyFont="1" applyFill="1" applyBorder="1"/>
    <xf numFmtId="4" fontId="18" fillId="0" borderId="3" xfId="0" applyNumberFormat="1" applyFont="1" applyFill="1" applyBorder="1" applyAlignment="1">
      <alignment horizontal="center" vertical="center"/>
    </xf>
    <xf numFmtId="2" fontId="21" fillId="0" borderId="3" xfId="0" applyNumberFormat="1" applyFont="1" applyFill="1" applyBorder="1" applyAlignment="1">
      <alignment horizontal="right" vertical="center" wrapText="1"/>
    </xf>
    <xf numFmtId="0" fontId="20" fillId="0" borderId="15" xfId="0" applyFont="1" applyFill="1" applyBorder="1" applyAlignment="1">
      <alignment vertical="center" wrapText="1"/>
    </xf>
    <xf numFmtId="4" fontId="21" fillId="0" borderId="3" xfId="0" applyNumberFormat="1" applyFont="1" applyFill="1" applyBorder="1" applyAlignment="1">
      <alignment horizontal="center" vertical="center"/>
    </xf>
    <xf numFmtId="0" fontId="32" fillId="0" borderId="3" xfId="0" applyFont="1" applyFill="1" applyBorder="1" applyAlignment="1">
      <alignment horizontal="center" vertical="center" wrapText="1"/>
    </xf>
    <xf numFmtId="0" fontId="18" fillId="0" borderId="24" xfId="0" applyFont="1" applyFill="1" applyBorder="1" applyAlignment="1">
      <alignment horizontal="left" vertical="center" wrapText="1"/>
    </xf>
    <xf numFmtId="0" fontId="30" fillId="0" borderId="5" xfId="0" applyFont="1" applyFill="1" applyBorder="1" applyAlignment="1">
      <alignment vertical="top" wrapText="1"/>
    </xf>
    <xf numFmtId="0" fontId="37" fillId="0" borderId="3" xfId="0" applyFont="1" applyFill="1" applyBorder="1" applyAlignment="1">
      <alignment horizontal="left" vertical="center" wrapText="1"/>
    </xf>
    <xf numFmtId="0" fontId="19" fillId="0" borderId="3" xfId="0" applyFont="1" applyFill="1" applyBorder="1" applyAlignment="1">
      <alignment vertical="center" wrapText="1"/>
    </xf>
    <xf numFmtId="0" fontId="25" fillId="0" borderId="14" xfId="0" applyFont="1" applyFill="1" applyBorder="1" applyAlignment="1">
      <alignment horizontal="center" vertical="center" wrapText="1"/>
    </xf>
    <xf numFmtId="0" fontId="29" fillId="0" borderId="0" xfId="0" applyFont="1" applyFill="1" applyAlignment="1">
      <alignment wrapText="1"/>
    </xf>
    <xf numFmtId="0" fontId="21" fillId="0" borderId="3" xfId="0" applyFont="1" applyFill="1" applyBorder="1" applyAlignment="1">
      <alignment horizontal="justify" vertical="top" wrapText="1"/>
    </xf>
    <xf numFmtId="4" fontId="21" fillId="0" borderId="15" xfId="1" applyNumberFormat="1" applyFont="1" applyFill="1" applyBorder="1" applyAlignment="1">
      <alignment horizontal="right" vertical="center" wrapText="1"/>
    </xf>
    <xf numFmtId="0" fontId="23" fillId="0" borderId="0" xfId="0" applyFont="1" applyFill="1"/>
    <xf numFmtId="0" fontId="11" fillId="0" borderId="3" xfId="0" applyFont="1" applyFill="1" applyBorder="1" applyAlignment="1">
      <alignment vertical="center" wrapTex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xf numFmtId="0" fontId="7" fillId="0" borderId="3" xfId="0" applyFont="1" applyFill="1" applyBorder="1" applyAlignment="1">
      <alignment vertical="center" wrapText="1"/>
    </xf>
    <xf numFmtId="4" fontId="20" fillId="0" borderId="3" xfId="0" applyNumberFormat="1" applyFont="1" applyFill="1" applyBorder="1" applyAlignment="1">
      <alignment horizontal="right" vertical="center" wrapText="1"/>
    </xf>
    <xf numFmtId="164" fontId="21" fillId="0" borderId="3" xfId="0" applyNumberFormat="1" applyFont="1" applyFill="1" applyBorder="1" applyAlignment="1">
      <alignment horizontal="right" vertical="center" wrapText="1"/>
    </xf>
    <xf numFmtId="3" fontId="21" fillId="0" borderId="15"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4" fontId="21" fillId="0" borderId="15"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center" wrapText="1"/>
    </xf>
    <xf numFmtId="4" fontId="18" fillId="0" borderId="3" xfId="0" applyNumberFormat="1" applyFont="1" applyFill="1" applyBorder="1" applyAlignment="1">
      <alignment horizontal="left" vertical="center" wrapText="1"/>
    </xf>
    <xf numFmtId="4" fontId="15"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top" wrapText="1"/>
    </xf>
    <xf numFmtId="4" fontId="0" fillId="0" borderId="0" xfId="0" applyNumberFormat="1" applyFill="1"/>
    <xf numFmtId="0" fontId="52" fillId="0" borderId="0" xfId="0" applyFont="1" applyFill="1" applyAlignment="1">
      <alignment horizontal="center" vertical="center" wrapText="1"/>
    </xf>
    <xf numFmtId="166" fontId="21" fillId="0" borderId="3" xfId="1" applyNumberFormat="1" applyFont="1" applyFill="1" applyBorder="1" applyAlignment="1">
      <alignment horizontal="center" vertical="center" wrapText="1"/>
    </xf>
    <xf numFmtId="4" fontId="21" fillId="0" borderId="3" xfId="1" applyNumberFormat="1" applyFont="1" applyFill="1" applyBorder="1" applyAlignment="1">
      <alignment horizontal="center" vertical="center" wrapText="1"/>
    </xf>
    <xf numFmtId="4" fontId="0" fillId="0" borderId="0" xfId="0" applyNumberFormat="1" applyFill="1" applyAlignment="1">
      <alignment horizontal="center" vertical="center" wrapText="1"/>
    </xf>
    <xf numFmtId="49" fontId="21" fillId="0" borderId="15" xfId="0" applyNumberFormat="1" applyFont="1" applyFill="1" applyBorder="1" applyAlignment="1">
      <alignment horizontal="center" vertical="center" wrapText="1"/>
    </xf>
    <xf numFmtId="4" fontId="18" fillId="0" borderId="14" xfId="0" applyNumberFormat="1" applyFont="1" applyFill="1" applyBorder="1" applyAlignment="1">
      <alignment horizontal="left" vertical="center" wrapText="1"/>
    </xf>
    <xf numFmtId="0" fontId="5" fillId="0" borderId="0" xfId="0" applyFont="1" applyFill="1"/>
    <xf numFmtId="0" fontId="55" fillId="0" borderId="3" xfId="0" applyFont="1" applyFill="1" applyBorder="1" applyAlignment="1">
      <alignment horizontal="left" vertical="center" wrapText="1"/>
    </xf>
    <xf numFmtId="4" fontId="18" fillId="0" borderId="3" xfId="0" applyNumberFormat="1" applyFont="1" applyFill="1" applyBorder="1" applyAlignment="1">
      <alignment vertical="center"/>
    </xf>
    <xf numFmtId="166" fontId="18" fillId="0" borderId="6" xfId="1" applyNumberFormat="1" applyFont="1" applyFill="1" applyBorder="1" applyAlignment="1">
      <alignment horizontal="right" vertical="center" wrapText="1"/>
    </xf>
    <xf numFmtId="0" fontId="12" fillId="0" borderId="0" xfId="0" applyFont="1" applyFill="1" applyAlignment="1">
      <alignment horizontal="left" vertical="center" wrapText="1"/>
    </xf>
    <xf numFmtId="3" fontId="15" fillId="0" borderId="3" xfId="1" applyNumberFormat="1" applyFont="1" applyFill="1" applyBorder="1" applyAlignment="1">
      <alignment horizontal="right" vertical="center" wrapText="1"/>
    </xf>
    <xf numFmtId="166" fontId="18" fillId="0" borderId="9" xfId="1" applyNumberFormat="1" applyFont="1" applyFill="1" applyBorder="1" applyAlignment="1">
      <alignment horizontal="right" vertical="center" wrapText="1"/>
    </xf>
    <xf numFmtId="166" fontId="18" fillId="0" borderId="15" xfId="1" applyNumberFormat="1" applyFont="1" applyFill="1" applyBorder="1" applyAlignment="1">
      <alignment horizontal="right" vertical="center" wrapText="1"/>
    </xf>
    <xf numFmtId="0" fontId="0" fillId="0" borderId="0" xfId="0" applyFill="1" applyAlignment="1">
      <alignment horizontal="center" vertical="center"/>
    </xf>
    <xf numFmtId="0" fontId="29" fillId="0" borderId="3" xfId="0" applyFont="1" applyFill="1" applyBorder="1" applyAlignment="1">
      <alignment vertical="center" wrapText="1"/>
    </xf>
    <xf numFmtId="0" fontId="29" fillId="0" borderId="0" xfId="0" applyFont="1" applyFill="1" applyAlignment="1">
      <alignment horizontal="center" vertical="center" wrapText="1"/>
    </xf>
    <xf numFmtId="0" fontId="52" fillId="0" borderId="3" xfId="0" applyFont="1" applyFill="1" applyBorder="1" applyAlignment="1">
      <alignment horizontal="center" vertical="center"/>
    </xf>
    <xf numFmtId="0" fontId="52" fillId="0" borderId="3" xfId="0" applyFont="1" applyFill="1" applyBorder="1" applyAlignment="1">
      <alignment horizontal="center" vertical="center" wrapText="1"/>
    </xf>
    <xf numFmtId="2" fontId="15" fillId="0" borderId="3" xfId="0" applyNumberFormat="1" applyFont="1" applyFill="1" applyBorder="1" applyAlignment="1">
      <alignment horizontal="right" vertical="center" wrapText="1"/>
    </xf>
    <xf numFmtId="166" fontId="18" fillId="0" borderId="5" xfId="1" applyNumberFormat="1" applyFont="1" applyFill="1" applyBorder="1" applyAlignment="1">
      <alignment horizontal="right" vertical="center" wrapText="1"/>
    </xf>
    <xf numFmtId="166" fontId="21" fillId="0" borderId="3" xfId="0" applyNumberFormat="1" applyFont="1" applyFill="1" applyBorder="1" applyAlignment="1">
      <alignment horizontal="right" vertical="center" wrapText="1"/>
    </xf>
    <xf numFmtId="0" fontId="0" fillId="0" borderId="0" xfId="0" applyFill="1" applyAlignment="1">
      <alignment wrapText="1"/>
    </xf>
    <xf numFmtId="0" fontId="29" fillId="0" borderId="0" xfId="0" applyFont="1" applyFill="1" applyAlignment="1">
      <alignment vertical="center" wrapText="1"/>
    </xf>
    <xf numFmtId="0" fontId="0" fillId="0" borderId="3" xfId="0" applyFill="1" applyBorder="1" applyAlignment="1">
      <alignment vertical="center" wrapText="1"/>
    </xf>
    <xf numFmtId="4" fontId="24" fillId="0" borderId="24"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24" fillId="0" borderId="0" xfId="0" applyNumberFormat="1" applyFont="1" applyFill="1" applyAlignment="1">
      <alignment horizontal="right" vertical="center" wrapText="1"/>
    </xf>
    <xf numFmtId="4" fontId="24" fillId="0" borderId="25" xfId="0" applyNumberFormat="1" applyFont="1" applyFill="1" applyBorder="1" applyAlignment="1">
      <alignment horizontal="right" vertical="center" wrapText="1"/>
    </xf>
    <xf numFmtId="4" fontId="56" fillId="0" borderId="0" xfId="0" applyNumberFormat="1" applyFont="1" applyFill="1" applyAlignment="1">
      <alignment horizontal="right" vertical="center" wrapText="1"/>
    </xf>
    <xf numFmtId="4" fontId="56" fillId="0" borderId="3" xfId="0" applyNumberFormat="1" applyFont="1" applyFill="1" applyBorder="1" applyAlignment="1">
      <alignment horizontal="right" vertical="center" wrapText="1"/>
    </xf>
    <xf numFmtId="0" fontId="0" fillId="0" borderId="0" xfId="0" applyFill="1" applyAlignment="1">
      <alignment vertical="center" wrapText="1"/>
    </xf>
    <xf numFmtId="0" fontId="24" fillId="0" borderId="3" xfId="0" applyFont="1" applyFill="1" applyBorder="1" applyAlignment="1">
      <alignment horizontal="right" vertical="center" wrapText="1"/>
    </xf>
    <xf numFmtId="0" fontId="13" fillId="0" borderId="0" xfId="0" applyFont="1" applyFill="1" applyAlignment="1">
      <alignment vertical="center" wrapText="1"/>
    </xf>
    <xf numFmtId="0" fontId="24" fillId="0" borderId="0" xfId="0" applyFont="1" applyFill="1" applyAlignment="1">
      <alignment horizontal="right" vertical="center" wrapText="1"/>
    </xf>
    <xf numFmtId="0" fontId="21" fillId="0" borderId="3" xfId="0" applyFont="1" applyFill="1" applyBorder="1" applyAlignment="1">
      <alignment vertical="center" wrapText="1"/>
    </xf>
    <xf numFmtId="1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xf>
    <xf numFmtId="0" fontId="8" fillId="0" borderId="0" xfId="0" applyFont="1" applyFill="1"/>
    <xf numFmtId="0" fontId="3" fillId="0" borderId="0" xfId="0" applyFont="1" applyFill="1"/>
    <xf numFmtId="166" fontId="18" fillId="0" borderId="0" xfId="0" applyNumberFormat="1" applyFont="1" applyFill="1" applyAlignment="1">
      <alignment vertical="center"/>
    </xf>
    <xf numFmtId="0" fontId="52" fillId="0" borderId="0" xfId="0" applyFont="1" applyFill="1" applyAlignment="1">
      <alignment horizontal="center" vertical="center"/>
    </xf>
    <xf numFmtId="0" fontId="26" fillId="0" borderId="3" xfId="0" applyFont="1" applyFill="1" applyBorder="1" applyAlignment="1">
      <alignment horizontal="center" vertical="center" wrapText="1"/>
    </xf>
    <xf numFmtId="166" fontId="18" fillId="0" borderId="3" xfId="0" applyNumberFormat="1" applyFont="1" applyFill="1" applyBorder="1" applyAlignment="1">
      <alignment vertical="center"/>
    </xf>
    <xf numFmtId="0" fontId="37" fillId="0" borderId="3" xfId="0" applyFont="1" applyFill="1" applyBorder="1" applyAlignment="1">
      <alignment horizontal="center" vertical="center" wrapText="1"/>
    </xf>
    <xf numFmtId="4" fontId="20" fillId="0" borderId="3" xfId="0" applyNumberFormat="1" applyFont="1" applyFill="1" applyBorder="1" applyAlignment="1">
      <alignment vertical="center" wrapText="1"/>
    </xf>
    <xf numFmtId="4" fontId="29" fillId="0" borderId="0" xfId="0" applyNumberFormat="1" applyFont="1" applyFill="1" applyAlignment="1">
      <alignment horizontal="right" vertical="center" wrapText="1"/>
    </xf>
    <xf numFmtId="4" fontId="29" fillId="0" borderId="3" xfId="0" applyNumberFormat="1" applyFont="1" applyFill="1" applyBorder="1" applyAlignment="1">
      <alignment horizontal="right" vertical="center" wrapText="1"/>
    </xf>
    <xf numFmtId="166" fontId="18" fillId="0" borderId="4"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166" fontId="18" fillId="0" borderId="0" xfId="0" applyNumberFormat="1" applyFont="1" applyFill="1"/>
    <xf numFmtId="3" fontId="15" fillId="0" borderId="5" xfId="0" applyNumberFormat="1" applyFont="1" applyFill="1" applyBorder="1" applyAlignment="1">
      <alignment horizontal="right" vertical="center" wrapText="1"/>
    </xf>
    <xf numFmtId="166" fontId="0" fillId="0" borderId="0" xfId="0" applyNumberFormat="1" applyFill="1"/>
    <xf numFmtId="166" fontId="0" fillId="0" borderId="3" xfId="0" applyNumberFormat="1" applyFill="1" applyBorder="1" applyAlignment="1">
      <alignment horizontal="right" vertical="center" wrapText="1"/>
    </xf>
    <xf numFmtId="166" fontId="0" fillId="0" borderId="3" xfId="0" applyNumberFormat="1" applyFill="1" applyBorder="1"/>
    <xf numFmtId="0" fontId="18" fillId="0" borderId="3" xfId="0" applyFont="1" applyFill="1" applyBorder="1" applyAlignment="1">
      <alignment horizontal="left" vertical="justify" wrapText="1"/>
    </xf>
    <xf numFmtId="0" fontId="15" fillId="0" borderId="3" xfId="0" applyFont="1" applyFill="1" applyBorder="1" applyAlignment="1">
      <alignment horizontal="center" vertical="center"/>
    </xf>
    <xf numFmtId="0" fontId="20" fillId="0" borderId="3" xfId="0" applyFont="1" applyFill="1" applyBorder="1" applyAlignment="1">
      <alignment vertical="center"/>
    </xf>
    <xf numFmtId="14" fontId="22" fillId="0" borderId="3" xfId="0" applyNumberFormat="1" applyFont="1" applyFill="1" applyBorder="1" applyAlignment="1">
      <alignment horizontal="right" vertical="center"/>
    </xf>
    <xf numFmtId="49" fontId="22" fillId="0" borderId="3" xfId="0" applyNumberFormat="1" applyFont="1" applyFill="1" applyBorder="1" applyAlignment="1">
      <alignment horizontal="right" vertical="center" wrapText="1"/>
    </xf>
    <xf numFmtId="14" fontId="24" fillId="0" borderId="3"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wrapText="1"/>
    </xf>
    <xf numFmtId="0" fontId="16" fillId="0" borderId="0" xfId="0" applyFont="1" applyFill="1"/>
    <xf numFmtId="0" fontId="22" fillId="0" borderId="3" xfId="0" applyFont="1" applyFill="1" applyBorder="1" applyAlignment="1">
      <alignment horizontal="right" vertical="center" wrapText="1"/>
    </xf>
    <xf numFmtId="0" fontId="27" fillId="0" borderId="3" xfId="0" applyFont="1" applyFill="1" applyBorder="1" applyAlignment="1">
      <alignment horizontal="center" vertical="center" wrapText="1"/>
    </xf>
    <xf numFmtId="0" fontId="58" fillId="0" borderId="3" xfId="0" applyNumberFormat="1" applyFont="1" applyFill="1" applyBorder="1" applyAlignment="1">
      <alignment horizontal="right" vertical="center" wrapText="1"/>
    </xf>
    <xf numFmtId="0" fontId="28" fillId="0" borderId="3" xfId="0" applyFont="1" applyFill="1" applyBorder="1" applyAlignment="1">
      <alignment horizontal="center" vertical="center" wrapText="1"/>
    </xf>
    <xf numFmtId="4" fontId="18" fillId="0" borderId="6" xfId="0" applyNumberFormat="1" applyFont="1" applyFill="1" applyBorder="1" applyAlignment="1">
      <alignment horizontal="right" vertical="center" wrapText="1"/>
    </xf>
    <xf numFmtId="4" fontId="18" fillId="0" borderId="10" xfId="0" applyNumberFormat="1" applyFont="1" applyFill="1" applyBorder="1" applyAlignment="1">
      <alignment horizontal="right" vertical="center" wrapText="1"/>
    </xf>
    <xf numFmtId="0" fontId="29" fillId="0" borderId="0" xfId="0" applyFont="1" applyFill="1" applyAlignment="1">
      <alignment horizontal="justify" vertical="center"/>
    </xf>
    <xf numFmtId="0" fontId="38" fillId="0" borderId="19" xfId="0" applyFont="1" applyFill="1" applyBorder="1" applyAlignment="1">
      <alignment horizontal="center" vertical="center" wrapText="1"/>
    </xf>
    <xf numFmtId="0" fontId="0" fillId="0" borderId="3" xfId="0" applyFill="1" applyBorder="1" applyAlignment="1">
      <alignment horizontal="right"/>
    </xf>
    <xf numFmtId="0" fontId="31" fillId="0" borderId="3" xfId="0" applyFont="1" applyFill="1" applyBorder="1" applyAlignment="1">
      <alignment vertical="center"/>
    </xf>
    <xf numFmtId="0" fontId="0" fillId="0" borderId="0" xfId="0"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5" xfId="0" applyFont="1" applyFill="1" applyBorder="1" applyAlignment="1">
      <alignment horizontal="justify" vertical="top" wrapText="1"/>
    </xf>
    <xf numFmtId="0" fontId="32" fillId="0" borderId="0" xfId="0" applyFont="1" applyFill="1" applyAlignment="1">
      <alignment horizontal="center" vertical="center" wrapText="1"/>
    </xf>
    <xf numFmtId="0" fontId="31" fillId="0" borderId="18" xfId="0" applyFont="1" applyFill="1" applyBorder="1" applyAlignment="1">
      <alignment vertical="center" wrapText="1"/>
    </xf>
    <xf numFmtId="0" fontId="31" fillId="0" borderId="21" xfId="0" applyFont="1" applyFill="1" applyBorder="1" applyAlignment="1">
      <alignment vertical="center" wrapText="1"/>
    </xf>
    <xf numFmtId="4" fontId="42" fillId="0" borderId="3" xfId="0" applyNumberFormat="1" applyFont="1" applyFill="1" applyBorder="1" applyAlignment="1">
      <alignment horizontal="right" vertical="center"/>
    </xf>
    <xf numFmtId="4" fontId="42" fillId="0" borderId="3" xfId="0" applyNumberFormat="1" applyFont="1" applyFill="1" applyBorder="1" applyAlignment="1">
      <alignment horizontal="center" vertical="center"/>
    </xf>
    <xf numFmtId="4" fontId="42" fillId="0" borderId="0" xfId="0" applyNumberFormat="1" applyFont="1" applyFill="1" applyAlignment="1">
      <alignment horizontal="right" vertical="center"/>
    </xf>
    <xf numFmtId="0" fontId="43" fillId="0" borderId="3" xfId="0" applyFont="1" applyFill="1" applyBorder="1" applyAlignment="1">
      <alignment vertical="center"/>
    </xf>
    <xf numFmtId="14" fontId="22" fillId="0" borderId="3" xfId="0" applyNumberFormat="1" applyFont="1" applyFill="1" applyBorder="1" applyAlignment="1">
      <alignment horizontal="center" vertical="center" wrapText="1"/>
    </xf>
    <xf numFmtId="0" fontId="43" fillId="0" borderId="3" xfId="0" applyFont="1" applyFill="1" applyBorder="1" applyAlignment="1">
      <alignment vertical="center" wrapText="1"/>
    </xf>
    <xf numFmtId="0" fontId="0" fillId="0" borderId="3" xfId="0" applyFill="1" applyBorder="1"/>
    <xf numFmtId="0" fontId="0" fillId="0" borderId="3" xfId="0" applyFill="1" applyBorder="1" applyAlignment="1">
      <alignment wrapText="1"/>
    </xf>
    <xf numFmtId="4" fontId="21" fillId="0" borderId="1" xfId="0" applyNumberFormat="1" applyFont="1" applyFill="1" applyBorder="1" applyAlignment="1">
      <alignment vertical="center" wrapText="1"/>
    </xf>
    <xf numFmtId="166" fontId="0" fillId="0" borderId="18" xfId="0" applyNumberFormat="1" applyFill="1" applyBorder="1" applyAlignment="1">
      <alignment vertical="center"/>
    </xf>
    <xf numFmtId="0" fontId="31" fillId="0" borderId="15" xfId="0" applyFont="1" applyFill="1" applyBorder="1" applyAlignment="1">
      <alignment vertical="center" wrapText="1"/>
    </xf>
    <xf numFmtId="0" fontId="18" fillId="0" borderId="15" xfId="4" applyFont="1" applyFill="1" applyBorder="1" applyAlignment="1">
      <alignment horizontal="center" vertical="center" wrapText="1"/>
    </xf>
    <xf numFmtId="0" fontId="25" fillId="0" borderId="15"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31" fillId="0" borderId="15" xfId="4" applyFont="1" applyFill="1" applyBorder="1" applyAlignment="1">
      <alignment vertical="center" wrapText="1"/>
    </xf>
    <xf numFmtId="0" fontId="34" fillId="0" borderId="3" xfId="4" applyFont="1" applyFill="1" applyBorder="1" applyAlignment="1">
      <alignment horizontal="left" vertical="center" wrapText="1"/>
    </xf>
    <xf numFmtId="0" fontId="21" fillId="0" borderId="3" xfId="4" applyFont="1" applyFill="1" applyBorder="1" applyAlignment="1">
      <alignment horizontal="justify" vertical="top" wrapText="1"/>
    </xf>
    <xf numFmtId="14" fontId="18" fillId="0" borderId="3" xfId="4" applyNumberFormat="1" applyFont="1" applyFill="1" applyBorder="1" applyAlignment="1">
      <alignment horizontal="center" vertical="center" wrapText="1"/>
    </xf>
    <xf numFmtId="165" fontId="18" fillId="0" borderId="3"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30" fillId="0" borderId="15" xfId="0" applyFont="1" applyFill="1" applyBorder="1" applyAlignment="1">
      <alignment vertical="center" wrapText="1"/>
    </xf>
    <xf numFmtId="0" fontId="45" fillId="0" borderId="3" xfId="0" applyFont="1" applyFill="1" applyBorder="1" applyAlignment="1">
      <alignment horizontal="left" vertical="center" wrapText="1"/>
    </xf>
    <xf numFmtId="166" fontId="23" fillId="0" borderId="3" xfId="0" applyNumberFormat="1" applyFont="1" applyFill="1" applyBorder="1" applyAlignment="1">
      <alignment horizontal="center" vertical="center" wrapText="1"/>
    </xf>
    <xf numFmtId="0" fontId="14" fillId="0" borderId="0" xfId="0" applyFont="1" applyFill="1" applyAlignment="1">
      <alignment wrapText="1"/>
    </xf>
    <xf numFmtId="0" fontId="18" fillId="0" borderId="3" xfId="0" applyFont="1" applyFill="1" applyBorder="1" applyAlignment="1">
      <alignment horizontal="justify" wrapText="1"/>
    </xf>
    <xf numFmtId="0" fontId="43" fillId="0" borderId="15" xfId="0" applyFont="1" applyFill="1" applyBorder="1" applyAlignment="1">
      <alignment vertical="center" wrapText="1"/>
    </xf>
    <xf numFmtId="0" fontId="23" fillId="0" borderId="15" xfId="0" applyFont="1" applyFill="1" applyBorder="1" applyAlignment="1">
      <alignment vertical="center" wrapText="1"/>
    </xf>
    <xf numFmtId="0" fontId="50" fillId="0" borderId="3" xfId="0" applyFont="1" applyFill="1" applyBorder="1" applyAlignment="1">
      <alignment horizontal="left" wrapText="1"/>
    </xf>
    <xf numFmtId="0" fontId="34" fillId="0" borderId="15" xfId="0" applyFont="1" applyFill="1" applyBorder="1" applyAlignment="1">
      <alignment vertical="center" wrapText="1"/>
    </xf>
    <xf numFmtId="0" fontId="21" fillId="0" borderId="3" xfId="0" applyFont="1" applyFill="1" applyBorder="1" applyAlignment="1">
      <alignment horizontal="justify" wrapText="1"/>
    </xf>
    <xf numFmtId="0" fontId="0" fillId="0" borderId="3" xfId="0" applyFill="1" applyBorder="1" applyAlignment="1">
      <alignment horizontal="left" vertical="center" wrapText="1"/>
    </xf>
    <xf numFmtId="0" fontId="7" fillId="0" borderId="0" xfId="0" applyFont="1" applyFill="1" applyAlignment="1">
      <alignment horizontal="left" vertical="center" wrapText="1"/>
    </xf>
    <xf numFmtId="0" fontId="29" fillId="0" borderId="3" xfId="0" applyFont="1" applyFill="1" applyBorder="1" applyAlignment="1">
      <alignment horizontal="left" vertical="center" wrapText="1"/>
    </xf>
    <xf numFmtId="166" fontId="57" fillId="0" borderId="26" xfId="1" applyNumberFormat="1" applyFont="1" applyFill="1" applyBorder="1" applyAlignment="1">
      <alignment horizontal="right" vertical="center" wrapText="1"/>
    </xf>
    <xf numFmtId="0" fontId="6" fillId="0" borderId="3" xfId="0" applyFont="1" applyFill="1" applyBorder="1" applyAlignment="1">
      <alignment wrapText="1"/>
    </xf>
    <xf numFmtId="0" fontId="52" fillId="0" borderId="0" xfId="0" applyFont="1" applyFill="1" applyAlignment="1">
      <alignment wrapText="1"/>
    </xf>
    <xf numFmtId="0" fontId="52" fillId="0" borderId="0" xfId="0" applyFont="1" applyFill="1"/>
    <xf numFmtId="0" fontId="52" fillId="0" borderId="0" xfId="0" applyFont="1" applyFill="1" applyAlignment="1">
      <alignment vertical="center" wrapText="1"/>
    </xf>
    <xf numFmtId="0" fontId="5" fillId="0" borderId="15" xfId="0" applyFont="1" applyFill="1" applyBorder="1" applyAlignment="1">
      <alignment vertical="center" wrapText="1"/>
    </xf>
    <xf numFmtId="0" fontId="26" fillId="0" borderId="3" xfId="0" applyFont="1" applyFill="1" applyBorder="1" applyAlignment="1">
      <alignment horizontal="center" vertical="center"/>
    </xf>
    <xf numFmtId="0" fontId="0" fillId="0" borderId="3" xfId="0" applyFill="1" applyBorder="1" applyAlignment="1">
      <alignment horizontal="left" vertical="top" wrapText="1"/>
    </xf>
    <xf numFmtId="14" fontId="0" fillId="0" borderId="3" xfId="0" applyNumberFormat="1" applyFill="1" applyBorder="1" applyAlignment="1">
      <alignment horizontal="center" vertical="center"/>
    </xf>
    <xf numFmtId="0" fontId="53" fillId="0" borderId="15" xfId="0" applyFont="1" applyFill="1" applyBorder="1" applyAlignment="1">
      <alignment horizontal="center" vertical="center" wrapText="1"/>
    </xf>
    <xf numFmtId="14" fontId="22" fillId="0" borderId="0" xfId="0" applyNumberFormat="1" applyFont="1" applyFill="1" applyBorder="1" applyAlignment="1">
      <alignment horizontal="right" vertical="center" wrapText="1"/>
    </xf>
    <xf numFmtId="4" fontId="18" fillId="0" borderId="0" xfId="0" applyNumberFormat="1" applyFont="1" applyFill="1" applyBorder="1" applyAlignment="1">
      <alignment horizontal="right" vertical="center" wrapText="1"/>
    </xf>
    <xf numFmtId="0" fontId="26" fillId="0" borderId="0" xfId="0" applyFont="1" applyFill="1"/>
    <xf numFmtId="0" fontId="0" fillId="0" borderId="0" xfId="0" applyFill="1" applyAlignment="1">
      <alignment horizontal="left"/>
    </xf>
    <xf numFmtId="0" fontId="0" fillId="0" borderId="0" xfId="0" applyFill="1" applyAlignment="1">
      <alignment horizontal="center"/>
    </xf>
    <xf numFmtId="0" fontId="0" fillId="2" borderId="13" xfId="0" applyFill="1" applyBorder="1" applyAlignment="1">
      <alignment horizontal="center" vertical="center" wrapText="1"/>
    </xf>
    <xf numFmtId="4" fontId="15" fillId="2" borderId="1" xfId="0" applyNumberFormat="1" applyFont="1" applyFill="1" applyBorder="1" applyAlignment="1">
      <alignment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3"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0" xfId="0" applyFont="1" applyFill="1" applyBorder="1" applyAlignment="1">
      <alignment horizontal="center" vertical="center" wrapText="1"/>
    </xf>
    <xf numFmtId="4" fontId="15" fillId="2" borderId="3" xfId="0" applyNumberFormat="1" applyFont="1" applyFill="1" applyBorder="1" applyAlignment="1">
      <alignment vertical="center" wrapText="1"/>
    </xf>
    <xf numFmtId="4" fontId="15" fillId="2" borderId="8"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14" xfId="0" applyNumberFormat="1"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4" fontId="15" fillId="2" borderId="1" xfId="0" applyNumberFormat="1" applyFont="1" applyFill="1" applyBorder="1" applyAlignment="1">
      <alignment vertical="center" wrapText="1"/>
    </xf>
    <xf numFmtId="4" fontId="15" fillId="2" borderId="8" xfId="0" applyNumberFormat="1" applyFont="1" applyFill="1" applyBorder="1" applyAlignment="1">
      <alignment vertical="center" wrapText="1"/>
    </xf>
    <xf numFmtId="4" fontId="15" fillId="2" borderId="6" xfId="0" applyNumberFormat="1" applyFont="1" applyFill="1" applyBorder="1" applyAlignment="1">
      <alignment vertical="center" wrapText="1"/>
    </xf>
    <xf numFmtId="4" fontId="15" fillId="2" borderId="20" xfId="0" applyNumberFormat="1" applyFont="1" applyFill="1" applyBorder="1" applyAlignment="1">
      <alignment vertical="center" wrapText="1"/>
    </xf>
    <xf numFmtId="3" fontId="15" fillId="2" borderId="1" xfId="0" applyNumberFormat="1" applyFont="1" applyFill="1" applyBorder="1" applyAlignment="1">
      <alignment vertical="center" wrapText="1"/>
    </xf>
    <xf numFmtId="3" fontId="15" fillId="2" borderId="3" xfId="0" applyNumberFormat="1" applyFont="1" applyFill="1" applyBorder="1" applyAlignment="1">
      <alignment vertical="center" wrapText="1"/>
    </xf>
    <xf numFmtId="2" fontId="0" fillId="0" borderId="0" xfId="0" applyNumberFormat="1" applyFill="1"/>
    <xf numFmtId="170" fontId="0" fillId="0" borderId="0" xfId="0" applyNumberFormat="1" applyFill="1"/>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0"/>
  <sheetViews>
    <sheetView tabSelected="1" zoomScale="70" zoomScaleNormal="55" workbookViewId="0">
      <selection sqref="A1:A3"/>
    </sheetView>
  </sheetViews>
  <sheetFormatPr defaultColWidth="9.140625" defaultRowHeight="15" x14ac:dyDescent="0.25"/>
  <cols>
    <col min="1" max="1" width="11.7109375" style="4" customWidth="1"/>
    <col min="2" max="2" width="13.140625" style="4" bestFit="1" customWidth="1"/>
    <col min="3" max="3" width="11.28515625" style="261" bestFit="1" customWidth="1"/>
    <col min="4" max="4" width="11.42578125" style="4" customWidth="1"/>
    <col min="5" max="5" width="14.28515625" style="4" customWidth="1"/>
    <col min="6" max="6" width="18.5703125" style="4" customWidth="1"/>
    <col min="7" max="7" width="46.140625" style="262" customWidth="1"/>
    <col min="8" max="8" width="26" style="262" customWidth="1"/>
    <col min="9" max="9" width="23.85546875" style="263" customWidth="1"/>
    <col min="10" max="10" width="69.7109375" style="4" customWidth="1"/>
    <col min="11" max="11" width="20.5703125" style="263" customWidth="1"/>
    <col min="12" max="12" width="20" style="263" customWidth="1"/>
    <col min="13" max="13" width="24.28515625" style="263" customWidth="1"/>
    <col min="14" max="14" width="24.42578125" style="263" customWidth="1"/>
    <col min="15" max="15" width="31.85546875" style="263" customWidth="1"/>
    <col min="16" max="16" width="20.140625" style="263" customWidth="1"/>
    <col min="17" max="17" width="17" style="263" customWidth="1"/>
    <col min="18" max="18" width="29.140625" style="263" customWidth="1"/>
    <col min="19" max="21" width="21.85546875" style="4" customWidth="1"/>
    <col min="22" max="22" width="15.5703125" style="4" customWidth="1"/>
    <col min="23" max="23" width="24" style="4" customWidth="1"/>
    <col min="24" max="24" width="15" style="4" customWidth="1"/>
    <col min="25" max="26" width="19.42578125" style="4" customWidth="1"/>
    <col min="27" max="27" width="19.85546875" style="4" customWidth="1"/>
    <col min="28" max="28" width="19.5703125" style="4" customWidth="1"/>
    <col min="29" max="29" width="20" style="4" customWidth="1"/>
    <col min="30" max="30" width="13.42578125" style="4" customWidth="1"/>
    <col min="31" max="31" width="29" style="4" customWidth="1"/>
    <col min="32" max="32" width="16" style="4" customWidth="1"/>
    <col min="33" max="33" width="21.85546875" style="4" customWidth="1"/>
    <col min="34" max="34" width="27.7109375" style="4" bestFit="1" customWidth="1"/>
    <col min="35" max="35" width="25" style="154" customWidth="1"/>
    <col min="36" max="36" width="18.28515625" style="4" bestFit="1" customWidth="1"/>
    <col min="37" max="37" width="22.42578125" style="4" bestFit="1" customWidth="1"/>
    <col min="38" max="16384" width="9.140625" style="4"/>
  </cols>
  <sheetData>
    <row r="1" spans="1:37" ht="89.25" customHeight="1" x14ac:dyDescent="0.25">
      <c r="A1" s="266" t="s">
        <v>0</v>
      </c>
      <c r="B1" s="280" t="s">
        <v>435</v>
      </c>
      <c r="C1" s="275" t="s">
        <v>159</v>
      </c>
      <c r="D1" s="273" t="s">
        <v>160</v>
      </c>
      <c r="E1" s="273" t="s">
        <v>9</v>
      </c>
      <c r="F1" s="273" t="s">
        <v>164</v>
      </c>
      <c r="G1" s="269" t="s">
        <v>1</v>
      </c>
      <c r="H1" s="271" t="s">
        <v>15</v>
      </c>
      <c r="I1" s="277" t="s">
        <v>191</v>
      </c>
      <c r="J1" s="273" t="s">
        <v>17</v>
      </c>
      <c r="K1" s="273" t="s">
        <v>16</v>
      </c>
      <c r="L1" s="273" t="s">
        <v>18</v>
      </c>
      <c r="M1" s="273" t="s">
        <v>19</v>
      </c>
      <c r="N1" s="273" t="s">
        <v>2</v>
      </c>
      <c r="O1" s="273" t="s">
        <v>20</v>
      </c>
      <c r="P1" s="273" t="s">
        <v>3</v>
      </c>
      <c r="Q1" s="273" t="s">
        <v>4</v>
      </c>
      <c r="R1" s="273" t="s">
        <v>21</v>
      </c>
      <c r="S1" s="284" t="s">
        <v>10</v>
      </c>
      <c r="T1" s="285"/>
      <c r="U1" s="285"/>
      <c r="V1" s="285"/>
      <c r="W1" s="285"/>
      <c r="X1" s="285"/>
      <c r="Y1" s="285"/>
      <c r="Z1" s="286"/>
      <c r="AA1" s="286"/>
      <c r="AB1" s="287"/>
      <c r="AC1" s="264" t="s">
        <v>4</v>
      </c>
      <c r="AD1" s="264"/>
      <c r="AE1" s="292" t="s">
        <v>158</v>
      </c>
      <c r="AF1" s="265"/>
      <c r="AG1" s="292" t="s">
        <v>5</v>
      </c>
      <c r="AH1" s="296" t="s">
        <v>14</v>
      </c>
      <c r="AI1" s="296" t="s">
        <v>6</v>
      </c>
      <c r="AJ1" s="292" t="s">
        <v>23</v>
      </c>
      <c r="AK1" s="293"/>
    </row>
    <row r="2" spans="1:37" ht="15.75" customHeight="1" x14ac:dyDescent="0.25">
      <c r="A2" s="267"/>
      <c r="B2" s="281"/>
      <c r="C2" s="276"/>
      <c r="D2" s="274"/>
      <c r="E2" s="274"/>
      <c r="F2" s="274"/>
      <c r="G2" s="270"/>
      <c r="H2" s="272"/>
      <c r="I2" s="278"/>
      <c r="J2" s="274"/>
      <c r="K2" s="274"/>
      <c r="L2" s="274"/>
      <c r="M2" s="274"/>
      <c r="N2" s="274"/>
      <c r="O2" s="274"/>
      <c r="P2" s="274"/>
      <c r="Q2" s="274"/>
      <c r="R2" s="274"/>
      <c r="S2" s="288" t="s">
        <v>11</v>
      </c>
      <c r="T2" s="289"/>
      <c r="U2" s="289"/>
      <c r="V2" s="289"/>
      <c r="W2" s="290"/>
      <c r="X2" s="291"/>
      <c r="Y2" s="283" t="s">
        <v>13</v>
      </c>
      <c r="Z2" s="2"/>
      <c r="AA2" s="2"/>
      <c r="AB2" s="294" t="s">
        <v>22</v>
      </c>
      <c r="AC2" s="2"/>
      <c r="AD2" s="2"/>
      <c r="AE2" s="283"/>
      <c r="AF2" s="283" t="s">
        <v>7</v>
      </c>
      <c r="AG2" s="283"/>
      <c r="AH2" s="297"/>
      <c r="AI2" s="297"/>
      <c r="AJ2" s="283" t="s">
        <v>8</v>
      </c>
      <c r="AK2" s="283" t="s">
        <v>24</v>
      </c>
    </row>
    <row r="3" spans="1:37" ht="36.75" customHeight="1" thickBot="1" x14ac:dyDescent="0.3">
      <c r="A3" s="268"/>
      <c r="B3" s="282"/>
      <c r="C3" s="276"/>
      <c r="D3" s="274"/>
      <c r="E3" s="274"/>
      <c r="F3" s="274"/>
      <c r="G3" s="270"/>
      <c r="H3" s="272"/>
      <c r="I3" s="279"/>
      <c r="J3" s="274"/>
      <c r="K3" s="274"/>
      <c r="L3" s="274"/>
      <c r="M3" s="274"/>
      <c r="N3" s="274"/>
      <c r="O3" s="274"/>
      <c r="P3" s="274"/>
      <c r="Q3" s="274"/>
      <c r="R3" s="274"/>
      <c r="S3" s="2" t="s">
        <v>8</v>
      </c>
      <c r="T3" s="2" t="s">
        <v>184</v>
      </c>
      <c r="U3" s="2" t="s">
        <v>183</v>
      </c>
      <c r="V3" s="2" t="s">
        <v>12</v>
      </c>
      <c r="W3" s="2" t="s">
        <v>184</v>
      </c>
      <c r="X3" s="2" t="s">
        <v>183</v>
      </c>
      <c r="Y3" s="283"/>
      <c r="Z3" s="2" t="s">
        <v>184</v>
      </c>
      <c r="AA3" s="2" t="s">
        <v>183</v>
      </c>
      <c r="AB3" s="295"/>
      <c r="AC3" s="2" t="s">
        <v>184</v>
      </c>
      <c r="AD3" s="2" t="s">
        <v>183</v>
      </c>
      <c r="AE3" s="283"/>
      <c r="AF3" s="283"/>
      <c r="AG3" s="283"/>
      <c r="AH3" s="297"/>
      <c r="AI3" s="297"/>
      <c r="AJ3" s="283"/>
      <c r="AK3" s="283"/>
    </row>
    <row r="4" spans="1:37" ht="15.75" x14ac:dyDescent="0.25">
      <c r="A4" s="6">
        <v>0</v>
      </c>
      <c r="B4" s="7"/>
      <c r="C4" s="8">
        <v>1</v>
      </c>
      <c r="D4" s="9" t="s">
        <v>179</v>
      </c>
      <c r="E4" s="9">
        <v>2</v>
      </c>
      <c r="F4" s="9">
        <v>3</v>
      </c>
      <c r="G4" s="9">
        <v>4</v>
      </c>
      <c r="H4" s="9">
        <v>5</v>
      </c>
      <c r="I4" s="9">
        <v>6</v>
      </c>
      <c r="J4" s="9">
        <v>7</v>
      </c>
      <c r="K4" s="9">
        <v>8</v>
      </c>
      <c r="L4" s="9">
        <v>9</v>
      </c>
      <c r="M4" s="9">
        <v>10</v>
      </c>
      <c r="N4" s="9">
        <v>11</v>
      </c>
      <c r="O4" s="9">
        <v>12</v>
      </c>
      <c r="P4" s="9">
        <v>13</v>
      </c>
      <c r="Q4" s="9">
        <v>14</v>
      </c>
      <c r="R4" s="9">
        <v>15</v>
      </c>
      <c r="S4" s="10">
        <v>16</v>
      </c>
      <c r="T4" s="10"/>
      <c r="U4" s="10"/>
      <c r="V4" s="10">
        <v>17</v>
      </c>
      <c r="W4" s="10"/>
      <c r="X4" s="10"/>
      <c r="Y4" s="10">
        <v>18</v>
      </c>
      <c r="Z4" s="5"/>
      <c r="AA4" s="5"/>
      <c r="AB4" s="10">
        <v>19</v>
      </c>
      <c r="AC4" s="10"/>
      <c r="AD4" s="10"/>
      <c r="AE4" s="5" t="s">
        <v>180</v>
      </c>
      <c r="AF4" s="11">
        <v>20</v>
      </c>
      <c r="AG4" s="11">
        <v>21</v>
      </c>
      <c r="AH4" s="11">
        <v>22</v>
      </c>
      <c r="AI4" s="11">
        <v>23</v>
      </c>
      <c r="AJ4" s="11">
        <v>24</v>
      </c>
      <c r="AK4" s="11">
        <v>25</v>
      </c>
    </row>
    <row r="5" spans="1:37" ht="310.5" customHeight="1" x14ac:dyDescent="0.25">
      <c r="A5" s="12">
        <v>1</v>
      </c>
      <c r="B5" s="13">
        <v>110755</v>
      </c>
      <c r="C5" s="8">
        <v>121</v>
      </c>
      <c r="D5" s="14" t="s">
        <v>172</v>
      </c>
      <c r="E5" s="15" t="s">
        <v>968</v>
      </c>
      <c r="F5" s="16" t="s">
        <v>331</v>
      </c>
      <c r="G5" s="17" t="s">
        <v>255</v>
      </c>
      <c r="H5" s="17" t="s">
        <v>256</v>
      </c>
      <c r="I5" s="18" t="s">
        <v>185</v>
      </c>
      <c r="J5" s="19" t="s">
        <v>513</v>
      </c>
      <c r="K5" s="20">
        <v>43145</v>
      </c>
      <c r="L5" s="20">
        <v>43630</v>
      </c>
      <c r="M5" s="21">
        <f t="shared" ref="M5:M11" si="0">S5/AE5*100</f>
        <v>84.999999517641427</v>
      </c>
      <c r="N5" s="14">
        <v>7</v>
      </c>
      <c r="O5" s="14" t="s">
        <v>265</v>
      </c>
      <c r="P5" s="14" t="s">
        <v>259</v>
      </c>
      <c r="Q5" s="22" t="s">
        <v>212</v>
      </c>
      <c r="R5" s="18" t="s">
        <v>36</v>
      </c>
      <c r="S5" s="23">
        <f t="shared" ref="S5:S7" si="1">T5+U5</f>
        <v>352434.92</v>
      </c>
      <c r="T5" s="24">
        <v>352434.92</v>
      </c>
      <c r="U5" s="23">
        <v>0</v>
      </c>
      <c r="V5" s="25">
        <f t="shared" ref="V5:V12" si="2">W5+X5</f>
        <v>53844.59</v>
      </c>
      <c r="W5" s="24">
        <v>53844.59</v>
      </c>
      <c r="X5" s="25">
        <v>0</v>
      </c>
      <c r="Y5" s="25">
        <f t="shared" ref="Y5" si="3">Z5+AA5</f>
        <v>8349.81</v>
      </c>
      <c r="Z5" s="24">
        <v>8349.81</v>
      </c>
      <c r="AA5" s="25">
        <v>0</v>
      </c>
      <c r="AB5" s="26">
        <f>AC5+AD5</f>
        <v>0</v>
      </c>
      <c r="AC5" s="26"/>
      <c r="AD5" s="26"/>
      <c r="AE5" s="26">
        <f>S5+V5+Y5+AB5</f>
        <v>414629.32</v>
      </c>
      <c r="AF5" s="26">
        <v>0</v>
      </c>
      <c r="AG5" s="26">
        <f>AE5+AF5</f>
        <v>414629.32</v>
      </c>
      <c r="AH5" s="27" t="s">
        <v>585</v>
      </c>
      <c r="AI5" s="28" t="s">
        <v>185</v>
      </c>
      <c r="AJ5" s="1">
        <f>18251.2+30807.23+59702.3+126620.25</f>
        <v>235380.98</v>
      </c>
      <c r="AK5" s="29">
        <f>2788.4+4706.69+9121.25+19344.9</f>
        <v>35961.240000000005</v>
      </c>
    </row>
    <row r="6" spans="1:37" ht="123" customHeight="1" x14ac:dyDescent="0.25">
      <c r="A6" s="14">
        <v>2</v>
      </c>
      <c r="B6" s="14">
        <v>109854</v>
      </c>
      <c r="C6" s="8">
        <v>116</v>
      </c>
      <c r="D6" s="14" t="s">
        <v>173</v>
      </c>
      <c r="E6" s="15" t="s">
        <v>968</v>
      </c>
      <c r="F6" s="16" t="s">
        <v>331</v>
      </c>
      <c r="G6" s="30" t="s">
        <v>356</v>
      </c>
      <c r="H6" s="17" t="s">
        <v>357</v>
      </c>
      <c r="I6" s="18" t="s">
        <v>357</v>
      </c>
      <c r="J6" s="31" t="s">
        <v>360</v>
      </c>
      <c r="K6" s="20">
        <v>43186</v>
      </c>
      <c r="L6" s="20">
        <v>43551</v>
      </c>
      <c r="M6" s="21">
        <f t="shared" si="0"/>
        <v>85.000000944809514</v>
      </c>
      <c r="N6" s="14">
        <v>7</v>
      </c>
      <c r="O6" s="14" t="s">
        <v>265</v>
      </c>
      <c r="P6" s="14" t="s">
        <v>358</v>
      </c>
      <c r="Q6" s="22" t="s">
        <v>212</v>
      </c>
      <c r="R6" s="14" t="s">
        <v>36</v>
      </c>
      <c r="S6" s="25">
        <f t="shared" si="1"/>
        <v>359860.9</v>
      </c>
      <c r="T6" s="23">
        <v>359860.9</v>
      </c>
      <c r="U6" s="23">
        <v>0</v>
      </c>
      <c r="V6" s="25">
        <f t="shared" si="2"/>
        <v>55037.54</v>
      </c>
      <c r="W6" s="23">
        <v>55037.54</v>
      </c>
      <c r="X6" s="23">
        <v>0</v>
      </c>
      <c r="Y6" s="25">
        <f>Z6+AA6</f>
        <v>8467.32</v>
      </c>
      <c r="Z6" s="23">
        <v>8467.32</v>
      </c>
      <c r="AA6" s="23">
        <v>0</v>
      </c>
      <c r="AB6" s="26">
        <f t="shared" ref="AB6:AB12" si="4">AC6+AD6</f>
        <v>0</v>
      </c>
      <c r="AC6" s="23"/>
      <c r="AD6" s="23"/>
      <c r="AE6" s="23">
        <f>S6+V6+Y6+AB6</f>
        <v>423365.76</v>
      </c>
      <c r="AF6" s="23">
        <v>0</v>
      </c>
      <c r="AG6" s="26">
        <f t="shared" ref="AG6:AG69" si="5">AE6+AF6</f>
        <v>423365.76</v>
      </c>
      <c r="AH6" s="27" t="s">
        <v>1073</v>
      </c>
      <c r="AI6" s="28" t="s">
        <v>349</v>
      </c>
      <c r="AJ6" s="1">
        <f>21516.9+45941.89+93672.06+106670.77</f>
        <v>267801.62</v>
      </c>
      <c r="AK6" s="29">
        <f>3290.82+7026.4+14326.31+16314.36</f>
        <v>40957.89</v>
      </c>
    </row>
    <row r="7" spans="1:37" ht="393.75" x14ac:dyDescent="0.25">
      <c r="A7" s="12">
        <v>3</v>
      </c>
      <c r="B7" s="7">
        <v>119560</v>
      </c>
      <c r="C7" s="8">
        <v>471</v>
      </c>
      <c r="D7" s="14" t="s">
        <v>843</v>
      </c>
      <c r="E7" s="18" t="s">
        <v>1041</v>
      </c>
      <c r="F7" s="16" t="s">
        <v>542</v>
      </c>
      <c r="G7" s="15" t="s">
        <v>607</v>
      </c>
      <c r="H7" s="18" t="s">
        <v>606</v>
      </c>
      <c r="I7" s="18" t="s">
        <v>337</v>
      </c>
      <c r="J7" s="15" t="s">
        <v>608</v>
      </c>
      <c r="K7" s="32">
        <v>43265</v>
      </c>
      <c r="L7" s="32">
        <v>43752</v>
      </c>
      <c r="M7" s="21">
        <f t="shared" si="0"/>
        <v>84.216178284166972</v>
      </c>
      <c r="N7" s="14">
        <v>7</v>
      </c>
      <c r="O7" s="14" t="s">
        <v>265</v>
      </c>
      <c r="P7" s="14" t="s">
        <v>609</v>
      </c>
      <c r="Q7" s="22" t="s">
        <v>212</v>
      </c>
      <c r="R7" s="14" t="s">
        <v>36</v>
      </c>
      <c r="S7" s="25">
        <f t="shared" si="1"/>
        <v>336316.07</v>
      </c>
      <c r="T7" s="23">
        <v>336316.07</v>
      </c>
      <c r="U7" s="23">
        <v>0</v>
      </c>
      <c r="V7" s="25">
        <f t="shared" si="2"/>
        <v>55045.45</v>
      </c>
      <c r="W7" s="23">
        <v>55045.45</v>
      </c>
      <c r="X7" s="23">
        <v>0</v>
      </c>
      <c r="Y7" s="25">
        <f t="shared" ref="Y7:Y14" si="6">Z7+AA7</f>
        <v>7987.01</v>
      </c>
      <c r="Z7" s="23">
        <v>7987.01</v>
      </c>
      <c r="AA7" s="23">
        <v>0</v>
      </c>
      <c r="AB7" s="26">
        <f t="shared" si="4"/>
        <v>0</v>
      </c>
      <c r="AC7" s="23">
        <v>0</v>
      </c>
      <c r="AD7" s="23">
        <v>0</v>
      </c>
      <c r="AE7" s="23">
        <f t="shared" ref="AE7:AE12" si="7">S7+V7+Y7</f>
        <v>399348.53</v>
      </c>
      <c r="AF7" s="23"/>
      <c r="AG7" s="26">
        <f t="shared" si="5"/>
        <v>399348.53</v>
      </c>
      <c r="AH7" s="27" t="s">
        <v>585</v>
      </c>
      <c r="AI7" s="28" t="s">
        <v>349</v>
      </c>
      <c r="AJ7" s="1">
        <f>49080.06+14949.98+41134.39-2384.82+15898.81+15022.21+13804.48</f>
        <v>147505.10999999999</v>
      </c>
      <c r="AK7" s="29">
        <f>3856+2638.23+7747.66+2384.82+2297.51+2436.08</f>
        <v>21360.300000000003</v>
      </c>
    </row>
    <row r="8" spans="1:37" ht="189" x14ac:dyDescent="0.25">
      <c r="A8" s="12">
        <v>4</v>
      </c>
      <c r="B8" s="7">
        <v>117934</v>
      </c>
      <c r="C8" s="8">
        <v>417</v>
      </c>
      <c r="D8" s="9" t="s">
        <v>684</v>
      </c>
      <c r="E8" s="15" t="s">
        <v>704</v>
      </c>
      <c r="F8" s="16" t="s">
        <v>610</v>
      </c>
      <c r="G8" s="15" t="s">
        <v>659</v>
      </c>
      <c r="H8" s="18" t="s">
        <v>606</v>
      </c>
      <c r="I8" s="9" t="s">
        <v>185</v>
      </c>
      <c r="J8" s="15" t="s">
        <v>660</v>
      </c>
      <c r="K8" s="32">
        <v>43275</v>
      </c>
      <c r="L8" s="32">
        <v>43765</v>
      </c>
      <c r="M8" s="21">
        <f t="shared" si="0"/>
        <v>84.999998780098935</v>
      </c>
      <c r="N8" s="14">
        <v>7</v>
      </c>
      <c r="O8" s="14" t="s">
        <v>265</v>
      </c>
      <c r="P8" s="14" t="s">
        <v>609</v>
      </c>
      <c r="Q8" s="22" t="s">
        <v>212</v>
      </c>
      <c r="R8" s="14" t="s">
        <v>36</v>
      </c>
      <c r="S8" s="25">
        <f>T8+U8</f>
        <v>243872.23</v>
      </c>
      <c r="T8" s="23">
        <v>243872.23</v>
      </c>
      <c r="U8" s="23">
        <v>0</v>
      </c>
      <c r="V8" s="25">
        <f t="shared" si="2"/>
        <v>37298.080000000002</v>
      </c>
      <c r="W8" s="23">
        <v>37298.080000000002</v>
      </c>
      <c r="X8" s="23">
        <v>0</v>
      </c>
      <c r="Y8" s="25">
        <f t="shared" si="6"/>
        <v>5738.2</v>
      </c>
      <c r="Z8" s="23">
        <v>5738.2</v>
      </c>
      <c r="AA8" s="23">
        <v>0</v>
      </c>
      <c r="AB8" s="26">
        <f t="shared" si="4"/>
        <v>0</v>
      </c>
      <c r="AC8" s="33">
        <v>0</v>
      </c>
      <c r="AD8" s="33">
        <v>0</v>
      </c>
      <c r="AE8" s="23">
        <f t="shared" si="7"/>
        <v>286908.51</v>
      </c>
      <c r="AF8" s="23">
        <v>0</v>
      </c>
      <c r="AG8" s="26">
        <f t="shared" si="5"/>
        <v>286908.51</v>
      </c>
      <c r="AH8" s="27" t="s">
        <v>585</v>
      </c>
      <c r="AI8" s="34"/>
      <c r="AJ8" s="23">
        <f>25442.69+26921.69+6885.52+62783.93</f>
        <v>122033.82999999999</v>
      </c>
      <c r="AK8" s="23">
        <f>3248.16+4760.51+1053.08+9602.24</f>
        <v>18663.989999999998</v>
      </c>
    </row>
    <row r="9" spans="1:37" ht="230.25" customHeight="1" x14ac:dyDescent="0.25">
      <c r="A9" s="14">
        <v>5</v>
      </c>
      <c r="B9" s="35">
        <v>118740</v>
      </c>
      <c r="C9" s="18">
        <v>436</v>
      </c>
      <c r="D9" s="18" t="s">
        <v>684</v>
      </c>
      <c r="E9" s="15" t="s">
        <v>704</v>
      </c>
      <c r="F9" s="16" t="s">
        <v>610</v>
      </c>
      <c r="G9" s="36" t="s">
        <v>906</v>
      </c>
      <c r="H9" s="18" t="s">
        <v>256</v>
      </c>
      <c r="I9" s="9" t="s">
        <v>185</v>
      </c>
      <c r="J9" s="15" t="s">
        <v>907</v>
      </c>
      <c r="K9" s="32">
        <v>43321</v>
      </c>
      <c r="L9" s="32">
        <v>43808</v>
      </c>
      <c r="M9" s="21">
        <f t="shared" si="0"/>
        <v>85.000000362805537</v>
      </c>
      <c r="N9" s="14">
        <v>7</v>
      </c>
      <c r="O9" s="14" t="s">
        <v>265</v>
      </c>
      <c r="P9" s="14" t="s">
        <v>259</v>
      </c>
      <c r="Q9" s="22" t="s">
        <v>212</v>
      </c>
      <c r="R9" s="14" t="s">
        <v>36</v>
      </c>
      <c r="S9" s="25">
        <f t="shared" ref="S9:S11" si="8">T9+U9</f>
        <v>234285.28</v>
      </c>
      <c r="T9" s="23">
        <v>234285.28</v>
      </c>
      <c r="U9" s="23">
        <v>0</v>
      </c>
      <c r="V9" s="25">
        <f t="shared" si="2"/>
        <v>35831.870000000003</v>
      </c>
      <c r="W9" s="23">
        <v>35831.870000000003</v>
      </c>
      <c r="X9" s="23"/>
      <c r="Y9" s="25">
        <f t="shared" si="6"/>
        <v>5512.59</v>
      </c>
      <c r="Z9" s="23">
        <v>5512.59</v>
      </c>
      <c r="AA9" s="23">
        <v>0</v>
      </c>
      <c r="AB9" s="26">
        <f t="shared" si="4"/>
        <v>0</v>
      </c>
      <c r="AC9" s="33">
        <v>0</v>
      </c>
      <c r="AD9" s="33">
        <v>0</v>
      </c>
      <c r="AE9" s="23">
        <f t="shared" si="7"/>
        <v>275629.74000000005</v>
      </c>
      <c r="AF9" s="23"/>
      <c r="AG9" s="26">
        <f t="shared" si="5"/>
        <v>275629.74000000005</v>
      </c>
      <c r="AH9" s="27" t="s">
        <v>585</v>
      </c>
      <c r="AI9" s="34"/>
      <c r="AJ9" s="23">
        <f>11570.2+74831.96</f>
        <v>86402.16</v>
      </c>
      <c r="AK9" s="23">
        <f>1769.56+11444.89</f>
        <v>13214.449999999999</v>
      </c>
    </row>
    <row r="10" spans="1:37" ht="219.6" customHeight="1" x14ac:dyDescent="0.25">
      <c r="A10" s="12">
        <v>6</v>
      </c>
      <c r="B10" s="35">
        <v>119862</v>
      </c>
      <c r="C10" s="18">
        <v>483</v>
      </c>
      <c r="D10" s="18" t="s">
        <v>172</v>
      </c>
      <c r="E10" s="18" t="s">
        <v>1041</v>
      </c>
      <c r="F10" s="18" t="s">
        <v>542</v>
      </c>
      <c r="G10" s="36" t="s">
        <v>929</v>
      </c>
      <c r="H10" s="18" t="s">
        <v>930</v>
      </c>
      <c r="I10" s="9" t="s">
        <v>185</v>
      </c>
      <c r="J10" s="15" t="s">
        <v>931</v>
      </c>
      <c r="K10" s="32">
        <v>43325</v>
      </c>
      <c r="L10" s="32">
        <v>43629</v>
      </c>
      <c r="M10" s="21">
        <f t="shared" si="0"/>
        <v>84.999998288155666</v>
      </c>
      <c r="N10" s="14">
        <v>7</v>
      </c>
      <c r="O10" s="14" t="s">
        <v>932</v>
      </c>
      <c r="P10" s="14" t="s">
        <v>933</v>
      </c>
      <c r="Q10" s="22" t="s">
        <v>212</v>
      </c>
      <c r="R10" s="14" t="s">
        <v>36</v>
      </c>
      <c r="S10" s="25">
        <f t="shared" si="8"/>
        <v>223443.21</v>
      </c>
      <c r="T10" s="23">
        <v>223443.21</v>
      </c>
      <c r="U10" s="23">
        <v>0</v>
      </c>
      <c r="V10" s="25">
        <f t="shared" si="2"/>
        <v>34173.67</v>
      </c>
      <c r="W10" s="23">
        <v>34173.67</v>
      </c>
      <c r="X10" s="23">
        <v>0</v>
      </c>
      <c r="Y10" s="25">
        <f t="shared" si="6"/>
        <v>5257.4900000000007</v>
      </c>
      <c r="Z10" s="23">
        <v>5257.4900000000007</v>
      </c>
      <c r="AA10" s="23">
        <v>0</v>
      </c>
      <c r="AB10" s="26">
        <f t="shared" si="4"/>
        <v>0</v>
      </c>
      <c r="AC10" s="37">
        <v>0</v>
      </c>
      <c r="AD10" s="37">
        <v>0</v>
      </c>
      <c r="AE10" s="23">
        <f t="shared" si="7"/>
        <v>262874.37</v>
      </c>
      <c r="AF10" s="23"/>
      <c r="AG10" s="26">
        <f t="shared" si="5"/>
        <v>262874.37</v>
      </c>
      <c r="AH10" s="27" t="s">
        <v>871</v>
      </c>
      <c r="AI10" s="34"/>
      <c r="AJ10" s="38">
        <f>24006.26+36929.64+11537.62+59157.12</f>
        <v>131630.63999999998</v>
      </c>
      <c r="AK10" s="1">
        <f>3671.55+5648.06+1764.58+9047.56</f>
        <v>20131.75</v>
      </c>
    </row>
    <row r="11" spans="1:37" ht="219.6" customHeight="1" x14ac:dyDescent="0.25">
      <c r="A11" s="12">
        <v>7</v>
      </c>
      <c r="B11" s="35">
        <v>126492</v>
      </c>
      <c r="C11" s="18">
        <v>568</v>
      </c>
      <c r="D11" s="18" t="s">
        <v>177</v>
      </c>
      <c r="E11" s="18" t="s">
        <v>1041</v>
      </c>
      <c r="F11" s="18" t="s">
        <v>1135</v>
      </c>
      <c r="G11" s="36" t="s">
        <v>1218</v>
      </c>
      <c r="H11" s="18" t="s">
        <v>1319</v>
      </c>
      <c r="I11" s="9" t="s">
        <v>185</v>
      </c>
      <c r="J11" s="15" t="s">
        <v>1219</v>
      </c>
      <c r="K11" s="32">
        <v>43462</v>
      </c>
      <c r="L11" s="32">
        <v>44132</v>
      </c>
      <c r="M11" s="21">
        <f t="shared" si="0"/>
        <v>85.000000278232704</v>
      </c>
      <c r="N11" s="14">
        <v>7</v>
      </c>
      <c r="O11" s="14" t="s">
        <v>932</v>
      </c>
      <c r="P11" s="14" t="s">
        <v>358</v>
      </c>
      <c r="Q11" s="22" t="s">
        <v>212</v>
      </c>
      <c r="R11" s="14" t="s">
        <v>36</v>
      </c>
      <c r="S11" s="25">
        <f t="shared" si="8"/>
        <v>1221998.73</v>
      </c>
      <c r="T11" s="23">
        <v>1221998.73</v>
      </c>
      <c r="U11" s="23">
        <v>0</v>
      </c>
      <c r="V11" s="25">
        <f t="shared" si="2"/>
        <v>186893.92</v>
      </c>
      <c r="W11" s="23">
        <v>186893.92</v>
      </c>
      <c r="X11" s="23">
        <v>0</v>
      </c>
      <c r="Y11" s="25">
        <f t="shared" si="6"/>
        <v>28752.91</v>
      </c>
      <c r="Z11" s="23">
        <v>28752.91</v>
      </c>
      <c r="AA11" s="23">
        <v>0</v>
      </c>
      <c r="AB11" s="26">
        <f t="shared" si="4"/>
        <v>0</v>
      </c>
      <c r="AC11" s="37">
        <v>0</v>
      </c>
      <c r="AD11" s="37">
        <v>0</v>
      </c>
      <c r="AE11" s="23">
        <f t="shared" si="7"/>
        <v>1437645.5599999998</v>
      </c>
      <c r="AF11" s="23"/>
      <c r="AG11" s="26">
        <f t="shared" si="5"/>
        <v>1437645.5599999998</v>
      </c>
      <c r="AH11" s="27" t="s">
        <v>585</v>
      </c>
      <c r="AI11" s="34"/>
      <c r="AJ11" s="38">
        <v>30000</v>
      </c>
      <c r="AK11" s="1">
        <v>0</v>
      </c>
    </row>
    <row r="12" spans="1:37" ht="294.75" customHeight="1" x14ac:dyDescent="0.25">
      <c r="A12" s="14">
        <v>8</v>
      </c>
      <c r="B12" s="35">
        <v>126520</v>
      </c>
      <c r="C12" s="18">
        <v>550</v>
      </c>
      <c r="D12" s="18" t="s">
        <v>177</v>
      </c>
      <c r="E12" s="18" t="s">
        <v>1041</v>
      </c>
      <c r="F12" s="18" t="s">
        <v>1135</v>
      </c>
      <c r="G12" s="36" t="s">
        <v>1254</v>
      </c>
      <c r="H12" s="18" t="s">
        <v>1256</v>
      </c>
      <c r="I12" s="9" t="s">
        <v>185</v>
      </c>
      <c r="J12" s="39" t="s">
        <v>1255</v>
      </c>
      <c r="K12" s="32">
        <v>43504</v>
      </c>
      <c r="L12" s="32">
        <v>44294</v>
      </c>
      <c r="M12" s="21">
        <f t="shared" ref="M12" si="9">S12/AE12*100</f>
        <v>84.999999104679475</v>
      </c>
      <c r="N12" s="14">
        <v>7</v>
      </c>
      <c r="O12" s="14" t="s">
        <v>932</v>
      </c>
      <c r="P12" s="14" t="s">
        <v>358</v>
      </c>
      <c r="Q12" s="22" t="s">
        <v>212</v>
      </c>
      <c r="R12" s="14" t="s">
        <v>36</v>
      </c>
      <c r="S12" s="25">
        <f t="shared" ref="S12:S15" si="10">T12+U12</f>
        <v>2231044.54</v>
      </c>
      <c r="T12" s="23">
        <v>2231044.54</v>
      </c>
      <c r="U12" s="23">
        <v>0</v>
      </c>
      <c r="V12" s="25">
        <f t="shared" si="2"/>
        <v>341218.6</v>
      </c>
      <c r="W12" s="23">
        <v>341218.6</v>
      </c>
      <c r="X12" s="23">
        <v>0</v>
      </c>
      <c r="Y12" s="25">
        <f t="shared" si="6"/>
        <v>52495.17</v>
      </c>
      <c r="Z12" s="23">
        <v>52495.17</v>
      </c>
      <c r="AA12" s="23">
        <v>0</v>
      </c>
      <c r="AB12" s="26">
        <f t="shared" si="4"/>
        <v>0</v>
      </c>
      <c r="AC12" s="37">
        <v>0</v>
      </c>
      <c r="AD12" s="37">
        <v>0</v>
      </c>
      <c r="AE12" s="23">
        <f t="shared" si="7"/>
        <v>2624758.31</v>
      </c>
      <c r="AF12" s="23"/>
      <c r="AG12" s="26">
        <f t="shared" si="5"/>
        <v>2624758.31</v>
      </c>
      <c r="AH12" s="27" t="s">
        <v>585</v>
      </c>
      <c r="AI12" s="34" t="s">
        <v>1474</v>
      </c>
      <c r="AJ12" s="38">
        <v>0</v>
      </c>
      <c r="AK12" s="1">
        <v>0</v>
      </c>
    </row>
    <row r="13" spans="1:37" ht="294.75" customHeight="1" x14ac:dyDescent="0.25">
      <c r="A13" s="12">
        <v>9</v>
      </c>
      <c r="B13" s="35">
        <v>126539</v>
      </c>
      <c r="C13" s="18">
        <v>574</v>
      </c>
      <c r="D13" s="18" t="s">
        <v>174</v>
      </c>
      <c r="E13" s="18" t="s">
        <v>968</v>
      </c>
      <c r="F13" s="18" t="s">
        <v>1135</v>
      </c>
      <c r="G13" s="36" t="s">
        <v>1327</v>
      </c>
      <c r="H13" s="18" t="s">
        <v>256</v>
      </c>
      <c r="I13" s="9" t="s">
        <v>185</v>
      </c>
      <c r="J13" s="39" t="s">
        <v>1328</v>
      </c>
      <c r="K13" s="32">
        <v>43552</v>
      </c>
      <c r="L13" s="32">
        <v>44467</v>
      </c>
      <c r="M13" s="21">
        <f>S13/AE13*100</f>
        <v>85.000000056453686</v>
      </c>
      <c r="N13" s="14">
        <v>7</v>
      </c>
      <c r="O13" s="14" t="s">
        <v>265</v>
      </c>
      <c r="P13" s="14" t="s">
        <v>259</v>
      </c>
      <c r="Q13" s="22" t="s">
        <v>212</v>
      </c>
      <c r="R13" s="14" t="s">
        <v>36</v>
      </c>
      <c r="S13" s="25">
        <f t="shared" si="10"/>
        <v>3011318.02</v>
      </c>
      <c r="T13" s="23">
        <v>3011318.02</v>
      </c>
      <c r="U13" s="23">
        <v>0</v>
      </c>
      <c r="V13" s="25">
        <f t="shared" ref="V13:V15" si="11">W13+X13</f>
        <v>460554.52</v>
      </c>
      <c r="W13" s="23">
        <v>460554.52</v>
      </c>
      <c r="X13" s="23">
        <v>0</v>
      </c>
      <c r="Y13" s="25">
        <f t="shared" si="6"/>
        <v>70854.539999999994</v>
      </c>
      <c r="Z13" s="23">
        <v>70854.539999999994</v>
      </c>
      <c r="AA13" s="23">
        <v>0</v>
      </c>
      <c r="AB13" s="26">
        <f>AC13+AD13</f>
        <v>0</v>
      </c>
      <c r="AC13" s="37">
        <v>0</v>
      </c>
      <c r="AD13" s="37">
        <v>0</v>
      </c>
      <c r="AE13" s="23">
        <f>S13+V13+Y13+AB13</f>
        <v>3542727.08</v>
      </c>
      <c r="AF13" s="23">
        <v>65688</v>
      </c>
      <c r="AG13" s="26">
        <f t="shared" si="5"/>
        <v>3608415.08</v>
      </c>
      <c r="AH13" s="27" t="s">
        <v>585</v>
      </c>
      <c r="AI13" s="34" t="s">
        <v>185</v>
      </c>
      <c r="AJ13" s="38">
        <v>0</v>
      </c>
      <c r="AK13" s="1">
        <v>0</v>
      </c>
    </row>
    <row r="14" spans="1:37" ht="409.5" x14ac:dyDescent="0.25">
      <c r="A14" s="12">
        <v>10</v>
      </c>
      <c r="B14" s="35">
        <v>126063</v>
      </c>
      <c r="C14" s="18">
        <v>512</v>
      </c>
      <c r="D14" s="18" t="s">
        <v>171</v>
      </c>
      <c r="E14" s="18" t="s">
        <v>968</v>
      </c>
      <c r="F14" s="18" t="s">
        <v>1135</v>
      </c>
      <c r="G14" s="40" t="s">
        <v>1336</v>
      </c>
      <c r="H14" s="18" t="s">
        <v>606</v>
      </c>
      <c r="I14" s="18" t="s">
        <v>782</v>
      </c>
      <c r="J14" s="39" t="s">
        <v>1337</v>
      </c>
      <c r="K14" s="32">
        <v>43552</v>
      </c>
      <c r="L14" s="32">
        <v>44467</v>
      </c>
      <c r="M14" s="21">
        <f t="shared" ref="M14:M15" si="12">S14/AE14*100</f>
        <v>84.408145121705388</v>
      </c>
      <c r="N14" s="14">
        <v>7</v>
      </c>
      <c r="O14" s="14" t="s">
        <v>265</v>
      </c>
      <c r="P14" s="14" t="s">
        <v>609</v>
      </c>
      <c r="Q14" s="22" t="s">
        <v>212</v>
      </c>
      <c r="R14" s="14" t="s">
        <v>36</v>
      </c>
      <c r="S14" s="25">
        <f t="shared" si="10"/>
        <v>2846403.24</v>
      </c>
      <c r="T14" s="23">
        <v>2846403.24</v>
      </c>
      <c r="U14" s="23">
        <v>0</v>
      </c>
      <c r="V14" s="25">
        <f t="shared" si="11"/>
        <v>458343.2</v>
      </c>
      <c r="W14" s="23">
        <v>458343.2</v>
      </c>
      <c r="X14" s="23">
        <v>0</v>
      </c>
      <c r="Y14" s="25">
        <f t="shared" si="6"/>
        <v>43963.23</v>
      </c>
      <c r="Z14" s="23">
        <v>43963.23</v>
      </c>
      <c r="AA14" s="23">
        <v>0</v>
      </c>
      <c r="AB14" s="26">
        <f t="shared" ref="AB14:AB15" si="13">AC14+AD14</f>
        <v>23480.58</v>
      </c>
      <c r="AC14" s="37">
        <v>23480.58</v>
      </c>
      <c r="AD14" s="37">
        <v>0</v>
      </c>
      <c r="AE14" s="23">
        <f t="shared" ref="AE14" si="14">S14+V14+Y14+AB14</f>
        <v>3372190.2500000005</v>
      </c>
      <c r="AF14" s="23">
        <v>0</v>
      </c>
      <c r="AG14" s="26">
        <f t="shared" si="5"/>
        <v>3372190.2500000005</v>
      </c>
      <c r="AH14" s="27" t="s">
        <v>585</v>
      </c>
      <c r="AI14" s="34" t="s">
        <v>185</v>
      </c>
      <c r="AJ14" s="38">
        <v>337218</v>
      </c>
      <c r="AK14" s="1">
        <v>0</v>
      </c>
    </row>
    <row r="15" spans="1:37" ht="157.5" x14ac:dyDescent="0.25">
      <c r="A15" s="14">
        <v>11</v>
      </c>
      <c r="B15" s="35">
        <v>128599</v>
      </c>
      <c r="C15" s="18">
        <v>637</v>
      </c>
      <c r="D15" s="18" t="s">
        <v>174</v>
      </c>
      <c r="E15" s="15" t="s">
        <v>968</v>
      </c>
      <c r="F15" s="18" t="s">
        <v>1417</v>
      </c>
      <c r="G15" s="40" t="s">
        <v>1479</v>
      </c>
      <c r="H15" s="18" t="s">
        <v>1319</v>
      </c>
      <c r="I15" s="18" t="s">
        <v>185</v>
      </c>
      <c r="J15" s="39" t="s">
        <v>1480</v>
      </c>
      <c r="K15" s="32">
        <v>43634</v>
      </c>
      <c r="L15" s="32">
        <v>44365</v>
      </c>
      <c r="M15" s="21">
        <f t="shared" si="12"/>
        <v>85</v>
      </c>
      <c r="N15" s="14">
        <v>7</v>
      </c>
      <c r="O15" s="14" t="s">
        <v>932</v>
      </c>
      <c r="P15" s="14" t="s">
        <v>358</v>
      </c>
      <c r="Q15" s="22" t="s">
        <v>212</v>
      </c>
      <c r="R15" s="14" t="s">
        <v>36</v>
      </c>
      <c r="S15" s="25">
        <f t="shared" si="10"/>
        <v>848667.88</v>
      </c>
      <c r="T15" s="23">
        <v>848667.88</v>
      </c>
      <c r="U15" s="23">
        <v>0</v>
      </c>
      <c r="V15" s="25">
        <f t="shared" si="11"/>
        <v>129796.26</v>
      </c>
      <c r="W15" s="23">
        <v>129796.26</v>
      </c>
      <c r="X15" s="23">
        <v>0</v>
      </c>
      <c r="Y15" s="25">
        <f t="shared" ref="Y15" si="15">Z15+AA15</f>
        <v>19968.66</v>
      </c>
      <c r="Z15" s="23">
        <v>19968.66</v>
      </c>
      <c r="AA15" s="23">
        <v>0</v>
      </c>
      <c r="AB15" s="26">
        <f t="shared" si="13"/>
        <v>0</v>
      </c>
      <c r="AC15" s="37">
        <v>0</v>
      </c>
      <c r="AD15" s="37">
        <v>0</v>
      </c>
      <c r="AE15" s="23">
        <f t="shared" ref="AE15" si="16">S15+V15+Y15</f>
        <v>998432.8</v>
      </c>
      <c r="AF15" s="23"/>
      <c r="AG15" s="26">
        <f t="shared" si="5"/>
        <v>998432.8</v>
      </c>
      <c r="AH15" s="27" t="s">
        <v>585</v>
      </c>
      <c r="AI15" s="34"/>
      <c r="AJ15" s="38">
        <v>0</v>
      </c>
      <c r="AK15" s="1">
        <v>0</v>
      </c>
    </row>
    <row r="16" spans="1:37" ht="204.75" x14ac:dyDescent="0.25">
      <c r="A16" s="12">
        <v>12</v>
      </c>
      <c r="B16" s="13">
        <v>120637</v>
      </c>
      <c r="C16" s="8">
        <v>86</v>
      </c>
      <c r="D16" s="14" t="s">
        <v>171</v>
      </c>
      <c r="E16" s="15" t="s">
        <v>968</v>
      </c>
      <c r="F16" s="16" t="s">
        <v>331</v>
      </c>
      <c r="G16" s="17" t="s">
        <v>272</v>
      </c>
      <c r="H16" s="18" t="s">
        <v>273</v>
      </c>
      <c r="I16" s="14" t="s">
        <v>185</v>
      </c>
      <c r="J16" s="19" t="s">
        <v>1287</v>
      </c>
      <c r="K16" s="20">
        <v>43145</v>
      </c>
      <c r="L16" s="20">
        <v>43510</v>
      </c>
      <c r="M16" s="21">
        <f t="shared" ref="M16:M18" si="17">S16/AE16*100</f>
        <v>85.000001183738732</v>
      </c>
      <c r="N16" s="14">
        <v>5</v>
      </c>
      <c r="O16" s="14" t="s">
        <v>274</v>
      </c>
      <c r="P16" s="14" t="s">
        <v>274</v>
      </c>
      <c r="Q16" s="42" t="s">
        <v>212</v>
      </c>
      <c r="R16" s="14" t="s">
        <v>36</v>
      </c>
      <c r="S16" s="23">
        <f t="shared" ref="S16:S18" si="18">T16+U16</f>
        <v>359031.93</v>
      </c>
      <c r="T16" s="24">
        <v>359031.93</v>
      </c>
      <c r="U16" s="23">
        <v>0</v>
      </c>
      <c r="V16" s="23">
        <f t="shared" ref="V16:V18" si="19">W16+X16</f>
        <v>54910.76</v>
      </c>
      <c r="W16" s="23">
        <v>54910.76</v>
      </c>
      <c r="X16" s="23">
        <v>0</v>
      </c>
      <c r="Y16" s="23">
        <f t="shared" ref="Y16:Y18" si="20">Z16+AA16</f>
        <v>8447.81</v>
      </c>
      <c r="Z16" s="23">
        <v>8447.81</v>
      </c>
      <c r="AA16" s="23">
        <v>0</v>
      </c>
      <c r="AB16" s="23">
        <f>AC16+AD16</f>
        <v>0</v>
      </c>
      <c r="AC16" s="23"/>
      <c r="AD16" s="23"/>
      <c r="AE16" s="23">
        <f>S16+V16+Y16+AB16</f>
        <v>422390.5</v>
      </c>
      <c r="AF16" s="23">
        <v>0</v>
      </c>
      <c r="AG16" s="26">
        <f t="shared" si="5"/>
        <v>422390.5</v>
      </c>
      <c r="AH16" s="27" t="s">
        <v>1073</v>
      </c>
      <c r="AI16" s="28" t="s">
        <v>185</v>
      </c>
      <c r="AJ16" s="1">
        <f>50.58+71118.57+211342.81</f>
        <v>282511.96000000002</v>
      </c>
      <c r="AK16" s="29">
        <f>7.73+10876.95+32323.01</f>
        <v>43207.69</v>
      </c>
    </row>
    <row r="17" spans="1:37" ht="141.75" x14ac:dyDescent="0.25">
      <c r="A17" s="12">
        <v>13</v>
      </c>
      <c r="B17" s="13">
        <v>119520</v>
      </c>
      <c r="C17" s="13">
        <v>465</v>
      </c>
      <c r="D17" s="13" t="s">
        <v>684</v>
      </c>
      <c r="E17" s="18" t="s">
        <v>1041</v>
      </c>
      <c r="F17" s="15" t="s">
        <v>542</v>
      </c>
      <c r="G17" s="15" t="s">
        <v>757</v>
      </c>
      <c r="H17" s="18" t="s">
        <v>758</v>
      </c>
      <c r="I17" s="18" t="s">
        <v>759</v>
      </c>
      <c r="J17" s="15" t="s">
        <v>760</v>
      </c>
      <c r="K17" s="32">
        <v>43292</v>
      </c>
      <c r="L17" s="32">
        <v>43780</v>
      </c>
      <c r="M17" s="21">
        <f t="shared" si="17"/>
        <v>85.000001465751467</v>
      </c>
      <c r="N17" s="9">
        <v>5</v>
      </c>
      <c r="O17" s="14" t="s">
        <v>274</v>
      </c>
      <c r="P17" s="14" t="s">
        <v>274</v>
      </c>
      <c r="Q17" s="9" t="s">
        <v>212</v>
      </c>
      <c r="R17" s="14" t="s">
        <v>36</v>
      </c>
      <c r="S17" s="23">
        <f t="shared" si="18"/>
        <v>231962.93</v>
      </c>
      <c r="T17" s="29">
        <v>231962.93</v>
      </c>
      <c r="U17" s="43">
        <v>0</v>
      </c>
      <c r="V17" s="23">
        <f t="shared" si="19"/>
        <v>35476.67</v>
      </c>
      <c r="W17" s="29">
        <v>35476.67</v>
      </c>
      <c r="X17" s="43">
        <v>0</v>
      </c>
      <c r="Y17" s="23">
        <f t="shared" si="20"/>
        <v>5457.96</v>
      </c>
      <c r="Z17" s="29">
        <v>5457.96</v>
      </c>
      <c r="AA17" s="29">
        <v>0</v>
      </c>
      <c r="AB17" s="23">
        <f t="shared" ref="AB17:AB18" si="21">AC17+AD17</f>
        <v>0</v>
      </c>
      <c r="AC17" s="37">
        <v>0</v>
      </c>
      <c r="AD17" s="37">
        <v>0</v>
      </c>
      <c r="AE17" s="23">
        <f t="shared" ref="AE17:AE18" si="22">S17+V17+Y17+AB17</f>
        <v>272897.56</v>
      </c>
      <c r="AF17" s="34">
        <v>0</v>
      </c>
      <c r="AG17" s="26">
        <f t="shared" si="5"/>
        <v>272897.56</v>
      </c>
      <c r="AH17" s="27" t="s">
        <v>585</v>
      </c>
      <c r="AI17" s="34" t="s">
        <v>185</v>
      </c>
      <c r="AJ17" s="1">
        <v>24243.73</v>
      </c>
      <c r="AK17" s="29">
        <v>3707.87</v>
      </c>
    </row>
    <row r="18" spans="1:37" s="47" customFormat="1" ht="141.75" x14ac:dyDescent="0.25">
      <c r="A18" s="14">
        <v>14</v>
      </c>
      <c r="B18" s="35">
        <v>116692</v>
      </c>
      <c r="C18" s="18">
        <v>408</v>
      </c>
      <c r="D18" s="18" t="s">
        <v>843</v>
      </c>
      <c r="E18" s="15" t="s">
        <v>704</v>
      </c>
      <c r="F18" s="15" t="s">
        <v>610</v>
      </c>
      <c r="G18" s="15" t="s">
        <v>908</v>
      </c>
      <c r="H18" s="18" t="s">
        <v>758</v>
      </c>
      <c r="I18" s="18" t="s">
        <v>185</v>
      </c>
      <c r="J18" s="44" t="s">
        <v>909</v>
      </c>
      <c r="K18" s="32">
        <v>43321</v>
      </c>
      <c r="L18" s="32">
        <v>43720</v>
      </c>
      <c r="M18" s="45">
        <f t="shared" si="17"/>
        <v>85.000000534892237</v>
      </c>
      <c r="N18" s="18">
        <v>5</v>
      </c>
      <c r="O18" s="14" t="s">
        <v>274</v>
      </c>
      <c r="P18" s="14" t="s">
        <v>274</v>
      </c>
      <c r="Q18" s="9" t="s">
        <v>212</v>
      </c>
      <c r="R18" s="14" t="s">
        <v>36</v>
      </c>
      <c r="S18" s="26">
        <f t="shared" si="18"/>
        <v>317821.02</v>
      </c>
      <c r="T18" s="1">
        <v>317821.02</v>
      </c>
      <c r="U18" s="46">
        <v>0</v>
      </c>
      <c r="V18" s="26">
        <f t="shared" si="19"/>
        <v>48607.91</v>
      </c>
      <c r="W18" s="1">
        <v>48607.91</v>
      </c>
      <c r="X18" s="46">
        <v>0</v>
      </c>
      <c r="Y18" s="26">
        <f t="shared" si="20"/>
        <v>7478.15</v>
      </c>
      <c r="Z18" s="1">
        <v>7478.15</v>
      </c>
      <c r="AA18" s="1">
        <v>0</v>
      </c>
      <c r="AB18" s="26">
        <f t="shared" si="21"/>
        <v>0</v>
      </c>
      <c r="AC18" s="37">
        <v>0</v>
      </c>
      <c r="AD18" s="37">
        <v>0</v>
      </c>
      <c r="AE18" s="26">
        <f t="shared" si="22"/>
        <v>373907.08000000007</v>
      </c>
      <c r="AF18" s="27">
        <v>0</v>
      </c>
      <c r="AG18" s="26">
        <f t="shared" si="5"/>
        <v>373907.08000000007</v>
      </c>
      <c r="AH18" s="27" t="s">
        <v>585</v>
      </c>
      <c r="AI18" s="34" t="s">
        <v>185</v>
      </c>
      <c r="AJ18" s="1">
        <v>8730.06</v>
      </c>
      <c r="AK18" s="1">
        <v>1335.19</v>
      </c>
    </row>
    <row r="19" spans="1:37" s="47" customFormat="1" ht="409.5" x14ac:dyDescent="0.25">
      <c r="A19" s="12">
        <v>15</v>
      </c>
      <c r="B19" s="35">
        <v>126495</v>
      </c>
      <c r="C19" s="18">
        <v>558</v>
      </c>
      <c r="D19" s="18" t="s">
        <v>174</v>
      </c>
      <c r="E19" s="15" t="s">
        <v>968</v>
      </c>
      <c r="F19" s="15" t="s">
        <v>1135</v>
      </c>
      <c r="G19" s="15" t="s">
        <v>1371</v>
      </c>
      <c r="H19" s="18" t="s">
        <v>273</v>
      </c>
      <c r="I19" s="18" t="s">
        <v>185</v>
      </c>
      <c r="J19" s="44" t="s">
        <v>1372</v>
      </c>
      <c r="K19" s="32">
        <v>43570</v>
      </c>
      <c r="L19" s="32">
        <v>44423</v>
      </c>
      <c r="M19" s="45">
        <f t="shared" ref="M19" si="23">S19/AE19*100</f>
        <v>85</v>
      </c>
      <c r="N19" s="18">
        <v>5</v>
      </c>
      <c r="O19" s="14" t="s">
        <v>274</v>
      </c>
      <c r="P19" s="14" t="s">
        <v>274</v>
      </c>
      <c r="Q19" s="9" t="s">
        <v>212</v>
      </c>
      <c r="R19" s="14" t="s">
        <v>36</v>
      </c>
      <c r="S19" s="26">
        <f t="shared" ref="S19" si="24">T19+U19</f>
        <v>3025356.04</v>
      </c>
      <c r="T19" s="1">
        <v>3025356.04</v>
      </c>
      <c r="U19" s="46">
        <v>0</v>
      </c>
      <c r="V19" s="26">
        <f t="shared" ref="V19" si="25">W19+X19</f>
        <v>462701.51</v>
      </c>
      <c r="W19" s="1">
        <v>462701.51</v>
      </c>
      <c r="X19" s="46">
        <v>0</v>
      </c>
      <c r="Y19" s="26">
        <f t="shared" ref="Y19" si="26">Z19+AA19</f>
        <v>71184.850000000006</v>
      </c>
      <c r="Z19" s="1">
        <v>71184.850000000006</v>
      </c>
      <c r="AA19" s="1">
        <v>0</v>
      </c>
      <c r="AB19" s="26">
        <f>AC19+AD19</f>
        <v>0</v>
      </c>
      <c r="AC19" s="37"/>
      <c r="AD19" s="37"/>
      <c r="AE19" s="26">
        <f>S19+V19+Y19+AB19</f>
        <v>3559242.4</v>
      </c>
      <c r="AF19" s="27">
        <v>0</v>
      </c>
      <c r="AG19" s="26">
        <f t="shared" si="5"/>
        <v>3559242.4</v>
      </c>
      <c r="AH19" s="27" t="s">
        <v>871</v>
      </c>
      <c r="AI19" s="34"/>
      <c r="AJ19" s="1">
        <v>0</v>
      </c>
      <c r="AK19" s="1">
        <v>0</v>
      </c>
    </row>
    <row r="20" spans="1:37" ht="189" x14ac:dyDescent="0.25">
      <c r="A20" s="12">
        <v>16</v>
      </c>
      <c r="B20" s="13">
        <v>120652</v>
      </c>
      <c r="C20" s="8">
        <v>91</v>
      </c>
      <c r="D20" s="14" t="s">
        <v>173</v>
      </c>
      <c r="E20" s="15" t="s">
        <v>968</v>
      </c>
      <c r="F20" s="16" t="s">
        <v>331</v>
      </c>
      <c r="G20" s="17" t="s">
        <v>239</v>
      </c>
      <c r="H20" s="17" t="s">
        <v>244</v>
      </c>
      <c r="I20" s="14" t="s">
        <v>185</v>
      </c>
      <c r="J20" s="48" t="s">
        <v>245</v>
      </c>
      <c r="K20" s="20">
        <v>43145</v>
      </c>
      <c r="L20" s="20">
        <v>43510</v>
      </c>
      <c r="M20" s="21">
        <f t="shared" ref="M20:M27" si="27">S20/AE20*100</f>
        <v>84.999999389755786</v>
      </c>
      <c r="N20" s="14">
        <v>3</v>
      </c>
      <c r="O20" s="14" t="s">
        <v>241</v>
      </c>
      <c r="P20" s="14" t="s">
        <v>243</v>
      </c>
      <c r="Q20" s="42" t="s">
        <v>212</v>
      </c>
      <c r="R20" s="14" t="s">
        <v>36</v>
      </c>
      <c r="S20" s="23">
        <f t="shared" ref="S20" si="28">T20+U20</f>
        <v>348221.24</v>
      </c>
      <c r="T20" s="23">
        <v>348221.24</v>
      </c>
      <c r="U20" s="23">
        <v>0</v>
      </c>
      <c r="V20" s="23">
        <f t="shared" ref="V20:V27" si="29">W20+X20</f>
        <v>53257.37</v>
      </c>
      <c r="W20" s="23">
        <v>53257.37</v>
      </c>
      <c r="X20" s="23">
        <v>0</v>
      </c>
      <c r="Y20" s="23">
        <f t="shared" ref="Y20:Y27" si="30">Z20+AA20</f>
        <v>8193.44</v>
      </c>
      <c r="Z20" s="23">
        <v>8193.44</v>
      </c>
      <c r="AA20" s="23">
        <v>0</v>
      </c>
      <c r="AB20" s="23">
        <f>AC20+AD20</f>
        <v>0</v>
      </c>
      <c r="AC20" s="23"/>
      <c r="AD20" s="23"/>
      <c r="AE20" s="23">
        <f>S20+V20+Y20+AB20</f>
        <v>409672.05</v>
      </c>
      <c r="AF20" s="23">
        <v>0</v>
      </c>
      <c r="AG20" s="26">
        <f t="shared" si="5"/>
        <v>409672.05</v>
      </c>
      <c r="AH20" s="27" t="s">
        <v>1073</v>
      </c>
      <c r="AI20" s="28" t="s">
        <v>1126</v>
      </c>
      <c r="AJ20" s="1">
        <f>12919.73+21747.25+49513.87-529.62+197106.06+10487.81+43247.58</f>
        <v>334492.68000000005</v>
      </c>
      <c r="AK20" s="49">
        <f>12122.18+529.62+30287.56+1604.02+6614.33</f>
        <v>51157.71</v>
      </c>
    </row>
    <row r="21" spans="1:37" ht="173.25" x14ac:dyDescent="0.25">
      <c r="A21" s="14">
        <v>17</v>
      </c>
      <c r="B21" s="13">
        <v>118191</v>
      </c>
      <c r="C21" s="50">
        <v>423</v>
      </c>
      <c r="D21" s="14" t="s">
        <v>684</v>
      </c>
      <c r="E21" s="15" t="s">
        <v>704</v>
      </c>
      <c r="F21" s="16" t="s">
        <v>610</v>
      </c>
      <c r="G21" s="17" t="s">
        <v>698</v>
      </c>
      <c r="H21" s="15" t="s">
        <v>699</v>
      </c>
      <c r="I21" s="18"/>
      <c r="J21" s="19" t="s">
        <v>700</v>
      </c>
      <c r="K21" s="20">
        <v>43284</v>
      </c>
      <c r="L21" s="20">
        <v>43649</v>
      </c>
      <c r="M21" s="21">
        <f t="shared" si="27"/>
        <v>85.000001358659858</v>
      </c>
      <c r="N21" s="14">
        <v>3</v>
      </c>
      <c r="O21" s="14" t="s">
        <v>241</v>
      </c>
      <c r="P21" s="14" t="s">
        <v>243</v>
      </c>
      <c r="Q21" s="22" t="s">
        <v>212</v>
      </c>
      <c r="R21" s="18" t="s">
        <v>36</v>
      </c>
      <c r="S21" s="51">
        <v>250246.6</v>
      </c>
      <c r="T21" s="1">
        <v>250246.6</v>
      </c>
      <c r="U21" s="23">
        <v>0</v>
      </c>
      <c r="V21" s="51">
        <f t="shared" si="29"/>
        <v>38273</v>
      </c>
      <c r="W21" s="52">
        <v>38273</v>
      </c>
      <c r="X21" s="23">
        <v>0</v>
      </c>
      <c r="Y21" s="51">
        <v>5888.16</v>
      </c>
      <c r="Z21" s="23">
        <v>5888.16</v>
      </c>
      <c r="AA21" s="23">
        <v>0</v>
      </c>
      <c r="AB21" s="23">
        <f t="shared" ref="AB21:AB30" si="31">AC21+AD21</f>
        <v>0</v>
      </c>
      <c r="AC21" s="23">
        <v>0</v>
      </c>
      <c r="AD21" s="23">
        <v>0</v>
      </c>
      <c r="AE21" s="23">
        <f>S21+V21+Y21</f>
        <v>294407.75999999995</v>
      </c>
      <c r="AF21" s="23"/>
      <c r="AG21" s="26">
        <f t="shared" si="5"/>
        <v>294407.75999999995</v>
      </c>
      <c r="AH21" s="27" t="s">
        <v>585</v>
      </c>
      <c r="AI21" s="53" t="s">
        <v>185</v>
      </c>
      <c r="AJ21" s="54">
        <f>36499+66741.15+31009.7</f>
        <v>134249.85</v>
      </c>
      <c r="AK21" s="29">
        <f>5582.2+10207.47+4742.66</f>
        <v>20532.329999999998</v>
      </c>
    </row>
    <row r="22" spans="1:37" ht="157.5" x14ac:dyDescent="0.25">
      <c r="A22" s="12">
        <v>18</v>
      </c>
      <c r="B22" s="7">
        <v>118741</v>
      </c>
      <c r="C22" s="8">
        <v>459</v>
      </c>
      <c r="D22" s="9" t="s">
        <v>172</v>
      </c>
      <c r="E22" s="18" t="s">
        <v>1041</v>
      </c>
      <c r="F22" s="15" t="s">
        <v>542</v>
      </c>
      <c r="G22" s="15" t="s">
        <v>729</v>
      </c>
      <c r="H22" s="15" t="s">
        <v>730</v>
      </c>
      <c r="I22" s="9" t="s">
        <v>185</v>
      </c>
      <c r="J22" s="15" t="s">
        <v>731</v>
      </c>
      <c r="K22" s="20">
        <v>43290</v>
      </c>
      <c r="L22" s="32">
        <v>43778</v>
      </c>
      <c r="M22" s="21">
        <f t="shared" si="27"/>
        <v>85.00000356420064</v>
      </c>
      <c r="N22" s="14">
        <v>3</v>
      </c>
      <c r="O22" s="32" t="s">
        <v>241</v>
      </c>
      <c r="P22" s="32" t="s">
        <v>243</v>
      </c>
      <c r="Q22" s="32" t="s">
        <v>212</v>
      </c>
      <c r="R22" s="14" t="s">
        <v>36</v>
      </c>
      <c r="S22" s="25">
        <v>512737.71</v>
      </c>
      <c r="T22" s="23">
        <v>512737.71</v>
      </c>
      <c r="U22" s="23">
        <v>0</v>
      </c>
      <c r="V22" s="25">
        <v>78418.69</v>
      </c>
      <c r="W22" s="23">
        <v>78418.69</v>
      </c>
      <c r="X22" s="23">
        <v>0</v>
      </c>
      <c r="Y22" s="23">
        <v>12064.41</v>
      </c>
      <c r="Z22" s="23">
        <v>12064.41</v>
      </c>
      <c r="AA22" s="23">
        <v>0</v>
      </c>
      <c r="AB22" s="23">
        <f t="shared" si="31"/>
        <v>0</v>
      </c>
      <c r="AC22" s="23">
        <v>0</v>
      </c>
      <c r="AD22" s="23">
        <v>0</v>
      </c>
      <c r="AE22" s="23">
        <f>S22+V22+Y22</f>
        <v>603220.81000000006</v>
      </c>
      <c r="AF22" s="34"/>
      <c r="AG22" s="26">
        <f t="shared" si="5"/>
        <v>603220.81000000006</v>
      </c>
      <c r="AH22" s="27" t="s">
        <v>585</v>
      </c>
      <c r="AI22" s="34"/>
      <c r="AJ22" s="29">
        <f>37011.15+21320.94+41999.8</f>
        <v>100331.89</v>
      </c>
      <c r="AK22" s="29">
        <f>5660.53+3260.85+6423.49</f>
        <v>15344.869999999999</v>
      </c>
    </row>
    <row r="23" spans="1:37" ht="204.75" x14ac:dyDescent="0.25">
      <c r="A23" s="12">
        <v>19</v>
      </c>
      <c r="B23" s="7">
        <v>126349</v>
      </c>
      <c r="C23" s="8">
        <v>566</v>
      </c>
      <c r="D23" s="9" t="s">
        <v>175</v>
      </c>
      <c r="E23" s="18" t="s">
        <v>1041</v>
      </c>
      <c r="F23" s="15" t="s">
        <v>1135</v>
      </c>
      <c r="G23" s="15" t="s">
        <v>1235</v>
      </c>
      <c r="H23" s="15" t="s">
        <v>699</v>
      </c>
      <c r="I23" s="9" t="s">
        <v>185</v>
      </c>
      <c r="J23" s="15" t="s">
        <v>1236</v>
      </c>
      <c r="K23" s="20">
        <v>43482</v>
      </c>
      <c r="L23" s="32">
        <v>44212</v>
      </c>
      <c r="M23" s="21">
        <f t="shared" ref="M23" si="32">S23/AE23*100</f>
        <v>85.000000750761799</v>
      </c>
      <c r="N23" s="14">
        <v>3</v>
      </c>
      <c r="O23" s="32" t="s">
        <v>241</v>
      </c>
      <c r="P23" s="32" t="s">
        <v>243</v>
      </c>
      <c r="Q23" s="32" t="s">
        <v>212</v>
      </c>
      <c r="R23" s="14" t="s">
        <v>36</v>
      </c>
      <c r="S23" s="25">
        <f>T23+U23</f>
        <v>3396550.05</v>
      </c>
      <c r="T23" s="23">
        <v>3396550.05</v>
      </c>
      <c r="U23" s="23">
        <v>0</v>
      </c>
      <c r="V23" s="25">
        <f>W23+X23</f>
        <v>519472.32</v>
      </c>
      <c r="W23" s="23">
        <v>519472.32</v>
      </c>
      <c r="X23" s="23">
        <v>0</v>
      </c>
      <c r="Y23" s="23">
        <f>Z23+AA23</f>
        <v>79918.83</v>
      </c>
      <c r="Z23" s="23">
        <v>79918.83</v>
      </c>
      <c r="AA23" s="23">
        <v>0</v>
      </c>
      <c r="AB23" s="23">
        <f>AC23+AD23</f>
        <v>0</v>
      </c>
      <c r="AC23" s="23">
        <v>0</v>
      </c>
      <c r="AD23" s="23">
        <v>0</v>
      </c>
      <c r="AE23" s="23">
        <f>S23+V23+Y23+AB23</f>
        <v>3995941.1999999997</v>
      </c>
      <c r="AF23" s="34">
        <v>0</v>
      </c>
      <c r="AG23" s="26">
        <f t="shared" si="5"/>
        <v>3995941.1999999997</v>
      </c>
      <c r="AH23" s="27" t="s">
        <v>585</v>
      </c>
      <c r="AI23" s="34"/>
      <c r="AJ23" s="29">
        <v>5464.65</v>
      </c>
      <c r="AK23" s="29">
        <v>835.77</v>
      </c>
    </row>
    <row r="24" spans="1:37" ht="189" x14ac:dyDescent="0.25">
      <c r="A24" s="14">
        <v>20</v>
      </c>
      <c r="B24" s="7">
        <v>128987</v>
      </c>
      <c r="C24" s="8">
        <v>649</v>
      </c>
      <c r="D24" s="9" t="s">
        <v>163</v>
      </c>
      <c r="E24" s="15" t="s">
        <v>968</v>
      </c>
      <c r="F24" s="55" t="s">
        <v>1417</v>
      </c>
      <c r="G24" s="56" t="s">
        <v>1456</v>
      </c>
      <c r="H24" s="17" t="s">
        <v>730</v>
      </c>
      <c r="I24" s="9" t="s">
        <v>185</v>
      </c>
      <c r="J24" s="15" t="s">
        <v>1457</v>
      </c>
      <c r="K24" s="20">
        <v>43626</v>
      </c>
      <c r="L24" s="32">
        <v>44540</v>
      </c>
      <c r="M24" s="21">
        <f>S24/AE24*100</f>
        <v>85.000000101931988</v>
      </c>
      <c r="N24" s="14">
        <v>3</v>
      </c>
      <c r="O24" s="32" t="s">
        <v>241</v>
      </c>
      <c r="P24" s="32" t="s">
        <v>243</v>
      </c>
      <c r="Q24" s="32" t="s">
        <v>212</v>
      </c>
      <c r="R24" s="14" t="s">
        <v>36</v>
      </c>
      <c r="S24" s="25">
        <f>T24+U24</f>
        <v>2501668.17</v>
      </c>
      <c r="T24" s="23">
        <v>2501668.17</v>
      </c>
      <c r="U24" s="23">
        <v>0</v>
      </c>
      <c r="V24" s="25">
        <f>W24+X24</f>
        <v>382608.07</v>
      </c>
      <c r="W24" s="23">
        <v>382608.07</v>
      </c>
      <c r="X24" s="23">
        <v>0</v>
      </c>
      <c r="Y24" s="23">
        <f>Z24+AA24</f>
        <v>58862.78</v>
      </c>
      <c r="Z24" s="23">
        <v>58862.78</v>
      </c>
      <c r="AA24" s="23">
        <v>0</v>
      </c>
      <c r="AB24" s="23">
        <f>AC24+AD24</f>
        <v>0</v>
      </c>
      <c r="AC24" s="23">
        <v>0</v>
      </c>
      <c r="AD24" s="23">
        <v>0</v>
      </c>
      <c r="AE24" s="23">
        <f>S24+V24+Y24+AB24</f>
        <v>2943139.0199999996</v>
      </c>
      <c r="AF24" s="57">
        <v>0</v>
      </c>
      <c r="AG24" s="26">
        <f t="shared" si="5"/>
        <v>2943139.0199999996</v>
      </c>
      <c r="AH24" s="27" t="s">
        <v>585</v>
      </c>
      <c r="AI24" s="34" t="s">
        <v>185</v>
      </c>
      <c r="AJ24" s="29"/>
      <c r="AK24" s="29"/>
    </row>
    <row r="25" spans="1:37" ht="220.5" x14ac:dyDescent="0.25">
      <c r="A25" s="12">
        <v>21</v>
      </c>
      <c r="B25" s="7">
        <v>119613</v>
      </c>
      <c r="C25" s="8">
        <v>461</v>
      </c>
      <c r="D25" s="9" t="s">
        <v>684</v>
      </c>
      <c r="E25" s="18" t="s">
        <v>1041</v>
      </c>
      <c r="F25" s="15" t="s">
        <v>542</v>
      </c>
      <c r="G25" s="15" t="s">
        <v>899</v>
      </c>
      <c r="H25" s="18" t="s">
        <v>900</v>
      </c>
      <c r="I25" s="9" t="s">
        <v>185</v>
      </c>
      <c r="J25" s="15" t="s">
        <v>901</v>
      </c>
      <c r="K25" s="20">
        <v>43320</v>
      </c>
      <c r="L25" s="32">
        <v>43646</v>
      </c>
      <c r="M25" s="18">
        <f t="shared" si="27"/>
        <v>85.00000179686964</v>
      </c>
      <c r="N25" s="18">
        <v>1</v>
      </c>
      <c r="O25" s="18" t="s">
        <v>345</v>
      </c>
      <c r="P25" s="18" t="s">
        <v>345</v>
      </c>
      <c r="Q25" s="32" t="s">
        <v>212</v>
      </c>
      <c r="R25" s="14" t="s">
        <v>36</v>
      </c>
      <c r="S25" s="26">
        <f t="shared" ref="S25" si="33">T25+U25</f>
        <v>236522.45</v>
      </c>
      <c r="T25" s="23">
        <v>236522.45</v>
      </c>
      <c r="U25" s="26">
        <v>0</v>
      </c>
      <c r="V25" s="58">
        <f t="shared" ref="V25" si="34">W25+X25</f>
        <v>36174.019999999997</v>
      </c>
      <c r="W25" s="24">
        <v>36174.019999999997</v>
      </c>
      <c r="X25" s="58">
        <v>0</v>
      </c>
      <c r="Y25" s="59">
        <f t="shared" ref="Y25" si="35">Z25+AA25</f>
        <v>5565.23</v>
      </c>
      <c r="Z25" s="24">
        <v>5565.23</v>
      </c>
      <c r="AA25" s="59">
        <v>0</v>
      </c>
      <c r="AB25" s="26">
        <v>0</v>
      </c>
      <c r="AC25" s="26">
        <v>0</v>
      </c>
      <c r="AD25" s="26">
        <v>0</v>
      </c>
      <c r="AE25" s="26">
        <f>S25+V25+Y25+AB25</f>
        <v>278261.7</v>
      </c>
      <c r="AF25" s="26">
        <v>37449.300000000003</v>
      </c>
      <c r="AG25" s="26">
        <f t="shared" si="5"/>
        <v>315711</v>
      </c>
      <c r="AH25" s="27" t="s">
        <v>585</v>
      </c>
      <c r="AI25" s="53" t="s">
        <v>1432</v>
      </c>
      <c r="AJ25" s="1">
        <f>36606.19+59255.8+16345.84+70944.19</f>
        <v>183152.02000000002</v>
      </c>
      <c r="AK25" s="29">
        <f>5598.59+9062.65+2499.95+10850.29</f>
        <v>28011.48</v>
      </c>
    </row>
    <row r="26" spans="1:37" ht="409.5" x14ac:dyDescent="0.25">
      <c r="A26" s="12">
        <v>22</v>
      </c>
      <c r="B26" s="7">
        <v>118515</v>
      </c>
      <c r="C26" s="8">
        <v>429</v>
      </c>
      <c r="D26" s="9" t="s">
        <v>843</v>
      </c>
      <c r="E26" s="15" t="s">
        <v>704</v>
      </c>
      <c r="F26" s="15" t="s">
        <v>610</v>
      </c>
      <c r="G26" s="15" t="s">
        <v>949</v>
      </c>
      <c r="H26" s="18" t="s">
        <v>900</v>
      </c>
      <c r="I26" s="9" t="s">
        <v>185</v>
      </c>
      <c r="J26" s="15" t="s">
        <v>950</v>
      </c>
      <c r="K26" s="20">
        <v>43333</v>
      </c>
      <c r="L26" s="32">
        <v>43820</v>
      </c>
      <c r="M26" s="60">
        <f t="shared" si="27"/>
        <v>85</v>
      </c>
      <c r="N26" s="18">
        <v>1</v>
      </c>
      <c r="O26" s="18" t="s">
        <v>345</v>
      </c>
      <c r="P26" s="18" t="s">
        <v>345</v>
      </c>
      <c r="Q26" s="32" t="s">
        <v>212</v>
      </c>
      <c r="R26" s="14" t="s">
        <v>36</v>
      </c>
      <c r="S26" s="23">
        <f t="shared" ref="S26:S27" si="36">T26+U26</f>
        <v>339452.6</v>
      </c>
      <c r="T26" s="29">
        <v>339452.6</v>
      </c>
      <c r="U26" s="29">
        <v>0</v>
      </c>
      <c r="V26" s="23">
        <f t="shared" si="29"/>
        <v>51916.28</v>
      </c>
      <c r="W26" s="29">
        <v>51916.28</v>
      </c>
      <c r="X26" s="33">
        <v>0</v>
      </c>
      <c r="Y26" s="23">
        <f t="shared" si="30"/>
        <v>7987.12</v>
      </c>
      <c r="Z26" s="29">
        <v>7987.12</v>
      </c>
      <c r="AA26" s="29">
        <v>0</v>
      </c>
      <c r="AB26" s="23">
        <f t="shared" si="31"/>
        <v>0</v>
      </c>
      <c r="AC26" s="26">
        <v>0</v>
      </c>
      <c r="AD26" s="26">
        <v>0</v>
      </c>
      <c r="AE26" s="23">
        <f>S26+W26+Z26</f>
        <v>399356</v>
      </c>
      <c r="AF26" s="26">
        <v>58024.99</v>
      </c>
      <c r="AG26" s="26">
        <f t="shared" si="5"/>
        <v>457380.99</v>
      </c>
      <c r="AH26" s="27" t="s">
        <v>585</v>
      </c>
      <c r="AI26" s="53" t="s">
        <v>185</v>
      </c>
      <c r="AJ26" s="1">
        <f>17436.62+39132.39-4546.98+30717.43</f>
        <v>82739.459999999992</v>
      </c>
      <c r="AK26" s="1">
        <f>2549.38+4546.98+4697.96</f>
        <v>11794.32</v>
      </c>
    </row>
    <row r="27" spans="1:37" ht="220.5" x14ac:dyDescent="0.25">
      <c r="A27" s="14">
        <v>23</v>
      </c>
      <c r="B27" s="7">
        <v>126161</v>
      </c>
      <c r="C27" s="8">
        <v>571</v>
      </c>
      <c r="D27" s="9" t="s">
        <v>176</v>
      </c>
      <c r="E27" s="15" t="s">
        <v>968</v>
      </c>
      <c r="F27" s="15" t="s">
        <v>1135</v>
      </c>
      <c r="G27" s="15" t="s">
        <v>1168</v>
      </c>
      <c r="H27" s="18" t="s">
        <v>1167</v>
      </c>
      <c r="I27" s="9" t="s">
        <v>185</v>
      </c>
      <c r="J27" s="15" t="s">
        <v>1169</v>
      </c>
      <c r="K27" s="20">
        <v>43444</v>
      </c>
      <c r="L27" s="32">
        <v>44265</v>
      </c>
      <c r="M27" s="60">
        <f t="shared" si="27"/>
        <v>84.999999835393808</v>
      </c>
      <c r="N27" s="18">
        <v>1</v>
      </c>
      <c r="O27" s="18" t="s">
        <v>345</v>
      </c>
      <c r="P27" s="18" t="s">
        <v>345</v>
      </c>
      <c r="Q27" s="32" t="s">
        <v>212</v>
      </c>
      <c r="R27" s="14" t="s">
        <v>36</v>
      </c>
      <c r="S27" s="23">
        <f t="shared" si="36"/>
        <v>2323727.9300000002</v>
      </c>
      <c r="T27" s="29">
        <v>2323727.9300000002</v>
      </c>
      <c r="U27" s="29">
        <v>0</v>
      </c>
      <c r="V27" s="23">
        <f t="shared" si="29"/>
        <v>355393.68</v>
      </c>
      <c r="W27" s="29">
        <v>355393.68</v>
      </c>
      <c r="X27" s="33">
        <v>0</v>
      </c>
      <c r="Y27" s="23">
        <f t="shared" si="30"/>
        <v>54675.96</v>
      </c>
      <c r="Z27" s="29">
        <v>54675.96</v>
      </c>
      <c r="AA27" s="29">
        <v>0</v>
      </c>
      <c r="AB27" s="23">
        <f t="shared" si="31"/>
        <v>0</v>
      </c>
      <c r="AC27" s="26">
        <v>0</v>
      </c>
      <c r="AD27" s="26">
        <v>0</v>
      </c>
      <c r="AE27" s="23">
        <f t="shared" ref="AE27" si="37">S27+W27+Z27</f>
        <v>2733797.5700000003</v>
      </c>
      <c r="AF27" s="26">
        <v>80920</v>
      </c>
      <c r="AG27" s="26">
        <f t="shared" si="5"/>
        <v>2814717.5700000003</v>
      </c>
      <c r="AH27" s="27" t="s">
        <v>585</v>
      </c>
      <c r="AI27" s="53"/>
      <c r="AJ27" s="1">
        <v>43440.27</v>
      </c>
      <c r="AK27" s="1">
        <v>6643.81</v>
      </c>
    </row>
    <row r="28" spans="1:37" ht="236.25" x14ac:dyDescent="0.25">
      <c r="A28" s="12">
        <v>24</v>
      </c>
      <c r="B28" s="7">
        <v>128880</v>
      </c>
      <c r="C28" s="8">
        <v>652</v>
      </c>
      <c r="D28" s="9" t="s">
        <v>176</v>
      </c>
      <c r="E28" s="15" t="s">
        <v>968</v>
      </c>
      <c r="F28" s="15" t="s">
        <v>1417</v>
      </c>
      <c r="G28" s="15" t="s">
        <v>1514</v>
      </c>
      <c r="H28" s="18" t="s">
        <v>900</v>
      </c>
      <c r="I28" s="9" t="s">
        <v>185</v>
      </c>
      <c r="J28" s="15" t="s">
        <v>1515</v>
      </c>
      <c r="K28" s="20">
        <v>43643</v>
      </c>
      <c r="L28" s="32">
        <v>44374</v>
      </c>
      <c r="M28" s="60">
        <f>S28/AE28*100</f>
        <v>85</v>
      </c>
      <c r="N28" s="18">
        <v>1</v>
      </c>
      <c r="O28" s="18" t="s">
        <v>345</v>
      </c>
      <c r="P28" s="18" t="s">
        <v>345</v>
      </c>
      <c r="Q28" s="32" t="s">
        <v>212</v>
      </c>
      <c r="R28" s="14" t="s">
        <v>36</v>
      </c>
      <c r="S28" s="23">
        <f>T28+U28</f>
        <v>2545487.35</v>
      </c>
      <c r="T28" s="29">
        <v>2545487.35</v>
      </c>
      <c r="U28" s="29">
        <v>0</v>
      </c>
      <c r="V28" s="23">
        <f>W28+X28</f>
        <v>389309.83</v>
      </c>
      <c r="W28" s="29">
        <v>389309.83</v>
      </c>
      <c r="X28" s="29">
        <v>0</v>
      </c>
      <c r="Y28" s="23">
        <f>Z28+AA28</f>
        <v>59893.82</v>
      </c>
      <c r="Z28" s="29">
        <v>59893.82</v>
      </c>
      <c r="AA28" s="29">
        <v>0</v>
      </c>
      <c r="AB28" s="23">
        <f>AC28+AD28</f>
        <v>0</v>
      </c>
      <c r="AC28" s="61">
        <v>0</v>
      </c>
      <c r="AD28" s="61">
        <v>0</v>
      </c>
      <c r="AE28" s="23">
        <f>S28+W28+Z28</f>
        <v>2994691</v>
      </c>
      <c r="AF28" s="26">
        <v>0</v>
      </c>
      <c r="AG28" s="26">
        <f t="shared" si="5"/>
        <v>2994691</v>
      </c>
      <c r="AH28" s="27"/>
      <c r="AI28" s="53"/>
      <c r="AJ28" s="1"/>
      <c r="AK28" s="1"/>
    </row>
    <row r="29" spans="1:37" ht="186" customHeight="1" x14ac:dyDescent="0.25">
      <c r="A29" s="12">
        <v>25</v>
      </c>
      <c r="B29" s="13">
        <v>122823</v>
      </c>
      <c r="C29" s="8">
        <v>71</v>
      </c>
      <c r="D29" s="15" t="s">
        <v>684</v>
      </c>
      <c r="E29" s="15" t="s">
        <v>968</v>
      </c>
      <c r="F29" s="16" t="s">
        <v>331</v>
      </c>
      <c r="G29" s="62" t="s">
        <v>499</v>
      </c>
      <c r="H29" s="15" t="s">
        <v>497</v>
      </c>
      <c r="I29" s="18" t="s">
        <v>185</v>
      </c>
      <c r="J29" s="19" t="s">
        <v>498</v>
      </c>
      <c r="K29" s="20">
        <v>43244</v>
      </c>
      <c r="L29" s="32">
        <v>43732</v>
      </c>
      <c r="M29" s="63">
        <f t="shared" ref="M29:M30" si="38">S29/AE29*100</f>
        <v>85.000001791562255</v>
      </c>
      <c r="N29" s="18">
        <v>6</v>
      </c>
      <c r="O29" s="15" t="s">
        <v>495</v>
      </c>
      <c r="P29" s="15" t="s">
        <v>496</v>
      </c>
      <c r="Q29" s="62" t="s">
        <v>212</v>
      </c>
      <c r="R29" s="15" t="s">
        <v>36</v>
      </c>
      <c r="S29" s="26">
        <f t="shared" ref="S29" si="39">T29+U29</f>
        <v>355834.7</v>
      </c>
      <c r="T29" s="29">
        <v>355834.7</v>
      </c>
      <c r="U29" s="26">
        <v>0</v>
      </c>
      <c r="V29" s="58">
        <f t="shared" ref="V29" si="40">W29+X29</f>
        <v>54421.769999999982</v>
      </c>
      <c r="W29" s="1">
        <v>54421.769999999982</v>
      </c>
      <c r="X29" s="58">
        <v>0</v>
      </c>
      <c r="Y29" s="59">
        <f t="shared" ref="Y29" si="41">Z29+AA29</f>
        <v>8372.58</v>
      </c>
      <c r="Z29" s="24">
        <v>8372.58</v>
      </c>
      <c r="AA29" s="59">
        <v>0</v>
      </c>
      <c r="AB29" s="26">
        <v>0</v>
      </c>
      <c r="AC29" s="26"/>
      <c r="AD29" s="26"/>
      <c r="AE29" s="26">
        <f>S29+V29+Y29+AB29</f>
        <v>418629.05</v>
      </c>
      <c r="AF29" s="26">
        <v>0</v>
      </c>
      <c r="AG29" s="26">
        <f t="shared" si="5"/>
        <v>418629.05</v>
      </c>
      <c r="AH29" s="27" t="s">
        <v>585</v>
      </c>
      <c r="AI29" s="53" t="s">
        <v>185</v>
      </c>
      <c r="AJ29" s="1">
        <f>75266.37-5365.18+40445.22-5442.14+41025.35-5438.13+40995.18-5548.59</f>
        <v>175938.08</v>
      </c>
      <c r="AK29" s="29">
        <f>5108.77+5365.18+5442.14+5438.13+5548.59</f>
        <v>26902.81</v>
      </c>
    </row>
    <row r="30" spans="1:37" ht="204.75" x14ac:dyDescent="0.25">
      <c r="A30" s="14">
        <v>26</v>
      </c>
      <c r="B30" s="16">
        <v>119767</v>
      </c>
      <c r="C30" s="16">
        <v>475</v>
      </c>
      <c r="D30" s="16" t="s">
        <v>1074</v>
      </c>
      <c r="E30" s="18" t="s">
        <v>1041</v>
      </c>
      <c r="F30" s="15" t="s">
        <v>542</v>
      </c>
      <c r="G30" s="62" t="s">
        <v>832</v>
      </c>
      <c r="H30" s="62" t="s">
        <v>833</v>
      </c>
      <c r="I30" s="18" t="s">
        <v>185</v>
      </c>
      <c r="J30" s="19" t="s">
        <v>834</v>
      </c>
      <c r="K30" s="20">
        <v>43306</v>
      </c>
      <c r="L30" s="32">
        <v>43794</v>
      </c>
      <c r="M30" s="63">
        <f t="shared" si="38"/>
        <v>85.000000000000014</v>
      </c>
      <c r="N30" s="14">
        <v>6</v>
      </c>
      <c r="O30" s="32" t="s">
        <v>495</v>
      </c>
      <c r="P30" s="32" t="s">
        <v>835</v>
      </c>
      <c r="Q30" s="32" t="s">
        <v>212</v>
      </c>
      <c r="R30" s="14" t="s">
        <v>36</v>
      </c>
      <c r="S30" s="23">
        <v>518392.9</v>
      </c>
      <c r="T30" s="23">
        <v>518392.9</v>
      </c>
      <c r="U30" s="26">
        <v>0</v>
      </c>
      <c r="V30" s="23">
        <v>79283.62</v>
      </c>
      <c r="W30" s="1">
        <v>79283.62</v>
      </c>
      <c r="X30" s="58">
        <v>0</v>
      </c>
      <c r="Y30" s="23">
        <v>12197.48</v>
      </c>
      <c r="Z30" s="64">
        <v>12197.48</v>
      </c>
      <c r="AA30" s="59">
        <v>0</v>
      </c>
      <c r="AB30" s="23">
        <f t="shared" si="31"/>
        <v>0</v>
      </c>
      <c r="AC30" s="26">
        <v>0</v>
      </c>
      <c r="AD30" s="26">
        <v>0</v>
      </c>
      <c r="AE30" s="23">
        <f>S30+V30+Y30+AB30</f>
        <v>609874</v>
      </c>
      <c r="AF30" s="26">
        <v>0</v>
      </c>
      <c r="AG30" s="26">
        <f t="shared" si="5"/>
        <v>609874</v>
      </c>
      <c r="AH30" s="27" t="s">
        <v>585</v>
      </c>
      <c r="AI30" s="53" t="s">
        <v>185</v>
      </c>
      <c r="AJ30" s="1">
        <f>60000+22596.2</f>
        <v>82596.2</v>
      </c>
      <c r="AK30" s="29">
        <v>12632.36</v>
      </c>
    </row>
    <row r="31" spans="1:37" s="66" customFormat="1" ht="189" x14ac:dyDescent="0.25">
      <c r="A31" s="12">
        <v>27</v>
      </c>
      <c r="B31" s="13">
        <v>120599</v>
      </c>
      <c r="C31" s="8">
        <v>75</v>
      </c>
      <c r="D31" s="15" t="s">
        <v>684</v>
      </c>
      <c r="E31" s="15" t="s">
        <v>968</v>
      </c>
      <c r="F31" s="16" t="s">
        <v>331</v>
      </c>
      <c r="G31" s="62" t="s">
        <v>246</v>
      </c>
      <c r="H31" s="15" t="s">
        <v>247</v>
      </c>
      <c r="I31" s="18" t="s">
        <v>185</v>
      </c>
      <c r="J31" s="65" t="s">
        <v>836</v>
      </c>
      <c r="K31" s="20">
        <v>43145</v>
      </c>
      <c r="L31" s="32">
        <v>43813</v>
      </c>
      <c r="M31" s="63">
        <f t="shared" ref="M31:M33" si="42">S31/AE31*100</f>
        <v>84.999998786570643</v>
      </c>
      <c r="N31" s="18">
        <v>6</v>
      </c>
      <c r="O31" s="15" t="s">
        <v>262</v>
      </c>
      <c r="P31" s="15" t="s">
        <v>248</v>
      </c>
      <c r="Q31" s="62" t="s">
        <v>212</v>
      </c>
      <c r="R31" s="15" t="s">
        <v>36</v>
      </c>
      <c r="S31" s="26">
        <f t="shared" ref="S31:S33" si="43">T31+U31</f>
        <v>350247</v>
      </c>
      <c r="T31" s="23">
        <v>350247</v>
      </c>
      <c r="U31" s="26">
        <v>0</v>
      </c>
      <c r="V31" s="58">
        <f t="shared" ref="V31:V33" si="44">W31+X31</f>
        <v>53567.19</v>
      </c>
      <c r="W31" s="1">
        <v>53567.19</v>
      </c>
      <c r="X31" s="58">
        <v>0</v>
      </c>
      <c r="Y31" s="59">
        <f t="shared" ref="Y31:Y33" si="45">Z31+AA31</f>
        <v>8241.11</v>
      </c>
      <c r="Z31" s="24">
        <v>8241.11</v>
      </c>
      <c r="AA31" s="59">
        <v>0</v>
      </c>
      <c r="AB31" s="26">
        <v>0</v>
      </c>
      <c r="AC31" s="26"/>
      <c r="AD31" s="26"/>
      <c r="AE31" s="26">
        <f>S31+V31+Y31+AB31</f>
        <v>412055.3</v>
      </c>
      <c r="AF31" s="26">
        <v>0</v>
      </c>
      <c r="AG31" s="26">
        <f t="shared" si="5"/>
        <v>412055.3</v>
      </c>
      <c r="AH31" s="27" t="s">
        <v>585</v>
      </c>
      <c r="AI31" s="53" t="s">
        <v>1473</v>
      </c>
      <c r="AJ31" s="1">
        <v>99944.26</v>
      </c>
      <c r="AK31" s="29">
        <v>15285.57</v>
      </c>
    </row>
    <row r="32" spans="1:37" ht="291" customHeight="1" x14ac:dyDescent="0.25">
      <c r="A32" s="12">
        <v>28</v>
      </c>
      <c r="B32" s="7">
        <v>119593</v>
      </c>
      <c r="C32" s="8">
        <v>467</v>
      </c>
      <c r="D32" s="9" t="s">
        <v>684</v>
      </c>
      <c r="E32" s="18" t="s">
        <v>1041</v>
      </c>
      <c r="F32" s="15" t="s">
        <v>542</v>
      </c>
      <c r="G32" s="15" t="s">
        <v>773</v>
      </c>
      <c r="H32" s="18" t="s">
        <v>774</v>
      </c>
      <c r="I32" s="9" t="s">
        <v>337</v>
      </c>
      <c r="J32" s="15" t="s">
        <v>775</v>
      </c>
      <c r="K32" s="20">
        <v>43293</v>
      </c>
      <c r="L32" s="32">
        <v>43781</v>
      </c>
      <c r="M32" s="18">
        <f t="shared" si="42"/>
        <v>84.262029230668674</v>
      </c>
      <c r="N32" s="18">
        <v>1</v>
      </c>
      <c r="O32" s="18" t="s">
        <v>550</v>
      </c>
      <c r="P32" s="18" t="s">
        <v>776</v>
      </c>
      <c r="Q32" s="18" t="s">
        <v>212</v>
      </c>
      <c r="R32" s="18" t="s">
        <v>36</v>
      </c>
      <c r="S32" s="25">
        <f t="shared" ref="S32" si="46">T32+U32</f>
        <v>349239.24</v>
      </c>
      <c r="T32" s="29">
        <v>349239.24</v>
      </c>
      <c r="U32" s="26">
        <v>0</v>
      </c>
      <c r="V32" s="25">
        <f t="shared" ref="V32" si="47">W32+X32</f>
        <v>56939.5</v>
      </c>
      <c r="W32" s="29">
        <v>56939.5</v>
      </c>
      <c r="X32" s="26">
        <v>0</v>
      </c>
      <c r="Y32" s="25">
        <f t="shared" ref="Y32" si="48">Z32+AA32</f>
        <v>4690.93</v>
      </c>
      <c r="Z32" s="29">
        <v>4690.93</v>
      </c>
      <c r="AA32" s="29">
        <v>0</v>
      </c>
      <c r="AB32" s="23">
        <f t="shared" ref="AB32" si="49">AC32+AD32</f>
        <v>3598.44</v>
      </c>
      <c r="AC32" s="26">
        <v>3598.44</v>
      </c>
      <c r="AD32" s="26">
        <v>0</v>
      </c>
      <c r="AE32" s="23">
        <f t="shared" ref="AE32" si="50">S32+V32+Y32+AB32</f>
        <v>414468.11</v>
      </c>
      <c r="AF32" s="34"/>
      <c r="AG32" s="26">
        <f t="shared" si="5"/>
        <v>414468.11</v>
      </c>
      <c r="AH32" s="27" t="s">
        <v>585</v>
      </c>
      <c r="AI32" s="34"/>
      <c r="AJ32" s="38">
        <f>35492.2+30895.14+16961.29+15519.4+23454.6+5703.34</f>
        <v>128025.97</v>
      </c>
      <c r="AK32" s="38">
        <f>4135.85+8894.04+3988.86</f>
        <v>17018.75</v>
      </c>
    </row>
    <row r="33" spans="1:37" ht="215.25" customHeight="1" x14ac:dyDescent="0.25">
      <c r="A33" s="14">
        <v>29</v>
      </c>
      <c r="B33" s="13">
        <v>118690</v>
      </c>
      <c r="C33" s="18">
        <v>433</v>
      </c>
      <c r="D33" s="14" t="s">
        <v>684</v>
      </c>
      <c r="E33" s="15" t="s">
        <v>704</v>
      </c>
      <c r="F33" s="15" t="s">
        <v>610</v>
      </c>
      <c r="G33" s="15" t="s">
        <v>958</v>
      </c>
      <c r="H33" s="18" t="s">
        <v>774</v>
      </c>
      <c r="I33" s="18" t="s">
        <v>967</v>
      </c>
      <c r="J33" s="15" t="s">
        <v>959</v>
      </c>
      <c r="K33" s="20">
        <v>43333</v>
      </c>
      <c r="L33" s="32">
        <v>43790</v>
      </c>
      <c r="M33" s="18">
        <f t="shared" si="42"/>
        <v>84.169367233766351</v>
      </c>
      <c r="N33" s="18">
        <v>1</v>
      </c>
      <c r="O33" s="18" t="s">
        <v>776</v>
      </c>
      <c r="P33" s="18" t="s">
        <v>776</v>
      </c>
      <c r="Q33" s="18" t="s">
        <v>212</v>
      </c>
      <c r="R33" s="18" t="s">
        <v>960</v>
      </c>
      <c r="S33" s="26">
        <f t="shared" si="43"/>
        <v>242198.44</v>
      </c>
      <c r="T33" s="29">
        <v>242198.44</v>
      </c>
      <c r="U33" s="37">
        <v>0</v>
      </c>
      <c r="V33" s="58">
        <f t="shared" si="44"/>
        <v>39797.81</v>
      </c>
      <c r="W33" s="29">
        <v>39797.81</v>
      </c>
      <c r="X33" s="37">
        <v>0</v>
      </c>
      <c r="Y33" s="59">
        <f t="shared" si="45"/>
        <v>5755.04</v>
      </c>
      <c r="Z33" s="29">
        <v>5755.04</v>
      </c>
      <c r="AA33" s="1">
        <v>0</v>
      </c>
      <c r="AB33" s="26">
        <v>0</v>
      </c>
      <c r="AC33" s="37">
        <v>0</v>
      </c>
      <c r="AD33" s="37">
        <v>0</v>
      </c>
      <c r="AE33" s="26">
        <f t="shared" ref="AE33" si="51">S33+V33+Y33</f>
        <v>287751.28999999998</v>
      </c>
      <c r="AF33" s="34"/>
      <c r="AG33" s="26">
        <f t="shared" si="5"/>
        <v>287751.28999999998</v>
      </c>
      <c r="AH33" s="27" t="s">
        <v>585</v>
      </c>
      <c r="AI33" s="34"/>
      <c r="AJ33" s="38">
        <f>28775.11+11891.84+28775.11+36393.98</f>
        <v>105836.04000000001</v>
      </c>
      <c r="AK33" s="1">
        <f>6600.82+5824.77</f>
        <v>12425.59</v>
      </c>
    </row>
    <row r="34" spans="1:37" ht="204.75" x14ac:dyDescent="0.25">
      <c r="A34" s="12">
        <v>30</v>
      </c>
      <c r="B34" s="7">
        <v>126412</v>
      </c>
      <c r="C34" s="8">
        <v>553</v>
      </c>
      <c r="D34" s="9" t="s">
        <v>1074</v>
      </c>
      <c r="E34" s="18" t="s">
        <v>1041</v>
      </c>
      <c r="F34" s="17" t="s">
        <v>1135</v>
      </c>
      <c r="G34" s="15" t="s">
        <v>1355</v>
      </c>
      <c r="H34" s="18" t="s">
        <v>1356</v>
      </c>
      <c r="I34" s="9" t="s">
        <v>353</v>
      </c>
      <c r="J34" s="15" t="s">
        <v>1357</v>
      </c>
      <c r="K34" s="20">
        <v>43564</v>
      </c>
      <c r="L34" s="32">
        <v>44295</v>
      </c>
      <c r="M34" s="18">
        <f>S34/AE34*100</f>
        <v>85.000000068999867</v>
      </c>
      <c r="N34" s="9">
        <v>1</v>
      </c>
      <c r="O34" s="18" t="s">
        <v>776</v>
      </c>
      <c r="P34" s="18" t="s">
        <v>776</v>
      </c>
      <c r="Q34" s="18" t="s">
        <v>212</v>
      </c>
      <c r="R34" s="18" t="s">
        <v>36</v>
      </c>
      <c r="S34" s="26">
        <f>T34+U34</f>
        <v>2463772.67</v>
      </c>
      <c r="T34" s="29">
        <v>2463772.67</v>
      </c>
      <c r="U34" s="37">
        <v>0</v>
      </c>
      <c r="V34" s="58">
        <f>W34+X34</f>
        <v>376812.28</v>
      </c>
      <c r="W34" s="29">
        <v>376812.28</v>
      </c>
      <c r="X34" s="37">
        <v>0</v>
      </c>
      <c r="Y34" s="59">
        <f>Z34+AA34</f>
        <v>57971.13</v>
      </c>
      <c r="Z34" s="29">
        <v>57971.13</v>
      </c>
      <c r="AA34" s="1">
        <v>0</v>
      </c>
      <c r="AB34" s="26">
        <v>0</v>
      </c>
      <c r="AC34" s="37">
        <v>0</v>
      </c>
      <c r="AD34" s="37">
        <v>0</v>
      </c>
      <c r="AE34" s="26">
        <f>S34+V34+Y34</f>
        <v>2898556.08</v>
      </c>
      <c r="AF34" s="34"/>
      <c r="AG34" s="26">
        <f t="shared" si="5"/>
        <v>2898556.08</v>
      </c>
      <c r="AH34" s="27" t="s">
        <v>585</v>
      </c>
      <c r="AI34" s="34"/>
      <c r="AJ34" s="38">
        <v>0</v>
      </c>
      <c r="AK34" s="38">
        <v>0</v>
      </c>
    </row>
    <row r="35" spans="1:37" ht="239.25" customHeight="1" x14ac:dyDescent="0.25">
      <c r="A35" s="12">
        <v>31</v>
      </c>
      <c r="B35" s="13">
        <v>128790</v>
      </c>
      <c r="C35" s="67">
        <v>644</v>
      </c>
      <c r="D35" s="13" t="s">
        <v>177</v>
      </c>
      <c r="E35" s="15" t="s">
        <v>968</v>
      </c>
      <c r="F35" s="16" t="s">
        <v>1417</v>
      </c>
      <c r="G35" s="68" t="s">
        <v>1466</v>
      </c>
      <c r="H35" s="30" t="s">
        <v>1464</v>
      </c>
      <c r="I35" s="9" t="s">
        <v>185</v>
      </c>
      <c r="J35" s="19" t="s">
        <v>1471</v>
      </c>
      <c r="K35" s="20">
        <v>43629</v>
      </c>
      <c r="L35" s="20">
        <v>44482</v>
      </c>
      <c r="M35" s="21">
        <f>S35/AE35*100</f>
        <v>85.000000118502641</v>
      </c>
      <c r="N35" s="69">
        <v>1</v>
      </c>
      <c r="O35" s="14" t="s">
        <v>1468</v>
      </c>
      <c r="P35" s="14" t="s">
        <v>1469</v>
      </c>
      <c r="Q35" s="70" t="s">
        <v>212</v>
      </c>
      <c r="R35" s="14" t="s">
        <v>36</v>
      </c>
      <c r="S35" s="26">
        <f>T35+U35</f>
        <v>2510492.42</v>
      </c>
      <c r="T35" s="29">
        <v>2510492.42</v>
      </c>
      <c r="U35" s="37">
        <v>0</v>
      </c>
      <c r="V35" s="58">
        <f>W35+X35</f>
        <v>383957.66</v>
      </c>
      <c r="W35" s="29">
        <v>383957.66</v>
      </c>
      <c r="X35" s="37">
        <v>0</v>
      </c>
      <c r="Y35" s="59">
        <f>Z35+AA35</f>
        <v>59070.41</v>
      </c>
      <c r="Z35" s="29">
        <v>59070.41</v>
      </c>
      <c r="AA35" s="1">
        <v>0</v>
      </c>
      <c r="AB35" s="26">
        <v>0</v>
      </c>
      <c r="AC35" s="37">
        <v>0</v>
      </c>
      <c r="AD35" s="37">
        <v>0</v>
      </c>
      <c r="AE35" s="26">
        <f>S35+V35+Y35</f>
        <v>2953520.49</v>
      </c>
      <c r="AF35" s="37"/>
      <c r="AG35" s="26">
        <f t="shared" si="5"/>
        <v>2953520.49</v>
      </c>
      <c r="AH35" s="27" t="s">
        <v>585</v>
      </c>
      <c r="AI35" s="28"/>
      <c r="AJ35" s="29">
        <v>0</v>
      </c>
      <c r="AK35" s="29">
        <v>0</v>
      </c>
    </row>
    <row r="36" spans="1:37" ht="283.5" x14ac:dyDescent="0.25">
      <c r="A36" s="14">
        <v>32</v>
      </c>
      <c r="B36" s="14">
        <v>120555</v>
      </c>
      <c r="C36" s="8">
        <v>93</v>
      </c>
      <c r="D36" s="14" t="s">
        <v>171</v>
      </c>
      <c r="E36" s="15" t="s">
        <v>968</v>
      </c>
      <c r="F36" s="16" t="s">
        <v>331</v>
      </c>
      <c r="G36" s="71" t="s">
        <v>404</v>
      </c>
      <c r="H36" s="18" t="s">
        <v>403</v>
      </c>
      <c r="I36" s="72" t="s">
        <v>405</v>
      </c>
      <c r="J36" s="19" t="s">
        <v>406</v>
      </c>
      <c r="K36" s="20">
        <v>43208</v>
      </c>
      <c r="L36" s="32">
        <v>43817</v>
      </c>
      <c r="M36" s="21">
        <f t="shared" ref="M36:M38" si="52">S36/AE36*100</f>
        <v>84.163174801247621</v>
      </c>
      <c r="N36" s="14">
        <v>2</v>
      </c>
      <c r="O36" s="14" t="s">
        <v>427</v>
      </c>
      <c r="P36" s="14" t="s">
        <v>407</v>
      </c>
      <c r="Q36" s="22" t="s">
        <v>212</v>
      </c>
      <c r="R36" s="14" t="s">
        <v>36</v>
      </c>
      <c r="S36" s="25">
        <f t="shared" ref="S36:S38" si="53">T36+U36</f>
        <v>356789.37</v>
      </c>
      <c r="T36" s="23">
        <v>356789.37</v>
      </c>
      <c r="U36" s="23">
        <v>0</v>
      </c>
      <c r="V36" s="25">
        <f t="shared" ref="V36:V38" si="54">W36+X36</f>
        <v>58657.86</v>
      </c>
      <c r="W36" s="23">
        <v>58657.86</v>
      </c>
      <c r="X36" s="23">
        <v>0</v>
      </c>
      <c r="Y36" s="25">
        <f t="shared" ref="Y36:Y38" si="55">Z36+AA36</f>
        <v>8478.52</v>
      </c>
      <c r="Z36" s="23">
        <v>8478.52</v>
      </c>
      <c r="AA36" s="23">
        <v>0</v>
      </c>
      <c r="AB36" s="23">
        <f t="shared" ref="AB36:AB38" si="56">AC36+AD36</f>
        <v>0</v>
      </c>
      <c r="AC36" s="23"/>
      <c r="AD36" s="23"/>
      <c r="AE36" s="23">
        <f t="shared" ref="AE36:AE38" si="57">S36+V36+Y36+AB36</f>
        <v>423925.75</v>
      </c>
      <c r="AF36" s="23">
        <v>0</v>
      </c>
      <c r="AG36" s="26">
        <f t="shared" si="5"/>
        <v>423925.75</v>
      </c>
      <c r="AH36" s="27" t="s">
        <v>585</v>
      </c>
      <c r="AI36" s="28" t="s">
        <v>185</v>
      </c>
      <c r="AJ36" s="1">
        <f>20867.74+18218.8+30425.63+3648.09+28050.24+50726.48+20867.74</f>
        <v>172804.72</v>
      </c>
      <c r="AK36" s="29">
        <f>6395.02+3754.28+1987.29+1098.5+11377.64</f>
        <v>24612.73</v>
      </c>
    </row>
    <row r="37" spans="1:37" ht="204.75" x14ac:dyDescent="0.25">
      <c r="A37" s="12">
        <v>33</v>
      </c>
      <c r="B37" s="14">
        <v>119189</v>
      </c>
      <c r="C37" s="8">
        <v>466</v>
      </c>
      <c r="D37" s="14" t="s">
        <v>684</v>
      </c>
      <c r="E37" s="18" t="s">
        <v>1041</v>
      </c>
      <c r="F37" s="18" t="s">
        <v>542</v>
      </c>
      <c r="G37" s="18" t="s">
        <v>685</v>
      </c>
      <c r="H37" s="18" t="s">
        <v>795</v>
      </c>
      <c r="I37" s="18" t="s">
        <v>185</v>
      </c>
      <c r="J37" s="19" t="s">
        <v>794</v>
      </c>
      <c r="K37" s="20">
        <v>43278</v>
      </c>
      <c r="L37" s="32">
        <v>43765</v>
      </c>
      <c r="M37" s="21">
        <f t="shared" si="52"/>
        <v>85.000000991333039</v>
      </c>
      <c r="N37" s="14">
        <v>2</v>
      </c>
      <c r="O37" s="14" t="s">
        <v>427</v>
      </c>
      <c r="P37" s="14" t="s">
        <v>407</v>
      </c>
      <c r="Q37" s="22" t="s">
        <v>212</v>
      </c>
      <c r="R37" s="14" t="s">
        <v>36</v>
      </c>
      <c r="S37" s="25">
        <f t="shared" si="53"/>
        <v>514458.8</v>
      </c>
      <c r="T37" s="23">
        <v>514458.8</v>
      </c>
      <c r="U37" s="23">
        <v>0</v>
      </c>
      <c r="V37" s="25">
        <f t="shared" si="54"/>
        <v>78681.929999999978</v>
      </c>
      <c r="W37" s="23">
        <v>78681.929999999978</v>
      </c>
      <c r="X37" s="23">
        <v>0</v>
      </c>
      <c r="Y37" s="25">
        <f t="shared" si="55"/>
        <v>12104.91</v>
      </c>
      <c r="Z37" s="23">
        <v>12104.91</v>
      </c>
      <c r="AA37" s="23">
        <v>0</v>
      </c>
      <c r="AB37" s="23">
        <f t="shared" si="56"/>
        <v>0</v>
      </c>
      <c r="AC37" s="23">
        <v>0</v>
      </c>
      <c r="AD37" s="23">
        <v>0</v>
      </c>
      <c r="AE37" s="23">
        <f t="shared" si="57"/>
        <v>605245.64</v>
      </c>
      <c r="AF37" s="23"/>
      <c r="AG37" s="26">
        <f t="shared" si="5"/>
        <v>605245.64</v>
      </c>
      <c r="AH37" s="27" t="s">
        <v>585</v>
      </c>
      <c r="AI37" s="28" t="s">
        <v>185</v>
      </c>
      <c r="AJ37" s="1">
        <v>44348.46</v>
      </c>
      <c r="AK37" s="29">
        <v>6782.71</v>
      </c>
    </row>
    <row r="38" spans="1:37" ht="151.5" customHeight="1" x14ac:dyDescent="0.25">
      <c r="A38" s="12">
        <v>34</v>
      </c>
      <c r="B38" s="14">
        <v>125782</v>
      </c>
      <c r="C38" s="8">
        <v>520</v>
      </c>
      <c r="D38" s="9" t="s">
        <v>1074</v>
      </c>
      <c r="E38" s="15" t="s">
        <v>968</v>
      </c>
      <c r="F38" s="17" t="s">
        <v>1135</v>
      </c>
      <c r="G38" s="18" t="s">
        <v>1176</v>
      </c>
      <c r="H38" s="18" t="s">
        <v>795</v>
      </c>
      <c r="I38" s="18" t="s">
        <v>185</v>
      </c>
      <c r="J38" s="19" t="s">
        <v>1177</v>
      </c>
      <c r="K38" s="20">
        <v>43445</v>
      </c>
      <c r="L38" s="32">
        <v>43872</v>
      </c>
      <c r="M38" s="21">
        <f t="shared" si="52"/>
        <v>84.999999737203865</v>
      </c>
      <c r="N38" s="14">
        <v>2</v>
      </c>
      <c r="O38" s="14" t="s">
        <v>427</v>
      </c>
      <c r="P38" s="14" t="s">
        <v>407</v>
      </c>
      <c r="Q38" s="22" t="s">
        <v>212</v>
      </c>
      <c r="R38" s="14" t="s">
        <v>36</v>
      </c>
      <c r="S38" s="25">
        <f t="shared" si="53"/>
        <v>1132056.27</v>
      </c>
      <c r="T38" s="23">
        <v>1132056.27</v>
      </c>
      <c r="U38" s="23">
        <v>0</v>
      </c>
      <c r="V38" s="25">
        <f t="shared" si="54"/>
        <v>173138.02</v>
      </c>
      <c r="W38" s="23">
        <v>173138.02</v>
      </c>
      <c r="X38" s="23">
        <v>0</v>
      </c>
      <c r="Y38" s="25">
        <f t="shared" si="55"/>
        <v>26636.62</v>
      </c>
      <c r="Z38" s="23">
        <v>26636.62</v>
      </c>
      <c r="AA38" s="1">
        <v>0</v>
      </c>
      <c r="AB38" s="23">
        <f t="shared" si="56"/>
        <v>0</v>
      </c>
      <c r="AC38" s="26">
        <v>0</v>
      </c>
      <c r="AD38" s="26">
        <v>0</v>
      </c>
      <c r="AE38" s="23">
        <f t="shared" si="57"/>
        <v>1331830.9100000001</v>
      </c>
      <c r="AF38" s="34"/>
      <c r="AG38" s="26">
        <f t="shared" si="5"/>
        <v>1331830.9100000001</v>
      </c>
      <c r="AH38" s="27" t="s">
        <v>585</v>
      </c>
      <c r="AI38" s="34"/>
      <c r="AJ38" s="38">
        <v>0</v>
      </c>
      <c r="AK38" s="1">
        <v>0</v>
      </c>
    </row>
    <row r="39" spans="1:37" ht="409.5" x14ac:dyDescent="0.25">
      <c r="A39" s="14">
        <v>35</v>
      </c>
      <c r="B39" s="13">
        <v>111300</v>
      </c>
      <c r="C39" s="8">
        <v>123</v>
      </c>
      <c r="D39" s="14" t="s">
        <v>172</v>
      </c>
      <c r="E39" s="15" t="s">
        <v>968</v>
      </c>
      <c r="F39" s="16" t="s">
        <v>331</v>
      </c>
      <c r="G39" s="17" t="s">
        <v>267</v>
      </c>
      <c r="H39" s="17" t="s">
        <v>268</v>
      </c>
      <c r="I39" s="18" t="s">
        <v>185</v>
      </c>
      <c r="J39" s="73" t="s">
        <v>269</v>
      </c>
      <c r="K39" s="20">
        <v>43145</v>
      </c>
      <c r="L39" s="32">
        <v>43630</v>
      </c>
      <c r="M39" s="21">
        <f t="shared" ref="M39:M42" si="58">S39/AE39*100</f>
        <v>84.999999881712782</v>
      </c>
      <c r="N39" s="14">
        <v>7</v>
      </c>
      <c r="O39" s="14" t="s">
        <v>270</v>
      </c>
      <c r="P39" s="14" t="s">
        <v>271</v>
      </c>
      <c r="Q39" s="22" t="s">
        <v>212</v>
      </c>
      <c r="R39" s="18" t="s">
        <v>36</v>
      </c>
      <c r="S39" s="25">
        <f>T39+U39</f>
        <v>359294.94</v>
      </c>
      <c r="T39" s="24">
        <v>359294.94</v>
      </c>
      <c r="U39" s="25">
        <v>0</v>
      </c>
      <c r="V39" s="25">
        <f t="shared" ref="V39:V103" si="59">W39+X39</f>
        <v>54950.99</v>
      </c>
      <c r="W39" s="24">
        <v>54950.99</v>
      </c>
      <c r="X39" s="25">
        <v>0</v>
      </c>
      <c r="Y39" s="25">
        <v>8454</v>
      </c>
      <c r="Z39" s="23">
        <v>8454</v>
      </c>
      <c r="AA39" s="23">
        <v>0</v>
      </c>
      <c r="AB39" s="23">
        <f t="shared" ref="AB39:AB102" si="60">AC39+AD39</f>
        <v>0</v>
      </c>
      <c r="AC39" s="74">
        <v>0</v>
      </c>
      <c r="AD39" s="74">
        <v>0</v>
      </c>
      <c r="AE39" s="23">
        <v>422699.93</v>
      </c>
      <c r="AF39" s="23">
        <v>0</v>
      </c>
      <c r="AG39" s="26">
        <f t="shared" si="5"/>
        <v>422699.93</v>
      </c>
      <c r="AH39" s="27" t="s">
        <v>585</v>
      </c>
      <c r="AI39" s="28" t="s">
        <v>185</v>
      </c>
      <c r="AJ39" s="1">
        <f>93322.21+32434.3+9922.9+28858.69</f>
        <v>164538.1</v>
      </c>
      <c r="AK39" s="29">
        <f>14272.81+4960.54+1517.62+4413.68</f>
        <v>25164.649999999998</v>
      </c>
    </row>
    <row r="40" spans="1:37" ht="166.5" customHeight="1" x14ac:dyDescent="0.25">
      <c r="A40" s="12">
        <v>36</v>
      </c>
      <c r="B40" s="13">
        <v>110505</v>
      </c>
      <c r="C40" s="8">
        <v>125</v>
      </c>
      <c r="D40" s="14" t="s">
        <v>843</v>
      </c>
      <c r="E40" s="15" t="s">
        <v>968</v>
      </c>
      <c r="F40" s="16" t="s">
        <v>331</v>
      </c>
      <c r="G40" s="17" t="s">
        <v>313</v>
      </c>
      <c r="H40" s="17" t="s">
        <v>314</v>
      </c>
      <c r="I40" s="14" t="s">
        <v>185</v>
      </c>
      <c r="J40" s="19" t="s">
        <v>317</v>
      </c>
      <c r="K40" s="20">
        <v>43173</v>
      </c>
      <c r="L40" s="32">
        <v>43660</v>
      </c>
      <c r="M40" s="21">
        <f t="shared" si="58"/>
        <v>84.99999981945335</v>
      </c>
      <c r="N40" s="14">
        <v>7</v>
      </c>
      <c r="O40" s="14" t="s">
        <v>270</v>
      </c>
      <c r="P40" s="14" t="s">
        <v>315</v>
      </c>
      <c r="Q40" s="22" t="s">
        <v>212</v>
      </c>
      <c r="R40" s="14" t="s">
        <v>36</v>
      </c>
      <c r="S40" s="25">
        <f>T40+U40</f>
        <v>470792.44</v>
      </c>
      <c r="T40" s="23">
        <v>470792.44</v>
      </c>
      <c r="U40" s="23">
        <v>0</v>
      </c>
      <c r="V40" s="25">
        <f t="shared" si="59"/>
        <v>72003.55</v>
      </c>
      <c r="W40" s="23">
        <v>72003.55</v>
      </c>
      <c r="X40" s="23">
        <v>0</v>
      </c>
      <c r="Y40" s="25">
        <f>Z40+AA40</f>
        <v>11077.47</v>
      </c>
      <c r="Z40" s="23">
        <v>11077.47</v>
      </c>
      <c r="AA40" s="23">
        <v>0</v>
      </c>
      <c r="AB40" s="23">
        <f t="shared" si="60"/>
        <v>0</v>
      </c>
      <c r="AC40" s="74">
        <v>0</v>
      </c>
      <c r="AD40" s="74">
        <v>0</v>
      </c>
      <c r="AE40" s="23">
        <f>S40+V40+Y40+AB40</f>
        <v>553873.46</v>
      </c>
      <c r="AF40" s="23">
        <v>0</v>
      </c>
      <c r="AG40" s="26">
        <f t="shared" si="5"/>
        <v>553873.46</v>
      </c>
      <c r="AH40" s="27" t="s">
        <v>585</v>
      </c>
      <c r="AI40" s="28" t="s">
        <v>185</v>
      </c>
      <c r="AJ40" s="1">
        <f>176594.42+66632.22</f>
        <v>243226.64</v>
      </c>
      <c r="AK40" s="29">
        <f>27008.56+10190.81</f>
        <v>37199.370000000003</v>
      </c>
    </row>
    <row r="41" spans="1:37" ht="318.75" customHeight="1" x14ac:dyDescent="0.25">
      <c r="A41" s="12">
        <v>37</v>
      </c>
      <c r="B41" s="13">
        <v>119450</v>
      </c>
      <c r="C41" s="8">
        <v>485</v>
      </c>
      <c r="D41" s="14" t="s">
        <v>843</v>
      </c>
      <c r="E41" s="18" t="s">
        <v>1041</v>
      </c>
      <c r="F41" s="16" t="s">
        <v>542</v>
      </c>
      <c r="G41" s="17" t="s">
        <v>800</v>
      </c>
      <c r="H41" s="17" t="s">
        <v>314</v>
      </c>
      <c r="I41" s="14" t="s">
        <v>185</v>
      </c>
      <c r="J41" s="19" t="s">
        <v>801</v>
      </c>
      <c r="K41" s="20">
        <v>43298</v>
      </c>
      <c r="L41" s="32">
        <v>43786</v>
      </c>
      <c r="M41" s="21">
        <f t="shared" si="58"/>
        <v>85.000002578269815</v>
      </c>
      <c r="N41" s="14">
        <v>7</v>
      </c>
      <c r="O41" s="14" t="s">
        <v>270</v>
      </c>
      <c r="P41" s="14" t="s">
        <v>315</v>
      </c>
      <c r="Q41" s="22" t="s">
        <v>212</v>
      </c>
      <c r="R41" s="14" t="s">
        <v>36</v>
      </c>
      <c r="S41" s="25">
        <f t="shared" ref="S41:S42" si="61">T41+U41</f>
        <v>329678.46000000002</v>
      </c>
      <c r="T41" s="23">
        <v>329678.46000000002</v>
      </c>
      <c r="U41" s="23">
        <v>0</v>
      </c>
      <c r="V41" s="25">
        <f t="shared" si="59"/>
        <v>50421.4</v>
      </c>
      <c r="W41" s="23">
        <v>50421.4</v>
      </c>
      <c r="X41" s="23">
        <v>0</v>
      </c>
      <c r="Y41" s="25">
        <f t="shared" ref="Y41:Y42" si="62">Z41+AA41</f>
        <v>7757.14</v>
      </c>
      <c r="Z41" s="23">
        <v>7757.14</v>
      </c>
      <c r="AA41" s="23">
        <v>0</v>
      </c>
      <c r="AB41" s="23">
        <f t="shared" si="60"/>
        <v>0</v>
      </c>
      <c r="AC41" s="74">
        <v>0</v>
      </c>
      <c r="AD41" s="74">
        <v>0</v>
      </c>
      <c r="AE41" s="23">
        <f t="shared" ref="AE41:AE42" si="63">S41+V41+Y41+AB41</f>
        <v>387857.00000000006</v>
      </c>
      <c r="AF41" s="23">
        <v>0</v>
      </c>
      <c r="AG41" s="26">
        <f t="shared" si="5"/>
        <v>387857.00000000006</v>
      </c>
      <c r="AH41" s="27" t="s">
        <v>585</v>
      </c>
      <c r="AI41" s="28" t="s">
        <v>185</v>
      </c>
      <c r="AJ41" s="1">
        <f>84630.18+30084.9</f>
        <v>114715.07999999999</v>
      </c>
      <c r="AK41" s="29">
        <f>12943.44+4601.22</f>
        <v>17544.66</v>
      </c>
    </row>
    <row r="42" spans="1:37" s="76" customFormat="1" ht="409.5" x14ac:dyDescent="0.25">
      <c r="A42" s="14">
        <v>38</v>
      </c>
      <c r="B42" s="35">
        <v>118753</v>
      </c>
      <c r="C42" s="18">
        <v>438</v>
      </c>
      <c r="D42" s="18" t="s">
        <v>843</v>
      </c>
      <c r="E42" s="15" t="s">
        <v>704</v>
      </c>
      <c r="F42" s="75" t="s">
        <v>610</v>
      </c>
      <c r="G42" s="15" t="s">
        <v>1016</v>
      </c>
      <c r="H42" s="15" t="s">
        <v>314</v>
      </c>
      <c r="I42" s="18" t="s">
        <v>185</v>
      </c>
      <c r="J42" s="15" t="s">
        <v>1018</v>
      </c>
      <c r="K42" s="32">
        <v>43348</v>
      </c>
      <c r="L42" s="32">
        <v>43651</v>
      </c>
      <c r="M42" s="45">
        <f t="shared" si="58"/>
        <v>85.000001668065067</v>
      </c>
      <c r="N42" s="14">
        <v>7</v>
      </c>
      <c r="O42" s="14" t="s">
        <v>270</v>
      </c>
      <c r="P42" s="18" t="s">
        <v>1017</v>
      </c>
      <c r="Q42" s="22" t="s">
        <v>212</v>
      </c>
      <c r="R42" s="14" t="s">
        <v>36</v>
      </c>
      <c r="S42" s="25">
        <f t="shared" si="61"/>
        <v>254786.23</v>
      </c>
      <c r="T42" s="1">
        <v>254786.23</v>
      </c>
      <c r="U42" s="23">
        <v>0</v>
      </c>
      <c r="V42" s="25">
        <f t="shared" si="59"/>
        <v>38967.300000000003</v>
      </c>
      <c r="W42" s="1">
        <v>38967.300000000003</v>
      </c>
      <c r="X42" s="23">
        <v>0</v>
      </c>
      <c r="Y42" s="25">
        <f t="shared" si="62"/>
        <v>5994.97</v>
      </c>
      <c r="Z42" s="1">
        <v>5994.97</v>
      </c>
      <c r="AA42" s="1">
        <v>0</v>
      </c>
      <c r="AB42" s="26">
        <f t="shared" si="60"/>
        <v>0</v>
      </c>
      <c r="AC42" s="46">
        <v>0</v>
      </c>
      <c r="AD42" s="46">
        <v>0</v>
      </c>
      <c r="AE42" s="26">
        <f t="shared" si="63"/>
        <v>299748.5</v>
      </c>
      <c r="AF42" s="27">
        <v>0</v>
      </c>
      <c r="AG42" s="26">
        <f t="shared" si="5"/>
        <v>299748.5</v>
      </c>
      <c r="AH42" s="27" t="s">
        <v>585</v>
      </c>
      <c r="AI42" s="28" t="s">
        <v>185</v>
      </c>
      <c r="AJ42" s="1">
        <f>56093.22+21812.7</f>
        <v>77905.919999999998</v>
      </c>
      <c r="AK42" s="29">
        <f>8578.96+3336.06</f>
        <v>11915.019999999999</v>
      </c>
    </row>
    <row r="43" spans="1:37" s="76" customFormat="1" ht="189" x14ac:dyDescent="0.25">
      <c r="A43" s="12">
        <v>39</v>
      </c>
      <c r="B43" s="35">
        <v>126380</v>
      </c>
      <c r="C43" s="18">
        <v>567</v>
      </c>
      <c r="D43" s="18" t="s">
        <v>177</v>
      </c>
      <c r="E43" s="15" t="s">
        <v>968</v>
      </c>
      <c r="F43" s="41" t="s">
        <v>1135</v>
      </c>
      <c r="G43" s="77" t="s">
        <v>1164</v>
      </c>
      <c r="H43" s="17" t="s">
        <v>1166</v>
      </c>
      <c r="I43" s="18" t="s">
        <v>185</v>
      </c>
      <c r="J43" s="15" t="s">
        <v>1165</v>
      </c>
      <c r="K43" s="32">
        <v>43440</v>
      </c>
      <c r="L43" s="32">
        <v>43896</v>
      </c>
      <c r="M43" s="45">
        <f>S43/AE43*100</f>
        <v>85.00000001812522</v>
      </c>
      <c r="N43" s="14">
        <v>8</v>
      </c>
      <c r="O43" s="14" t="s">
        <v>270</v>
      </c>
      <c r="P43" s="18" t="s">
        <v>315</v>
      </c>
      <c r="Q43" s="22" t="s">
        <v>212</v>
      </c>
      <c r="R43" s="14" t="s">
        <v>36</v>
      </c>
      <c r="S43" s="25">
        <f>T43+U43</f>
        <v>2344798.5</v>
      </c>
      <c r="T43" s="1">
        <v>2344798.5</v>
      </c>
      <c r="U43" s="23">
        <v>0</v>
      </c>
      <c r="V43" s="25">
        <f>W43+X43</f>
        <v>358616.24</v>
      </c>
      <c r="W43" s="1">
        <v>358616.24</v>
      </c>
      <c r="X43" s="23">
        <v>0</v>
      </c>
      <c r="Y43" s="25">
        <f>Z43+AA43</f>
        <v>55171.73</v>
      </c>
      <c r="Z43" s="1">
        <v>55171.73</v>
      </c>
      <c r="AA43" s="1">
        <v>0</v>
      </c>
      <c r="AB43" s="26">
        <f>AC43+AD43</f>
        <v>0</v>
      </c>
      <c r="AC43" s="46">
        <v>0</v>
      </c>
      <c r="AD43" s="46">
        <v>0</v>
      </c>
      <c r="AE43" s="26">
        <f>S43+V43+Y43</f>
        <v>2758586.47</v>
      </c>
      <c r="AF43" s="27">
        <v>78540</v>
      </c>
      <c r="AG43" s="26">
        <f t="shared" si="5"/>
        <v>2837126.47</v>
      </c>
      <c r="AH43" s="27" t="s">
        <v>585</v>
      </c>
      <c r="AI43" s="28"/>
      <c r="AJ43" s="1">
        <v>0</v>
      </c>
      <c r="AK43" s="29">
        <v>0</v>
      </c>
    </row>
    <row r="44" spans="1:37" s="76" customFormat="1" ht="299.25" x14ac:dyDescent="0.25">
      <c r="A44" s="12">
        <v>40</v>
      </c>
      <c r="B44" s="35">
        <v>126524</v>
      </c>
      <c r="C44" s="18">
        <v>552</v>
      </c>
      <c r="D44" s="18" t="s">
        <v>177</v>
      </c>
      <c r="E44" s="15" t="s">
        <v>968</v>
      </c>
      <c r="F44" s="41" t="s">
        <v>1135</v>
      </c>
      <c r="G44" s="15" t="s">
        <v>1232</v>
      </c>
      <c r="H44" s="15" t="s">
        <v>1233</v>
      </c>
      <c r="I44" s="18" t="s">
        <v>185</v>
      </c>
      <c r="J44" s="15" t="s">
        <v>1234</v>
      </c>
      <c r="K44" s="32">
        <v>43480</v>
      </c>
      <c r="L44" s="32">
        <v>44027</v>
      </c>
      <c r="M44" s="45">
        <f t="shared" ref="M44:M45" si="64">S44/AE44*100</f>
        <v>84.99999981002415</v>
      </c>
      <c r="N44" s="14">
        <v>8</v>
      </c>
      <c r="O44" s="14" t="s">
        <v>270</v>
      </c>
      <c r="P44" s="18" t="s">
        <v>315</v>
      </c>
      <c r="Q44" s="22" t="s">
        <v>212</v>
      </c>
      <c r="R44" s="14" t="s">
        <v>36</v>
      </c>
      <c r="S44" s="25">
        <f t="shared" ref="S44:S45" si="65">T44+U44</f>
        <v>2460839.27</v>
      </c>
      <c r="T44" s="1">
        <v>2460839.27</v>
      </c>
      <c r="U44" s="23">
        <v>0</v>
      </c>
      <c r="V44" s="25">
        <f t="shared" ref="V44:V45" si="66">W44+X44</f>
        <v>376363.66</v>
      </c>
      <c r="W44" s="1">
        <v>376363.66</v>
      </c>
      <c r="X44" s="23"/>
      <c r="Y44" s="25">
        <f t="shared" ref="Y44:Y45" si="67">Z44+AA44</f>
        <v>57902.1</v>
      </c>
      <c r="Z44" s="1">
        <v>57902.1</v>
      </c>
      <c r="AA44" s="1">
        <v>0</v>
      </c>
      <c r="AB44" s="26">
        <f t="shared" ref="AB44:AB45" si="68">AC44+AD44</f>
        <v>0</v>
      </c>
      <c r="AC44" s="46">
        <v>0</v>
      </c>
      <c r="AD44" s="46">
        <v>0</v>
      </c>
      <c r="AE44" s="26">
        <f t="shared" ref="AE44:AE45" si="69">S44+V44+Y44</f>
        <v>2895105.0300000003</v>
      </c>
      <c r="AF44" s="27"/>
      <c r="AG44" s="26">
        <f t="shared" si="5"/>
        <v>2895105.0300000003</v>
      </c>
      <c r="AH44" s="27"/>
      <c r="AI44" s="28"/>
      <c r="AJ44" s="1">
        <v>0</v>
      </c>
      <c r="AK44" s="29">
        <v>0</v>
      </c>
    </row>
    <row r="45" spans="1:37" s="76" customFormat="1" ht="242.25" customHeight="1" x14ac:dyDescent="0.25">
      <c r="A45" s="14">
        <v>41</v>
      </c>
      <c r="B45" s="35">
        <v>126332</v>
      </c>
      <c r="C45" s="18">
        <v>565</v>
      </c>
      <c r="D45" s="18" t="s">
        <v>175</v>
      </c>
      <c r="E45" s="15" t="s">
        <v>968</v>
      </c>
      <c r="F45" s="41" t="s">
        <v>1135</v>
      </c>
      <c r="G45" s="15" t="s">
        <v>1399</v>
      </c>
      <c r="H45" s="15" t="s">
        <v>1400</v>
      </c>
      <c r="I45" s="18" t="s">
        <v>185</v>
      </c>
      <c r="J45" s="39" t="s">
        <v>1401</v>
      </c>
      <c r="K45" s="32">
        <v>43601</v>
      </c>
      <c r="L45" s="32">
        <v>44516</v>
      </c>
      <c r="M45" s="45">
        <f t="shared" si="64"/>
        <v>85.000000553635857</v>
      </c>
      <c r="N45" s="14">
        <v>8</v>
      </c>
      <c r="O45" s="14" t="s">
        <v>270</v>
      </c>
      <c r="P45" s="18" t="s">
        <v>315</v>
      </c>
      <c r="Q45" s="22" t="s">
        <v>212</v>
      </c>
      <c r="R45" s="14" t="s">
        <v>36</v>
      </c>
      <c r="S45" s="25">
        <f t="shared" si="65"/>
        <v>1919131.5</v>
      </c>
      <c r="T45" s="1">
        <v>1919131.5</v>
      </c>
      <c r="U45" s="23">
        <v>0</v>
      </c>
      <c r="V45" s="25">
        <f t="shared" si="66"/>
        <v>293514.21000000002</v>
      </c>
      <c r="W45" s="1">
        <v>293514.21000000002</v>
      </c>
      <c r="X45" s="23">
        <v>0</v>
      </c>
      <c r="Y45" s="25">
        <f t="shared" si="67"/>
        <v>45156.04</v>
      </c>
      <c r="Z45" s="1">
        <v>45156.04</v>
      </c>
      <c r="AA45" s="1">
        <v>0</v>
      </c>
      <c r="AB45" s="26">
        <f t="shared" si="68"/>
        <v>0</v>
      </c>
      <c r="AC45" s="46">
        <v>0</v>
      </c>
      <c r="AD45" s="46">
        <v>0</v>
      </c>
      <c r="AE45" s="26">
        <f t="shared" si="69"/>
        <v>2257801.75</v>
      </c>
      <c r="AF45" s="27"/>
      <c r="AG45" s="26">
        <f t="shared" si="5"/>
        <v>2257801.75</v>
      </c>
      <c r="AH45" s="27" t="s">
        <v>585</v>
      </c>
      <c r="AI45" s="28"/>
      <c r="AJ45" s="1"/>
      <c r="AK45" s="29"/>
    </row>
    <row r="46" spans="1:37" ht="346.5" x14ac:dyDescent="0.25">
      <c r="A46" s="12">
        <v>42</v>
      </c>
      <c r="B46" s="13">
        <v>120503</v>
      </c>
      <c r="C46" s="8">
        <v>80</v>
      </c>
      <c r="D46" s="14" t="s">
        <v>168</v>
      </c>
      <c r="E46" s="15" t="s">
        <v>968</v>
      </c>
      <c r="F46" s="16" t="s">
        <v>330</v>
      </c>
      <c r="G46" s="78" t="s">
        <v>311</v>
      </c>
      <c r="H46" s="17" t="s">
        <v>310</v>
      </c>
      <c r="I46" s="18" t="s">
        <v>185</v>
      </c>
      <c r="J46" s="19" t="s">
        <v>316</v>
      </c>
      <c r="K46" s="20">
        <v>43173</v>
      </c>
      <c r="L46" s="32">
        <v>43599</v>
      </c>
      <c r="M46" s="21">
        <f t="shared" ref="M46" si="70">S46/AE46*100</f>
        <v>79.999997969650394</v>
      </c>
      <c r="N46" s="14">
        <v>8</v>
      </c>
      <c r="O46" s="14" t="s">
        <v>312</v>
      </c>
      <c r="P46" s="14" t="s">
        <v>156</v>
      </c>
      <c r="Q46" s="22" t="s">
        <v>212</v>
      </c>
      <c r="R46" s="14" t="s">
        <v>36</v>
      </c>
      <c r="S46" s="25">
        <f t="shared" ref="S46:S49" si="71">T46+U46</f>
        <v>315216.64000000001</v>
      </c>
      <c r="T46" s="23">
        <v>0</v>
      </c>
      <c r="U46" s="23">
        <v>315216.64000000001</v>
      </c>
      <c r="V46" s="25">
        <f>W46+X46</f>
        <v>70923.75</v>
      </c>
      <c r="W46" s="23">
        <v>0</v>
      </c>
      <c r="X46" s="23">
        <v>70923.75</v>
      </c>
      <c r="Y46" s="25">
        <f t="shared" ref="Y46:Y49" si="72">Z46+AA46</f>
        <v>7880.42</v>
      </c>
      <c r="Z46" s="23">
        <v>0</v>
      </c>
      <c r="AA46" s="23">
        <v>7880.42</v>
      </c>
      <c r="AB46" s="23">
        <f t="shared" si="60"/>
        <v>0</v>
      </c>
      <c r="AC46" s="74">
        <v>0</v>
      </c>
      <c r="AD46" s="74">
        <v>0</v>
      </c>
      <c r="AE46" s="23">
        <f>S46+V46+Y46+AB46</f>
        <v>394020.81</v>
      </c>
      <c r="AF46" s="23">
        <v>0</v>
      </c>
      <c r="AG46" s="26">
        <f t="shared" si="5"/>
        <v>394020.81</v>
      </c>
      <c r="AH46" s="27" t="s">
        <v>1073</v>
      </c>
      <c r="AI46" s="28" t="s">
        <v>185</v>
      </c>
      <c r="AJ46" s="29">
        <f>156760.98+76482.15</f>
        <v>233243.13</v>
      </c>
      <c r="AK46" s="29">
        <f>35271.23+17208.49</f>
        <v>52479.72</v>
      </c>
    </row>
    <row r="47" spans="1:37" ht="390" x14ac:dyDescent="0.25">
      <c r="A47" s="12">
        <v>43</v>
      </c>
      <c r="B47" s="7">
        <v>120710</v>
      </c>
      <c r="C47" s="8">
        <v>103</v>
      </c>
      <c r="D47" s="9" t="s">
        <v>168</v>
      </c>
      <c r="E47" s="15" t="s">
        <v>968</v>
      </c>
      <c r="F47" s="79" t="s">
        <v>330</v>
      </c>
      <c r="G47" s="69" t="s">
        <v>450</v>
      </c>
      <c r="H47" s="17" t="s">
        <v>451</v>
      </c>
      <c r="I47" s="9" t="s">
        <v>185</v>
      </c>
      <c r="J47" s="80" t="s">
        <v>452</v>
      </c>
      <c r="K47" s="20">
        <v>43227</v>
      </c>
      <c r="L47" s="32">
        <v>43715</v>
      </c>
      <c r="M47" s="21">
        <f>S47/AE47*100</f>
        <v>79.999999056893557</v>
      </c>
      <c r="N47" s="14">
        <v>8</v>
      </c>
      <c r="O47" s="14" t="s">
        <v>312</v>
      </c>
      <c r="P47" s="14" t="s">
        <v>156</v>
      </c>
      <c r="Q47" s="14" t="s">
        <v>212</v>
      </c>
      <c r="R47" s="14" t="s">
        <v>36</v>
      </c>
      <c r="S47" s="25">
        <f t="shared" si="71"/>
        <v>339304.22</v>
      </c>
      <c r="T47" s="81">
        <v>0</v>
      </c>
      <c r="U47" s="82">
        <v>339304.22</v>
      </c>
      <c r="V47" s="83">
        <f t="shared" si="59"/>
        <v>76343.45</v>
      </c>
      <c r="W47" s="81">
        <v>0</v>
      </c>
      <c r="X47" s="82">
        <v>76343.45</v>
      </c>
      <c r="Y47" s="83">
        <f t="shared" si="72"/>
        <v>8482.61</v>
      </c>
      <c r="Z47" s="84">
        <v>0</v>
      </c>
      <c r="AA47" s="23">
        <v>8482.61</v>
      </c>
      <c r="AB47" s="23">
        <f t="shared" si="60"/>
        <v>0</v>
      </c>
      <c r="AC47" s="29">
        <v>0</v>
      </c>
      <c r="AD47" s="29">
        <v>0</v>
      </c>
      <c r="AE47" s="23">
        <f t="shared" ref="AE47:AE49" si="73">S47+V47+Y47+AB47</f>
        <v>424130.27999999997</v>
      </c>
      <c r="AF47" s="34">
        <v>0</v>
      </c>
      <c r="AG47" s="26">
        <f t="shared" si="5"/>
        <v>424130.27999999997</v>
      </c>
      <c r="AH47" s="27" t="s">
        <v>585</v>
      </c>
      <c r="AI47" s="85" t="s">
        <v>185</v>
      </c>
      <c r="AJ47" s="29">
        <v>52550.400000000001</v>
      </c>
      <c r="AK47" s="29">
        <v>11823.84</v>
      </c>
    </row>
    <row r="48" spans="1:37" ht="270" x14ac:dyDescent="0.25">
      <c r="A48" s="14">
        <v>44</v>
      </c>
      <c r="B48" s="7">
        <v>117665</v>
      </c>
      <c r="C48" s="8">
        <v>413</v>
      </c>
      <c r="D48" s="9" t="s">
        <v>684</v>
      </c>
      <c r="E48" s="15" t="s">
        <v>704</v>
      </c>
      <c r="F48" s="15" t="s">
        <v>611</v>
      </c>
      <c r="G48" s="69" t="s">
        <v>755</v>
      </c>
      <c r="H48" s="17" t="s">
        <v>310</v>
      </c>
      <c r="I48" s="9" t="s">
        <v>185</v>
      </c>
      <c r="J48" s="80" t="s">
        <v>756</v>
      </c>
      <c r="K48" s="20">
        <v>43290</v>
      </c>
      <c r="L48" s="32">
        <v>43625</v>
      </c>
      <c r="M48" s="21">
        <f>S48/AE48*100</f>
        <v>80</v>
      </c>
      <c r="N48" s="14">
        <v>8</v>
      </c>
      <c r="O48" s="14" t="s">
        <v>312</v>
      </c>
      <c r="P48" s="14" t="s">
        <v>312</v>
      </c>
      <c r="Q48" s="14" t="s">
        <v>212</v>
      </c>
      <c r="R48" s="14" t="s">
        <v>36</v>
      </c>
      <c r="S48" s="25">
        <f t="shared" si="71"/>
        <v>224534.64</v>
      </c>
      <c r="T48" s="81">
        <v>0</v>
      </c>
      <c r="U48" s="23">
        <v>224534.64</v>
      </c>
      <c r="V48" s="83">
        <f t="shared" si="59"/>
        <v>50520.29</v>
      </c>
      <c r="W48" s="81">
        <v>0</v>
      </c>
      <c r="X48" s="23">
        <v>50520.29</v>
      </c>
      <c r="Y48" s="83">
        <f t="shared" si="72"/>
        <v>5613.37</v>
      </c>
      <c r="Z48" s="84">
        <v>0</v>
      </c>
      <c r="AA48" s="23">
        <v>5613.37</v>
      </c>
      <c r="AB48" s="23">
        <f t="shared" si="60"/>
        <v>0</v>
      </c>
      <c r="AC48" s="29">
        <v>0</v>
      </c>
      <c r="AD48" s="29">
        <v>0</v>
      </c>
      <c r="AE48" s="23">
        <f t="shared" si="73"/>
        <v>280668.3</v>
      </c>
      <c r="AF48" s="34">
        <v>0</v>
      </c>
      <c r="AG48" s="26">
        <f t="shared" si="5"/>
        <v>280668.3</v>
      </c>
      <c r="AH48" s="27" t="s">
        <v>585</v>
      </c>
      <c r="AI48" s="86" t="s">
        <v>1374</v>
      </c>
      <c r="AJ48" s="54">
        <v>12137.6</v>
      </c>
      <c r="AK48" s="29">
        <v>2730.96</v>
      </c>
    </row>
    <row r="49" spans="1:37" ht="60" customHeight="1" x14ac:dyDescent="0.25">
      <c r="A49" s="12">
        <v>45</v>
      </c>
      <c r="B49" s="7">
        <v>117676</v>
      </c>
      <c r="C49" s="8">
        <v>414</v>
      </c>
      <c r="D49" s="9" t="s">
        <v>684</v>
      </c>
      <c r="E49" s="15" t="s">
        <v>704</v>
      </c>
      <c r="F49" s="16" t="s">
        <v>611</v>
      </c>
      <c r="G49" s="69" t="s">
        <v>1019</v>
      </c>
      <c r="H49" s="17" t="s">
        <v>1020</v>
      </c>
      <c r="I49" s="9" t="s">
        <v>185</v>
      </c>
      <c r="J49" s="80" t="s">
        <v>1021</v>
      </c>
      <c r="K49" s="20">
        <v>43348</v>
      </c>
      <c r="L49" s="32">
        <v>43713</v>
      </c>
      <c r="M49" s="21">
        <f t="shared" ref="M49:M50" si="74">S49/AE49*100</f>
        <v>80.000002000969275</v>
      </c>
      <c r="N49" s="14">
        <v>8</v>
      </c>
      <c r="O49" s="14" t="s">
        <v>312</v>
      </c>
      <c r="P49" s="14" t="s">
        <v>156</v>
      </c>
      <c r="Q49" s="14" t="s">
        <v>212</v>
      </c>
      <c r="R49" s="14" t="s">
        <v>36</v>
      </c>
      <c r="S49" s="25">
        <f t="shared" si="71"/>
        <v>239883.75</v>
      </c>
      <c r="T49" s="84">
        <v>0</v>
      </c>
      <c r="U49" s="23">
        <v>239883.75</v>
      </c>
      <c r="V49" s="83">
        <f t="shared" si="59"/>
        <v>53973.85</v>
      </c>
      <c r="W49" s="84">
        <v>0</v>
      </c>
      <c r="X49" s="23">
        <v>53973.85</v>
      </c>
      <c r="Y49" s="83">
        <f t="shared" si="72"/>
        <v>5997.08</v>
      </c>
      <c r="Z49" s="84">
        <v>0</v>
      </c>
      <c r="AA49" s="23">
        <v>5997.08</v>
      </c>
      <c r="AB49" s="23">
        <f t="shared" si="60"/>
        <v>0</v>
      </c>
      <c r="AC49" s="33">
        <v>0</v>
      </c>
      <c r="AD49" s="33">
        <v>0</v>
      </c>
      <c r="AE49" s="23">
        <f t="shared" si="73"/>
        <v>299854.68</v>
      </c>
      <c r="AF49" s="34">
        <v>0</v>
      </c>
      <c r="AG49" s="26">
        <f t="shared" si="5"/>
        <v>299854.68</v>
      </c>
      <c r="AH49" s="27" t="s">
        <v>585</v>
      </c>
      <c r="AI49" s="34"/>
      <c r="AJ49" s="54">
        <f>39088.01+17899.2</f>
        <v>56987.210000000006</v>
      </c>
      <c r="AK49" s="54">
        <f>8794.8+4027.32</f>
        <v>12822.119999999999</v>
      </c>
    </row>
    <row r="50" spans="1:37" ht="120" customHeight="1" x14ac:dyDescent="0.25">
      <c r="A50" s="12">
        <v>46</v>
      </c>
      <c r="B50" s="7">
        <v>126477</v>
      </c>
      <c r="C50" s="8">
        <v>507</v>
      </c>
      <c r="D50" s="9" t="s">
        <v>843</v>
      </c>
      <c r="E50" s="15" t="s">
        <v>968</v>
      </c>
      <c r="F50" s="16" t="s">
        <v>1142</v>
      </c>
      <c r="G50" s="69" t="s">
        <v>1143</v>
      </c>
      <c r="H50" s="17" t="s">
        <v>1144</v>
      </c>
      <c r="I50" s="9" t="s">
        <v>422</v>
      </c>
      <c r="J50" s="80" t="s">
        <v>1145</v>
      </c>
      <c r="K50" s="20">
        <v>43433</v>
      </c>
      <c r="L50" s="32">
        <v>43980</v>
      </c>
      <c r="M50" s="21">
        <f t="shared" si="74"/>
        <v>79.999999536713688</v>
      </c>
      <c r="N50" s="14">
        <v>8</v>
      </c>
      <c r="O50" s="14" t="s">
        <v>312</v>
      </c>
      <c r="P50" s="14" t="s">
        <v>312</v>
      </c>
      <c r="Q50" s="14" t="s">
        <v>212</v>
      </c>
      <c r="R50" s="14" t="s">
        <v>36</v>
      </c>
      <c r="S50" s="25">
        <f>T50+U50</f>
        <v>3108229.07</v>
      </c>
      <c r="T50" s="84">
        <v>0</v>
      </c>
      <c r="U50" s="23">
        <v>3108229.07</v>
      </c>
      <c r="V50" s="83">
        <f>W50+X50</f>
        <v>699351.56</v>
      </c>
      <c r="W50" s="84">
        <v>0</v>
      </c>
      <c r="X50" s="23">
        <v>699351.56</v>
      </c>
      <c r="Y50" s="83">
        <f>Z50+AA50</f>
        <v>77705.73</v>
      </c>
      <c r="Z50" s="84">
        <v>0</v>
      </c>
      <c r="AA50" s="23">
        <v>77705.73</v>
      </c>
      <c r="AB50" s="23">
        <f>AC50+AD50</f>
        <v>0</v>
      </c>
      <c r="AC50" s="33"/>
      <c r="AD50" s="33"/>
      <c r="AE50" s="23">
        <f>S50+V50+Y50+AB50</f>
        <v>3885286.36</v>
      </c>
      <c r="AF50" s="34"/>
      <c r="AG50" s="26">
        <f t="shared" si="5"/>
        <v>3885286.36</v>
      </c>
      <c r="AH50" s="27" t="s">
        <v>585</v>
      </c>
      <c r="AI50" s="34" t="s">
        <v>185</v>
      </c>
      <c r="AJ50" s="54">
        <v>31416</v>
      </c>
      <c r="AK50" s="54">
        <v>7068.6</v>
      </c>
    </row>
    <row r="51" spans="1:37" ht="141.75" x14ac:dyDescent="0.25">
      <c r="A51" s="14">
        <v>47</v>
      </c>
      <c r="B51" s="7">
        <v>126372</v>
      </c>
      <c r="C51" s="8">
        <v>510</v>
      </c>
      <c r="D51" s="9" t="s">
        <v>843</v>
      </c>
      <c r="E51" s="15" t="s">
        <v>968</v>
      </c>
      <c r="F51" s="16" t="s">
        <v>1142</v>
      </c>
      <c r="G51" s="69" t="s">
        <v>1173</v>
      </c>
      <c r="H51" s="17" t="s">
        <v>1174</v>
      </c>
      <c r="I51" s="9" t="s">
        <v>422</v>
      </c>
      <c r="J51" s="80" t="s">
        <v>1175</v>
      </c>
      <c r="K51" s="20">
        <v>43445</v>
      </c>
      <c r="L51" s="32">
        <v>44358</v>
      </c>
      <c r="M51" s="21">
        <f>S51/AE51*100</f>
        <v>80</v>
      </c>
      <c r="N51" s="14">
        <v>8</v>
      </c>
      <c r="O51" s="14" t="s">
        <v>312</v>
      </c>
      <c r="P51" s="14" t="s">
        <v>312</v>
      </c>
      <c r="Q51" s="14" t="s">
        <v>212</v>
      </c>
      <c r="R51" s="14" t="s">
        <v>36</v>
      </c>
      <c r="S51" s="25">
        <f t="shared" ref="S51:S55" si="75">T51+U51</f>
        <v>2932376.8</v>
      </c>
      <c r="T51" s="84">
        <v>0</v>
      </c>
      <c r="U51" s="23">
        <v>2932376.8</v>
      </c>
      <c r="V51" s="83">
        <f>W51+X51</f>
        <v>659784.78</v>
      </c>
      <c r="W51" s="84">
        <v>0</v>
      </c>
      <c r="X51" s="23">
        <v>659784.78</v>
      </c>
      <c r="Y51" s="83">
        <f>Z51+AA51</f>
        <v>73309.42</v>
      </c>
      <c r="Z51" s="84">
        <v>0</v>
      </c>
      <c r="AA51" s="23">
        <v>73309.42</v>
      </c>
      <c r="AB51" s="23">
        <f>AC51+AD51</f>
        <v>0</v>
      </c>
      <c r="AC51" s="29">
        <v>0</v>
      </c>
      <c r="AD51" s="29">
        <v>0</v>
      </c>
      <c r="AE51" s="23">
        <f>S51+V51+Y51+AB51</f>
        <v>3665471</v>
      </c>
      <c r="AF51" s="37">
        <v>127687</v>
      </c>
      <c r="AG51" s="26">
        <f t="shared" si="5"/>
        <v>3793158</v>
      </c>
      <c r="AH51" s="27" t="s">
        <v>585</v>
      </c>
      <c r="AI51" s="34" t="s">
        <v>185</v>
      </c>
      <c r="AJ51" s="54">
        <v>34729.599999999999</v>
      </c>
      <c r="AK51" s="54">
        <v>7814.16</v>
      </c>
    </row>
    <row r="52" spans="1:37" ht="141.75" x14ac:dyDescent="0.25">
      <c r="A52" s="12">
        <v>48</v>
      </c>
      <c r="B52" s="7">
        <v>128825</v>
      </c>
      <c r="C52" s="8">
        <v>661</v>
      </c>
      <c r="D52" s="9" t="s">
        <v>646</v>
      </c>
      <c r="E52" s="15" t="s">
        <v>968</v>
      </c>
      <c r="F52" s="16" t="s">
        <v>1488</v>
      </c>
      <c r="G52" s="87" t="s">
        <v>1489</v>
      </c>
      <c r="H52" s="88" t="s">
        <v>1492</v>
      </c>
      <c r="I52" s="9" t="s">
        <v>1221</v>
      </c>
      <c r="J52" s="80" t="s">
        <v>1495</v>
      </c>
      <c r="K52" s="20">
        <v>43635</v>
      </c>
      <c r="L52" s="32">
        <v>44427</v>
      </c>
      <c r="M52" s="21">
        <f t="shared" ref="M52:M55" si="76">S52/AE52*100</f>
        <v>79.493002830992353</v>
      </c>
      <c r="N52" s="14">
        <v>8</v>
      </c>
      <c r="O52" s="14" t="s">
        <v>312</v>
      </c>
      <c r="P52" s="14" t="s">
        <v>312</v>
      </c>
      <c r="Q52" s="14" t="s">
        <v>212</v>
      </c>
      <c r="R52" s="14" t="s">
        <v>36</v>
      </c>
      <c r="S52" s="25">
        <f t="shared" si="75"/>
        <v>3436600.48</v>
      </c>
      <c r="T52" s="84">
        <v>0</v>
      </c>
      <c r="U52" s="23">
        <v>3436600.48</v>
      </c>
      <c r="V52" s="83">
        <f t="shared" ref="V52:V55" si="77">W52+X52</f>
        <v>800084.95</v>
      </c>
      <c r="W52" s="84">
        <v>0</v>
      </c>
      <c r="X52" s="23">
        <v>800084.95</v>
      </c>
      <c r="Y52" s="83">
        <f t="shared" ref="Y52:Y55" si="78">Z52+AA52</f>
        <v>59065.17</v>
      </c>
      <c r="Z52" s="84">
        <v>0</v>
      </c>
      <c r="AA52" s="23">
        <v>59065.17</v>
      </c>
      <c r="AB52" s="23">
        <f t="shared" ref="AB52:AB55" si="79">AC52+AD52</f>
        <v>27397.8</v>
      </c>
      <c r="AC52" s="29">
        <v>0</v>
      </c>
      <c r="AD52" s="29">
        <v>27397.8</v>
      </c>
      <c r="AE52" s="23">
        <f t="shared" ref="AE52:AE55" si="80">S52+V52+Y52+AB52</f>
        <v>4323148.3999999994</v>
      </c>
      <c r="AF52" s="37">
        <v>29750</v>
      </c>
      <c r="AG52" s="26">
        <f t="shared" si="5"/>
        <v>4352898.3999999994</v>
      </c>
      <c r="AH52" s="27" t="s">
        <v>585</v>
      </c>
      <c r="AI52" s="34" t="s">
        <v>185</v>
      </c>
      <c r="AJ52" s="54"/>
      <c r="AK52" s="54"/>
    </row>
    <row r="53" spans="1:37" ht="255" x14ac:dyDescent="0.25">
      <c r="A53" s="12">
        <v>49</v>
      </c>
      <c r="B53" s="7">
        <v>129668</v>
      </c>
      <c r="C53" s="8">
        <v>673</v>
      </c>
      <c r="D53" s="9" t="s">
        <v>646</v>
      </c>
      <c r="E53" s="15" t="s">
        <v>968</v>
      </c>
      <c r="F53" s="16" t="s">
        <v>1488</v>
      </c>
      <c r="G53" s="87" t="s">
        <v>1490</v>
      </c>
      <c r="H53" s="88" t="s">
        <v>1493</v>
      </c>
      <c r="I53" s="9" t="s">
        <v>185</v>
      </c>
      <c r="J53" s="80" t="s">
        <v>1496</v>
      </c>
      <c r="K53" s="20">
        <v>43635</v>
      </c>
      <c r="L53" s="32">
        <v>44549</v>
      </c>
      <c r="M53" s="21">
        <f t="shared" si="76"/>
        <v>80.000000100149578</v>
      </c>
      <c r="N53" s="14">
        <v>8</v>
      </c>
      <c r="O53" s="14" t="s">
        <v>312</v>
      </c>
      <c r="P53" s="14" t="s">
        <v>312</v>
      </c>
      <c r="Q53" s="14" t="s">
        <v>212</v>
      </c>
      <c r="R53" s="14" t="s">
        <v>36</v>
      </c>
      <c r="S53" s="25">
        <f t="shared" si="75"/>
        <v>3195221.02</v>
      </c>
      <c r="T53" s="84">
        <v>0</v>
      </c>
      <c r="U53" s="23">
        <v>3195221.02</v>
      </c>
      <c r="V53" s="83">
        <f t="shared" si="77"/>
        <v>718924.72</v>
      </c>
      <c r="W53" s="84">
        <v>0</v>
      </c>
      <c r="X53" s="23">
        <v>718924.72</v>
      </c>
      <c r="Y53" s="83">
        <f t="shared" si="78"/>
        <v>79880.53</v>
      </c>
      <c r="Z53" s="84">
        <v>0</v>
      </c>
      <c r="AA53" s="23">
        <v>79880.53</v>
      </c>
      <c r="AB53" s="23">
        <f t="shared" si="79"/>
        <v>0</v>
      </c>
      <c r="AC53" s="29">
        <v>0</v>
      </c>
      <c r="AD53" s="29"/>
      <c r="AE53" s="23">
        <f t="shared" si="80"/>
        <v>3994026.27</v>
      </c>
      <c r="AF53" s="37">
        <v>0</v>
      </c>
      <c r="AG53" s="26">
        <f t="shared" si="5"/>
        <v>3994026.27</v>
      </c>
      <c r="AH53" s="27" t="s">
        <v>585</v>
      </c>
      <c r="AI53" s="34" t="s">
        <v>185</v>
      </c>
      <c r="AJ53" s="54"/>
      <c r="AK53" s="54"/>
    </row>
    <row r="54" spans="1:37" ht="195.75" customHeight="1" x14ac:dyDescent="0.25">
      <c r="A54" s="14">
        <v>50</v>
      </c>
      <c r="B54" s="7">
        <v>128335</v>
      </c>
      <c r="C54" s="8">
        <v>634</v>
      </c>
      <c r="D54" s="9" t="s">
        <v>646</v>
      </c>
      <c r="E54" s="15" t="s">
        <v>968</v>
      </c>
      <c r="F54" s="16" t="s">
        <v>1488</v>
      </c>
      <c r="G54" s="87" t="s">
        <v>1525</v>
      </c>
      <c r="H54" s="88" t="s">
        <v>1524</v>
      </c>
      <c r="I54" s="9" t="s">
        <v>1526</v>
      </c>
      <c r="J54" s="80" t="s">
        <v>1527</v>
      </c>
      <c r="K54" s="20">
        <v>43647</v>
      </c>
      <c r="L54" s="32">
        <v>44562</v>
      </c>
      <c r="M54" s="21">
        <f t="shared" si="76"/>
        <v>79.99999994861092</v>
      </c>
      <c r="N54" s="14">
        <v>8</v>
      </c>
      <c r="O54" s="14" t="s">
        <v>312</v>
      </c>
      <c r="P54" s="14" t="s">
        <v>312</v>
      </c>
      <c r="Q54" s="14" t="s">
        <v>212</v>
      </c>
      <c r="R54" s="14" t="s">
        <v>36</v>
      </c>
      <c r="S54" s="25">
        <f t="shared" si="75"/>
        <v>3113501.31</v>
      </c>
      <c r="T54" s="84">
        <v>0</v>
      </c>
      <c r="U54" s="23">
        <v>3113501.31</v>
      </c>
      <c r="V54" s="83">
        <f t="shared" si="77"/>
        <v>700537.78</v>
      </c>
      <c r="W54" s="84">
        <v>0</v>
      </c>
      <c r="X54" s="23">
        <v>700537.78</v>
      </c>
      <c r="Y54" s="83">
        <f t="shared" si="78"/>
        <v>77837.55</v>
      </c>
      <c r="Z54" s="84">
        <v>0</v>
      </c>
      <c r="AA54" s="23">
        <v>77837.55</v>
      </c>
      <c r="AB54" s="23">
        <v>0</v>
      </c>
      <c r="AC54" s="29">
        <v>0</v>
      </c>
      <c r="AD54" s="29"/>
      <c r="AE54" s="23">
        <f t="shared" si="80"/>
        <v>3891876.6399999997</v>
      </c>
      <c r="AF54" s="37">
        <v>0</v>
      </c>
      <c r="AG54" s="26">
        <f t="shared" si="5"/>
        <v>3891876.6399999997</v>
      </c>
      <c r="AH54" s="27" t="s">
        <v>585</v>
      </c>
      <c r="AI54" s="34" t="s">
        <v>185</v>
      </c>
      <c r="AJ54" s="54"/>
      <c r="AK54" s="54"/>
    </row>
    <row r="55" spans="1:37" ht="96.75" customHeight="1" x14ac:dyDescent="0.25">
      <c r="A55" s="12">
        <v>51</v>
      </c>
      <c r="B55" s="7">
        <v>129694</v>
      </c>
      <c r="C55" s="8">
        <v>694</v>
      </c>
      <c r="D55" s="9" t="s">
        <v>646</v>
      </c>
      <c r="E55" s="15" t="s">
        <v>968</v>
      </c>
      <c r="F55" s="16" t="s">
        <v>1488</v>
      </c>
      <c r="G55" s="87" t="s">
        <v>1491</v>
      </c>
      <c r="H55" s="88" t="s">
        <v>1494</v>
      </c>
      <c r="I55" s="9" t="s">
        <v>1221</v>
      </c>
      <c r="J55" s="15" t="s">
        <v>1497</v>
      </c>
      <c r="K55" s="20">
        <v>43635</v>
      </c>
      <c r="L55" s="32">
        <v>44458</v>
      </c>
      <c r="M55" s="21">
        <f t="shared" si="76"/>
        <v>79.559234452662935</v>
      </c>
      <c r="N55" s="14">
        <v>8</v>
      </c>
      <c r="O55" s="14" t="s">
        <v>312</v>
      </c>
      <c r="P55" s="14" t="s">
        <v>312</v>
      </c>
      <c r="Q55" s="14" t="s">
        <v>212</v>
      </c>
      <c r="R55" s="14" t="s">
        <v>36</v>
      </c>
      <c r="S55" s="25">
        <f t="shared" si="75"/>
        <v>3495320.83</v>
      </c>
      <c r="T55" s="84">
        <v>0</v>
      </c>
      <c r="U55" s="23">
        <v>3495320.83</v>
      </c>
      <c r="V55" s="83">
        <f t="shared" si="77"/>
        <v>810168.58</v>
      </c>
      <c r="W55" s="84">
        <v>0</v>
      </c>
      <c r="X55" s="23">
        <v>810168.58</v>
      </c>
      <c r="Y55" s="83">
        <f t="shared" si="78"/>
        <v>63661.63</v>
      </c>
      <c r="Z55" s="84">
        <v>0</v>
      </c>
      <c r="AA55" s="23">
        <v>63661.63</v>
      </c>
      <c r="AB55" s="23">
        <f t="shared" si="79"/>
        <v>24205.5</v>
      </c>
      <c r="AC55" s="29">
        <v>0</v>
      </c>
      <c r="AD55" s="29">
        <v>24205.5</v>
      </c>
      <c r="AE55" s="23">
        <f t="shared" si="80"/>
        <v>4393356.54</v>
      </c>
      <c r="AF55" s="37">
        <v>0</v>
      </c>
      <c r="AG55" s="26">
        <f t="shared" si="5"/>
        <v>4393356.54</v>
      </c>
      <c r="AH55" s="27" t="s">
        <v>585</v>
      </c>
      <c r="AI55" s="34" t="s">
        <v>185</v>
      </c>
      <c r="AJ55" s="54"/>
      <c r="AK55" s="54"/>
    </row>
    <row r="56" spans="1:37" ht="409.5" x14ac:dyDescent="0.25">
      <c r="A56" s="12">
        <v>52</v>
      </c>
      <c r="B56" s="7">
        <v>118335</v>
      </c>
      <c r="C56" s="7">
        <v>427</v>
      </c>
      <c r="D56" s="7" t="s">
        <v>684</v>
      </c>
      <c r="E56" s="15" t="s">
        <v>704</v>
      </c>
      <c r="F56" s="16" t="s">
        <v>610</v>
      </c>
      <c r="G56" s="71" t="s">
        <v>690</v>
      </c>
      <c r="H56" s="17" t="s">
        <v>691</v>
      </c>
      <c r="I56" s="9" t="s">
        <v>185</v>
      </c>
      <c r="J56" s="80" t="s">
        <v>697</v>
      </c>
      <c r="K56" s="20">
        <v>43284</v>
      </c>
      <c r="L56" s="32">
        <v>43711</v>
      </c>
      <c r="M56" s="21">
        <f t="shared" ref="M56:M66" si="81">S56/AE56*100</f>
        <v>85.000001775483071</v>
      </c>
      <c r="N56" s="14">
        <v>2</v>
      </c>
      <c r="O56" s="14" t="s">
        <v>692</v>
      </c>
      <c r="P56" s="14" t="s">
        <v>692</v>
      </c>
      <c r="Q56" s="14" t="s">
        <v>212</v>
      </c>
      <c r="R56" s="14" t="s">
        <v>36</v>
      </c>
      <c r="S56" s="25">
        <v>239371.48</v>
      </c>
      <c r="T56" s="23">
        <v>239371.48</v>
      </c>
      <c r="U56" s="29">
        <v>0</v>
      </c>
      <c r="V56" s="25">
        <v>36609.75</v>
      </c>
      <c r="W56" s="23">
        <v>36609.75</v>
      </c>
      <c r="X56" s="33">
        <v>0</v>
      </c>
      <c r="Y56" s="25">
        <v>5632.27</v>
      </c>
      <c r="Z56" s="23">
        <v>5632.27</v>
      </c>
      <c r="AA56" s="29">
        <v>0</v>
      </c>
      <c r="AB56" s="23">
        <f t="shared" si="60"/>
        <v>0</v>
      </c>
      <c r="AC56" s="29">
        <v>0</v>
      </c>
      <c r="AD56" s="29">
        <v>0</v>
      </c>
      <c r="AE56" s="23">
        <f t="shared" ref="AE56:AE59" si="82">S56+V56+Y56+AB56</f>
        <v>281613.5</v>
      </c>
      <c r="AF56" s="34">
        <v>0</v>
      </c>
      <c r="AG56" s="26">
        <f t="shared" si="5"/>
        <v>281613.5</v>
      </c>
      <c r="AH56" s="27" t="s">
        <v>585</v>
      </c>
      <c r="AI56" s="34" t="s">
        <v>1377</v>
      </c>
      <c r="AJ56" s="54">
        <v>13721.01</v>
      </c>
      <c r="AK56" s="54">
        <v>2098.5</v>
      </c>
    </row>
    <row r="57" spans="1:37" ht="409.5" x14ac:dyDescent="0.25">
      <c r="A57" s="14">
        <v>53</v>
      </c>
      <c r="B57" s="7">
        <v>118396</v>
      </c>
      <c r="C57" s="7">
        <v>428</v>
      </c>
      <c r="D57" s="7" t="s">
        <v>1320</v>
      </c>
      <c r="E57" s="15" t="s">
        <v>704</v>
      </c>
      <c r="F57" s="16" t="s">
        <v>610</v>
      </c>
      <c r="G57" s="89" t="s">
        <v>859</v>
      </c>
      <c r="H57" s="17" t="s">
        <v>860</v>
      </c>
      <c r="I57" s="14" t="s">
        <v>807</v>
      </c>
      <c r="J57" s="90" t="s">
        <v>861</v>
      </c>
      <c r="K57" s="20">
        <v>43312</v>
      </c>
      <c r="L57" s="32">
        <v>43799</v>
      </c>
      <c r="M57" s="21">
        <f t="shared" si="81"/>
        <v>84.20987828497924</v>
      </c>
      <c r="N57" s="91">
        <v>2</v>
      </c>
      <c r="O57" s="14" t="s">
        <v>692</v>
      </c>
      <c r="P57" s="14" t="s">
        <v>692</v>
      </c>
      <c r="Q57" s="14" t="s">
        <v>212</v>
      </c>
      <c r="R57" s="14" t="s">
        <v>36</v>
      </c>
      <c r="S57" s="29">
        <f>T57</f>
        <v>326851.75</v>
      </c>
      <c r="T57" s="29">
        <v>326851.75</v>
      </c>
      <c r="U57" s="29">
        <v>0</v>
      </c>
      <c r="V57" s="25">
        <f t="shared" si="59"/>
        <v>53524.9</v>
      </c>
      <c r="W57" s="29">
        <v>53524.9</v>
      </c>
      <c r="X57" s="29">
        <v>0</v>
      </c>
      <c r="Y57" s="29">
        <f>Z57+AA57</f>
        <v>7762.79</v>
      </c>
      <c r="Z57" s="29">
        <v>7762.79</v>
      </c>
      <c r="AA57" s="29">
        <v>0</v>
      </c>
      <c r="AB57" s="23">
        <f t="shared" si="60"/>
        <v>0</v>
      </c>
      <c r="AC57" s="29">
        <v>0</v>
      </c>
      <c r="AD57" s="29">
        <v>0</v>
      </c>
      <c r="AE57" s="23">
        <f t="shared" si="82"/>
        <v>388139.44</v>
      </c>
      <c r="AF57" s="34">
        <v>0</v>
      </c>
      <c r="AG57" s="26">
        <f t="shared" si="5"/>
        <v>388139.44</v>
      </c>
      <c r="AH57" s="27" t="s">
        <v>585</v>
      </c>
      <c r="AI57" s="34"/>
      <c r="AJ57" s="54">
        <f>38178.44+14834.2+3.22+14453.49+13750.33</f>
        <v>81219.680000000008</v>
      </c>
      <c r="AK57" s="54">
        <f>3425.9+2621.59-3.22+2550.61+2426.53</f>
        <v>11021.41</v>
      </c>
    </row>
    <row r="58" spans="1:37" ht="330.75" x14ac:dyDescent="0.25">
      <c r="A58" s="12">
        <v>54</v>
      </c>
      <c r="B58" s="13">
        <v>119892</v>
      </c>
      <c r="C58" s="67">
        <v>480</v>
      </c>
      <c r="D58" s="13" t="s">
        <v>168</v>
      </c>
      <c r="E58" s="18" t="s">
        <v>1041</v>
      </c>
      <c r="F58" s="16" t="s">
        <v>542</v>
      </c>
      <c r="G58" s="92" t="s">
        <v>1098</v>
      </c>
      <c r="H58" s="30" t="s">
        <v>1099</v>
      </c>
      <c r="I58" s="18" t="s">
        <v>422</v>
      </c>
      <c r="J58" s="19" t="s">
        <v>1100</v>
      </c>
      <c r="K58" s="93">
        <v>43389</v>
      </c>
      <c r="L58" s="32">
        <v>43661</v>
      </c>
      <c r="M58" s="21">
        <f t="shared" si="81"/>
        <v>85.000001891187381</v>
      </c>
      <c r="N58" s="13">
        <v>2</v>
      </c>
      <c r="O58" s="18" t="s">
        <v>692</v>
      </c>
      <c r="P58" s="14" t="s">
        <v>1101</v>
      </c>
      <c r="Q58" s="92" t="s">
        <v>212</v>
      </c>
      <c r="R58" s="94" t="s">
        <v>546</v>
      </c>
      <c r="S58" s="95">
        <f>T58+U58</f>
        <v>337089.82</v>
      </c>
      <c r="T58" s="29">
        <v>337089.82</v>
      </c>
      <c r="U58" s="29">
        <v>0</v>
      </c>
      <c r="V58" s="25">
        <f t="shared" si="59"/>
        <v>51554.91</v>
      </c>
      <c r="W58" s="23">
        <v>51554.91</v>
      </c>
      <c r="X58" s="13">
        <v>0</v>
      </c>
      <c r="Y58" s="96">
        <f>Z58+AA58</f>
        <v>7931.52</v>
      </c>
      <c r="Z58" s="97">
        <v>7931.52</v>
      </c>
      <c r="AA58" s="29">
        <v>0</v>
      </c>
      <c r="AB58" s="94">
        <v>0</v>
      </c>
      <c r="AC58" s="18">
        <v>0</v>
      </c>
      <c r="AD58" s="29">
        <v>0</v>
      </c>
      <c r="AE58" s="23">
        <f t="shared" si="82"/>
        <v>396576.25</v>
      </c>
      <c r="AF58" s="13">
        <v>0</v>
      </c>
      <c r="AG58" s="26">
        <f t="shared" si="5"/>
        <v>396576.25</v>
      </c>
      <c r="AH58" s="13" t="s">
        <v>585</v>
      </c>
      <c r="AI58" s="34"/>
      <c r="AJ58" s="38">
        <v>0</v>
      </c>
      <c r="AK58" s="1">
        <v>0</v>
      </c>
    </row>
    <row r="59" spans="1:37" ht="252" x14ac:dyDescent="0.25">
      <c r="A59" s="12">
        <v>55</v>
      </c>
      <c r="B59" s="13">
        <v>126446</v>
      </c>
      <c r="C59" s="67">
        <v>543</v>
      </c>
      <c r="D59" s="13" t="s">
        <v>174</v>
      </c>
      <c r="E59" s="18" t="s">
        <v>968</v>
      </c>
      <c r="F59" s="16" t="s">
        <v>1135</v>
      </c>
      <c r="G59" s="15" t="s">
        <v>1138</v>
      </c>
      <c r="H59" s="30" t="s">
        <v>1099</v>
      </c>
      <c r="I59" s="18" t="s">
        <v>422</v>
      </c>
      <c r="J59" s="19" t="s">
        <v>1139</v>
      </c>
      <c r="K59" s="98">
        <v>43430</v>
      </c>
      <c r="L59" s="32">
        <v>44253</v>
      </c>
      <c r="M59" s="21">
        <f t="shared" si="81"/>
        <v>85.000000017455704</v>
      </c>
      <c r="N59" s="13">
        <v>2</v>
      </c>
      <c r="O59" s="18" t="s">
        <v>692</v>
      </c>
      <c r="P59" s="14" t="s">
        <v>1101</v>
      </c>
      <c r="Q59" s="92" t="s">
        <v>212</v>
      </c>
      <c r="R59" s="94" t="s">
        <v>546</v>
      </c>
      <c r="S59" s="95">
        <f t="shared" ref="S59" si="83">T59+U59</f>
        <v>2434734.11</v>
      </c>
      <c r="T59" s="29">
        <v>2434734.11</v>
      </c>
      <c r="U59" s="29">
        <v>0</v>
      </c>
      <c r="V59" s="25">
        <f t="shared" si="59"/>
        <v>372371.1</v>
      </c>
      <c r="W59" s="23">
        <v>372371.1</v>
      </c>
      <c r="X59" s="13">
        <v>0</v>
      </c>
      <c r="Y59" s="96">
        <f t="shared" ref="Y59" si="84">Z59+AA59</f>
        <v>57287.86</v>
      </c>
      <c r="Z59" s="97">
        <v>57287.86</v>
      </c>
      <c r="AA59" s="29">
        <v>0</v>
      </c>
      <c r="AB59" s="23">
        <f t="shared" si="60"/>
        <v>0</v>
      </c>
      <c r="AC59" s="29">
        <v>0</v>
      </c>
      <c r="AD59" s="29">
        <v>0</v>
      </c>
      <c r="AE59" s="23">
        <f t="shared" si="82"/>
        <v>2864393.07</v>
      </c>
      <c r="AF59" s="13"/>
      <c r="AG59" s="26">
        <f t="shared" si="5"/>
        <v>2864393.07</v>
      </c>
      <c r="AH59" s="13" t="s">
        <v>585</v>
      </c>
      <c r="AI59" s="34"/>
      <c r="AJ59" s="38">
        <v>0</v>
      </c>
      <c r="AK59" s="1">
        <v>0</v>
      </c>
    </row>
    <row r="60" spans="1:37" ht="346.5" x14ac:dyDescent="0.25">
      <c r="A60" s="14">
        <v>56</v>
      </c>
      <c r="B60" s="13">
        <v>120730</v>
      </c>
      <c r="C60" s="8">
        <v>92</v>
      </c>
      <c r="D60" s="14" t="s">
        <v>175</v>
      </c>
      <c r="E60" s="15" t="s">
        <v>968</v>
      </c>
      <c r="F60" s="16" t="s">
        <v>331</v>
      </c>
      <c r="G60" s="17" t="s">
        <v>238</v>
      </c>
      <c r="H60" s="17" t="s">
        <v>237</v>
      </c>
      <c r="I60" s="18" t="s">
        <v>185</v>
      </c>
      <c r="J60" s="19" t="s">
        <v>240</v>
      </c>
      <c r="K60" s="20">
        <v>43145</v>
      </c>
      <c r="L60" s="20">
        <v>43630</v>
      </c>
      <c r="M60" s="21">
        <f>S60/AE60*100</f>
        <v>85.000000355065879</v>
      </c>
      <c r="N60" s="14">
        <v>2</v>
      </c>
      <c r="O60" s="14" t="s">
        <v>692</v>
      </c>
      <c r="P60" s="14" t="s">
        <v>1312</v>
      </c>
      <c r="Q60" s="22" t="s">
        <v>212</v>
      </c>
      <c r="R60" s="18" t="s">
        <v>36</v>
      </c>
      <c r="S60" s="23">
        <f>T60+U60</f>
        <v>359088.29</v>
      </c>
      <c r="T60" s="23">
        <v>359088.29</v>
      </c>
      <c r="U60" s="23">
        <v>0</v>
      </c>
      <c r="V60" s="23">
        <f>W60+X60</f>
        <v>54919.39</v>
      </c>
      <c r="W60" s="23">
        <v>54919.39</v>
      </c>
      <c r="X60" s="23">
        <v>0</v>
      </c>
      <c r="Y60" s="23">
        <f>Z60+AA60</f>
        <v>8449.1299999999992</v>
      </c>
      <c r="Z60" s="23">
        <v>8449.1299999999992</v>
      </c>
      <c r="AA60" s="23">
        <v>0</v>
      </c>
      <c r="AB60" s="23">
        <f>AC60+AD60</f>
        <v>0</v>
      </c>
      <c r="AC60" s="23"/>
      <c r="AD60" s="23"/>
      <c r="AE60" s="23">
        <f>S60+V60+Y60+AB60</f>
        <v>422456.81</v>
      </c>
      <c r="AF60" s="23">
        <v>66435.22</v>
      </c>
      <c r="AG60" s="26">
        <f t="shared" si="5"/>
        <v>488892.03</v>
      </c>
      <c r="AH60" s="27" t="s">
        <v>585</v>
      </c>
      <c r="AI60" s="28" t="s">
        <v>185</v>
      </c>
      <c r="AJ60" s="1">
        <f>61496.4+125218.28+42840+78452.67</f>
        <v>308007.34999999998</v>
      </c>
      <c r="AK60" s="29">
        <f>9405.33+19151.03+6552+11998.64</f>
        <v>47107</v>
      </c>
    </row>
    <row r="61" spans="1:37" ht="409.5" x14ac:dyDescent="0.25">
      <c r="A61" s="12">
        <v>57</v>
      </c>
      <c r="B61" s="13">
        <v>118879</v>
      </c>
      <c r="C61" s="18">
        <v>452</v>
      </c>
      <c r="D61" s="14" t="s">
        <v>684</v>
      </c>
      <c r="E61" s="15" t="s">
        <v>704</v>
      </c>
      <c r="F61" s="16" t="s">
        <v>610</v>
      </c>
      <c r="G61" s="15" t="s">
        <v>802</v>
      </c>
      <c r="H61" s="18" t="s">
        <v>803</v>
      </c>
      <c r="I61" s="18" t="s">
        <v>185</v>
      </c>
      <c r="J61" s="15" t="s">
        <v>804</v>
      </c>
      <c r="K61" s="20">
        <v>43293</v>
      </c>
      <c r="L61" s="32">
        <v>43780</v>
      </c>
      <c r="M61" s="21">
        <f t="shared" si="81"/>
        <v>85.000000000000014</v>
      </c>
      <c r="N61" s="18">
        <v>3</v>
      </c>
      <c r="O61" s="18" t="s">
        <v>428</v>
      </c>
      <c r="P61" s="18" t="s">
        <v>428</v>
      </c>
      <c r="Q61" s="18" t="s">
        <v>212</v>
      </c>
      <c r="R61" s="14" t="s">
        <v>36</v>
      </c>
      <c r="S61" s="1">
        <v>338205.65</v>
      </c>
      <c r="T61" s="1">
        <v>338205.65</v>
      </c>
      <c r="U61" s="29">
        <v>0</v>
      </c>
      <c r="V61" s="25">
        <v>51725.57</v>
      </c>
      <c r="W61" s="1">
        <v>51725.57</v>
      </c>
      <c r="X61" s="29">
        <v>0</v>
      </c>
      <c r="Y61" s="46">
        <v>7957.78</v>
      </c>
      <c r="Z61" s="1">
        <v>7957.78</v>
      </c>
      <c r="AA61" s="1">
        <v>0</v>
      </c>
      <c r="AB61" s="23">
        <v>0</v>
      </c>
      <c r="AC61" s="29">
        <v>0</v>
      </c>
      <c r="AD61" s="29">
        <v>0</v>
      </c>
      <c r="AE61" s="29">
        <v>397889</v>
      </c>
      <c r="AF61" s="99">
        <v>0</v>
      </c>
      <c r="AG61" s="26">
        <f t="shared" si="5"/>
        <v>397889</v>
      </c>
      <c r="AH61" s="27" t="s">
        <v>585</v>
      </c>
      <c r="AI61" s="86" t="s">
        <v>1378</v>
      </c>
      <c r="AJ61" s="54">
        <f>67994.82+55632.47</f>
        <v>123627.29000000001</v>
      </c>
      <c r="AK61" s="54">
        <f>10399.21+8508.49</f>
        <v>18907.699999999997</v>
      </c>
    </row>
    <row r="62" spans="1:37" ht="283.5" x14ac:dyDescent="0.25">
      <c r="A62" s="12">
        <v>58</v>
      </c>
      <c r="B62" s="7">
        <v>118774</v>
      </c>
      <c r="C62" s="8">
        <v>442</v>
      </c>
      <c r="D62" s="9" t="s">
        <v>175</v>
      </c>
      <c r="E62" s="15" t="s">
        <v>704</v>
      </c>
      <c r="F62" s="16" t="s">
        <v>610</v>
      </c>
      <c r="G62" s="15" t="s">
        <v>978</v>
      </c>
      <c r="H62" s="18" t="s">
        <v>979</v>
      </c>
      <c r="I62" s="9"/>
      <c r="J62" s="15" t="s">
        <v>1081</v>
      </c>
      <c r="K62" s="20">
        <v>43341</v>
      </c>
      <c r="L62" s="32">
        <v>43798</v>
      </c>
      <c r="M62" s="21">
        <v>85</v>
      </c>
      <c r="N62" s="9">
        <v>3</v>
      </c>
      <c r="O62" s="18" t="s">
        <v>428</v>
      </c>
      <c r="P62" s="18" t="s">
        <v>428</v>
      </c>
      <c r="Q62" s="18" t="s">
        <v>212</v>
      </c>
      <c r="R62" s="14" t="s">
        <v>36</v>
      </c>
      <c r="S62" s="29">
        <f>T62+U62</f>
        <v>220497.36</v>
      </c>
      <c r="T62" s="29">
        <v>220497.36</v>
      </c>
      <c r="U62" s="29">
        <v>0</v>
      </c>
      <c r="V62" s="25">
        <v>33723.14</v>
      </c>
      <c r="W62" s="100">
        <v>33723.14</v>
      </c>
      <c r="X62" s="29">
        <v>0</v>
      </c>
      <c r="Y62" s="29">
        <v>5188.17</v>
      </c>
      <c r="Z62" s="29">
        <v>5188.17</v>
      </c>
      <c r="AA62" s="1">
        <v>0</v>
      </c>
      <c r="AB62" s="23">
        <f t="shared" si="60"/>
        <v>0</v>
      </c>
      <c r="AC62" s="29">
        <v>0</v>
      </c>
      <c r="AD62" s="29">
        <v>0</v>
      </c>
      <c r="AE62" s="23">
        <f t="shared" ref="AE62:AE66" si="85">S62+V62+Y62+AB62</f>
        <v>259408.67</v>
      </c>
      <c r="AF62" s="34"/>
      <c r="AG62" s="26">
        <f t="shared" si="5"/>
        <v>259408.67</v>
      </c>
      <c r="AH62" s="27" t="s">
        <v>585</v>
      </c>
      <c r="AI62" s="86" t="s">
        <v>185</v>
      </c>
      <c r="AJ62" s="54">
        <v>51023.72</v>
      </c>
      <c r="AK62" s="54">
        <v>7803.63</v>
      </c>
    </row>
    <row r="63" spans="1:37" ht="112.5" customHeight="1" x14ac:dyDescent="0.25">
      <c r="A63" s="14">
        <v>59</v>
      </c>
      <c r="B63" s="7">
        <v>119901</v>
      </c>
      <c r="C63" s="8">
        <v>486</v>
      </c>
      <c r="D63" s="9" t="s">
        <v>168</v>
      </c>
      <c r="E63" s="9" t="s">
        <v>1041</v>
      </c>
      <c r="F63" s="41" t="s">
        <v>542</v>
      </c>
      <c r="G63" s="41" t="s">
        <v>1111</v>
      </c>
      <c r="H63" s="18" t="s">
        <v>803</v>
      </c>
      <c r="I63" s="9" t="s">
        <v>422</v>
      </c>
      <c r="J63" s="19" t="s">
        <v>1112</v>
      </c>
      <c r="K63" s="32">
        <v>43377</v>
      </c>
      <c r="L63" s="32">
        <v>43864</v>
      </c>
      <c r="M63" s="21">
        <f t="shared" si="81"/>
        <v>85.000004041383775</v>
      </c>
      <c r="N63" s="9">
        <v>3</v>
      </c>
      <c r="O63" s="18" t="s">
        <v>428</v>
      </c>
      <c r="P63" s="18" t="s">
        <v>1113</v>
      </c>
      <c r="Q63" s="18" t="s">
        <v>212</v>
      </c>
      <c r="R63" s="18" t="s">
        <v>546</v>
      </c>
      <c r="S63" s="29">
        <f>T63+U63</f>
        <v>420648.02</v>
      </c>
      <c r="T63" s="29">
        <v>420648.02</v>
      </c>
      <c r="U63" s="33">
        <v>0</v>
      </c>
      <c r="V63" s="25">
        <f>W63+X63</f>
        <v>64334.38</v>
      </c>
      <c r="W63" s="101">
        <v>64334.38</v>
      </c>
      <c r="X63" s="33">
        <v>0</v>
      </c>
      <c r="Y63" s="57">
        <f>Z62:Z63+AA63</f>
        <v>9897.6</v>
      </c>
      <c r="Z63" s="57">
        <v>9897.6</v>
      </c>
      <c r="AA63" s="57">
        <v>0</v>
      </c>
      <c r="AB63" s="23">
        <f t="shared" si="60"/>
        <v>0</v>
      </c>
      <c r="AC63" s="33">
        <v>0</v>
      </c>
      <c r="AD63" s="33">
        <v>0</v>
      </c>
      <c r="AE63" s="23">
        <f t="shared" si="85"/>
        <v>494880</v>
      </c>
      <c r="AF63" s="34"/>
      <c r="AG63" s="26">
        <f t="shared" si="5"/>
        <v>494880</v>
      </c>
      <c r="AH63" s="27" t="s">
        <v>871</v>
      </c>
      <c r="AI63" s="34"/>
      <c r="AJ63" s="38">
        <f>49488-933.45+20905.75</f>
        <v>69460.3</v>
      </c>
      <c r="AK63" s="1">
        <f>7425.99+3197.35</f>
        <v>10623.34</v>
      </c>
    </row>
    <row r="64" spans="1:37" ht="243.75" customHeight="1" x14ac:dyDescent="0.25">
      <c r="A64" s="12">
        <v>60</v>
      </c>
      <c r="B64" s="7">
        <v>126537</v>
      </c>
      <c r="C64" s="8">
        <v>569</v>
      </c>
      <c r="D64" s="9" t="s">
        <v>175</v>
      </c>
      <c r="E64" s="15" t="s">
        <v>968</v>
      </c>
      <c r="F64" s="16" t="s">
        <v>1135</v>
      </c>
      <c r="G64" s="15" t="s">
        <v>1369</v>
      </c>
      <c r="H64" s="18" t="s">
        <v>803</v>
      </c>
      <c r="I64" s="9" t="s">
        <v>422</v>
      </c>
      <c r="J64" s="19" t="s">
        <v>1370</v>
      </c>
      <c r="K64" s="20">
        <v>43567</v>
      </c>
      <c r="L64" s="32">
        <v>44450</v>
      </c>
      <c r="M64" s="21">
        <f t="shared" si="81"/>
        <v>84.999999931518204</v>
      </c>
      <c r="N64" s="9">
        <v>3</v>
      </c>
      <c r="O64" s="18" t="s">
        <v>428</v>
      </c>
      <c r="P64" s="18" t="s">
        <v>1113</v>
      </c>
      <c r="Q64" s="18" t="s">
        <v>212</v>
      </c>
      <c r="R64" s="18" t="s">
        <v>546</v>
      </c>
      <c r="S64" s="29">
        <f t="shared" ref="S64:S66" si="86">T64+U64</f>
        <v>3103013.95</v>
      </c>
      <c r="T64" s="29">
        <v>3103013.95</v>
      </c>
      <c r="U64" s="102">
        <v>0</v>
      </c>
      <c r="V64" s="25">
        <f t="shared" ref="V64:V66" si="87">W64+X64</f>
        <v>474578.61</v>
      </c>
      <c r="W64" s="101">
        <v>474578.61</v>
      </c>
      <c r="X64" s="102">
        <v>0</v>
      </c>
      <c r="Y64" s="57">
        <f t="shared" ref="Y64" si="88">Z63:Z64+AA64</f>
        <v>73012.09</v>
      </c>
      <c r="Z64" s="57">
        <v>73012.09</v>
      </c>
      <c r="AA64" s="102">
        <v>0</v>
      </c>
      <c r="AB64" s="23">
        <f t="shared" si="60"/>
        <v>0</v>
      </c>
      <c r="AC64" s="102">
        <v>0</v>
      </c>
      <c r="AD64" s="102">
        <v>0</v>
      </c>
      <c r="AE64" s="23">
        <f t="shared" si="85"/>
        <v>3650604.65</v>
      </c>
      <c r="AF64" s="1">
        <v>0</v>
      </c>
      <c r="AG64" s="26">
        <f t="shared" si="5"/>
        <v>3650604.65</v>
      </c>
      <c r="AH64" s="27" t="s">
        <v>871</v>
      </c>
      <c r="AI64" s="34"/>
      <c r="AJ64" s="38">
        <v>25269.65</v>
      </c>
      <c r="AK64" s="1">
        <v>0</v>
      </c>
    </row>
    <row r="65" spans="1:37" ht="220.5" x14ac:dyDescent="0.25">
      <c r="A65" s="12">
        <v>61</v>
      </c>
      <c r="B65" s="7">
        <v>129241</v>
      </c>
      <c r="C65" s="67">
        <v>650</v>
      </c>
      <c r="D65" s="7" t="s">
        <v>163</v>
      </c>
      <c r="E65" s="15" t="s">
        <v>968</v>
      </c>
      <c r="F65" s="103" t="s">
        <v>1417</v>
      </c>
      <c r="G65" s="36" t="s">
        <v>1430</v>
      </c>
      <c r="H65" s="18" t="s">
        <v>1431</v>
      </c>
      <c r="I65" s="9" t="s">
        <v>185</v>
      </c>
      <c r="J65" s="19" t="s">
        <v>1418</v>
      </c>
      <c r="K65" s="20">
        <v>43608</v>
      </c>
      <c r="L65" s="32">
        <v>44462</v>
      </c>
      <c r="M65" s="21">
        <f t="shared" si="81"/>
        <v>85.000000168986716</v>
      </c>
      <c r="N65" s="9">
        <v>3</v>
      </c>
      <c r="O65" s="18" t="s">
        <v>428</v>
      </c>
      <c r="P65" s="18" t="s">
        <v>1113</v>
      </c>
      <c r="Q65" s="18" t="s">
        <v>212</v>
      </c>
      <c r="R65" s="18" t="s">
        <v>546</v>
      </c>
      <c r="S65" s="29">
        <f t="shared" si="86"/>
        <v>2514990.63</v>
      </c>
      <c r="T65" s="1">
        <v>2514990.63</v>
      </c>
      <c r="U65" s="102">
        <v>0</v>
      </c>
      <c r="V65" s="25">
        <f t="shared" si="87"/>
        <v>384645.62</v>
      </c>
      <c r="W65" s="104">
        <v>384645.62</v>
      </c>
      <c r="X65" s="102">
        <v>0</v>
      </c>
      <c r="Y65" s="1">
        <f>Z64:Z65+AA65</f>
        <v>59176.25</v>
      </c>
      <c r="Z65" s="1">
        <v>59176.25</v>
      </c>
      <c r="AA65" s="1">
        <v>0</v>
      </c>
      <c r="AB65" s="26">
        <f t="shared" si="60"/>
        <v>0</v>
      </c>
      <c r="AC65" s="102">
        <v>0</v>
      </c>
      <c r="AD65" s="102">
        <v>0</v>
      </c>
      <c r="AE65" s="23">
        <f t="shared" si="85"/>
        <v>2958812.5</v>
      </c>
      <c r="AF65" s="1">
        <v>0</v>
      </c>
      <c r="AG65" s="26">
        <f t="shared" si="5"/>
        <v>2958812.5</v>
      </c>
      <c r="AH65" s="27" t="s">
        <v>871</v>
      </c>
      <c r="AI65" s="34"/>
      <c r="AJ65" s="38">
        <v>25182.5</v>
      </c>
      <c r="AK65" s="1">
        <v>0</v>
      </c>
    </row>
    <row r="66" spans="1:37" ht="220.5" x14ac:dyDescent="0.25">
      <c r="A66" s="14">
        <v>62</v>
      </c>
      <c r="B66" s="7">
        <v>129152</v>
      </c>
      <c r="C66" s="67">
        <v>656</v>
      </c>
      <c r="D66" s="7" t="s">
        <v>176</v>
      </c>
      <c r="E66" s="15" t="str">
        <f t="shared" ref="E66:F66" si="89">E65</f>
        <v>AP 2/11i/2.1</v>
      </c>
      <c r="F66" s="103" t="str">
        <f t="shared" si="89"/>
        <v>CP 12 less/2018</v>
      </c>
      <c r="G66" s="36" t="s">
        <v>1442</v>
      </c>
      <c r="H66" s="35" t="s">
        <v>979</v>
      </c>
      <c r="I66" s="9" t="s">
        <v>185</v>
      </c>
      <c r="J66" s="19" t="s">
        <v>1443</v>
      </c>
      <c r="K66" s="20">
        <v>43621</v>
      </c>
      <c r="L66" s="32">
        <v>44352</v>
      </c>
      <c r="M66" s="21">
        <f t="shared" si="81"/>
        <v>85.000000171199162</v>
      </c>
      <c r="N66" s="9">
        <f t="shared" ref="N66:O66" si="90">N65</f>
        <v>3</v>
      </c>
      <c r="O66" s="18" t="str">
        <f t="shared" si="90"/>
        <v>CĂLĂRAȘI</v>
      </c>
      <c r="P66" s="18" t="s">
        <v>1113</v>
      </c>
      <c r="Q66" s="18" t="s">
        <v>212</v>
      </c>
      <c r="R66" s="18" t="s">
        <v>546</v>
      </c>
      <c r="S66" s="29">
        <f t="shared" si="86"/>
        <v>2482488.84</v>
      </c>
      <c r="T66" s="1">
        <v>2482488.84</v>
      </c>
      <c r="U66" s="102">
        <v>0</v>
      </c>
      <c r="V66" s="25">
        <f t="shared" si="87"/>
        <v>379674.76</v>
      </c>
      <c r="W66" s="104">
        <v>379674.76</v>
      </c>
      <c r="X66" s="102">
        <v>0</v>
      </c>
      <c r="Y66" s="1">
        <f>Z65:Z66+AA66</f>
        <v>58411.5</v>
      </c>
      <c r="Z66" s="1">
        <v>58411.5</v>
      </c>
      <c r="AA66" s="1">
        <v>0</v>
      </c>
      <c r="AB66" s="26">
        <f t="shared" si="60"/>
        <v>0</v>
      </c>
      <c r="AC66" s="102">
        <v>0</v>
      </c>
      <c r="AD66" s="102">
        <v>0</v>
      </c>
      <c r="AE66" s="23">
        <f t="shared" si="85"/>
        <v>2920575.0999999996</v>
      </c>
      <c r="AF66" s="1">
        <v>11900</v>
      </c>
      <c r="AG66" s="26">
        <f t="shared" si="5"/>
        <v>2932475.0999999996</v>
      </c>
      <c r="AH66" s="27" t="s">
        <v>871</v>
      </c>
      <c r="AI66" s="34"/>
      <c r="AJ66" s="38"/>
      <c r="AK66" s="1"/>
    </row>
    <row r="67" spans="1:37" ht="315" x14ac:dyDescent="0.25">
      <c r="A67" s="12">
        <v>63</v>
      </c>
      <c r="B67" s="7">
        <v>120791</v>
      </c>
      <c r="C67" s="8">
        <v>88</v>
      </c>
      <c r="D67" s="14" t="s">
        <v>168</v>
      </c>
      <c r="E67" s="15" t="s">
        <v>968</v>
      </c>
      <c r="F67" s="16" t="s">
        <v>331</v>
      </c>
      <c r="G67" s="15" t="s">
        <v>336</v>
      </c>
      <c r="H67" s="17" t="s">
        <v>1426</v>
      </c>
      <c r="I67" s="105" t="s">
        <v>337</v>
      </c>
      <c r="J67" s="80" t="s">
        <v>338</v>
      </c>
      <c r="K67" s="20">
        <v>43180</v>
      </c>
      <c r="L67" s="32">
        <v>43667</v>
      </c>
      <c r="M67" s="21">
        <f t="shared" ref="M67:M68" si="91">S67/AE67*100</f>
        <v>84.174275146898083</v>
      </c>
      <c r="N67" s="14">
        <v>5</v>
      </c>
      <c r="O67" s="14" t="s">
        <v>339</v>
      </c>
      <c r="P67" s="14" t="s">
        <v>340</v>
      </c>
      <c r="Q67" s="22" t="s">
        <v>212</v>
      </c>
      <c r="R67" s="14" t="s">
        <v>36</v>
      </c>
      <c r="S67" s="25">
        <f t="shared" ref="S67:S68" si="92">T67+U67</f>
        <v>316573.06</v>
      </c>
      <c r="T67" s="23">
        <v>316573.06</v>
      </c>
      <c r="U67" s="23">
        <v>0</v>
      </c>
      <c r="V67" s="25">
        <f t="shared" si="59"/>
        <v>51997.5</v>
      </c>
      <c r="W67" s="23">
        <v>51997.5</v>
      </c>
      <c r="X67" s="23">
        <v>0</v>
      </c>
      <c r="Y67" s="25">
        <f>Z67+AA67</f>
        <v>7521.85</v>
      </c>
      <c r="Z67" s="23">
        <v>7521.85</v>
      </c>
      <c r="AA67" s="23">
        <v>0</v>
      </c>
      <c r="AB67" s="23">
        <f t="shared" si="60"/>
        <v>0</v>
      </c>
      <c r="AC67" s="23">
        <v>0</v>
      </c>
      <c r="AD67" s="23">
        <v>0</v>
      </c>
      <c r="AE67" s="23">
        <f>S67+V67+Y67+AB67</f>
        <v>376092.41</v>
      </c>
      <c r="AF67" s="23">
        <v>0</v>
      </c>
      <c r="AG67" s="26">
        <f t="shared" si="5"/>
        <v>376092.41</v>
      </c>
      <c r="AH67" s="27" t="s">
        <v>585</v>
      </c>
      <c r="AI67" s="28" t="s">
        <v>185</v>
      </c>
      <c r="AJ67" s="1">
        <f>82700.83+16407.5-2095.99+13973.28+13168.81+13492.57+33256.21</f>
        <v>170903.21</v>
      </c>
      <c r="AK67" s="29">
        <f>10873.44+2461.12+2095.99+2014.06+2381.06+5613.51</f>
        <v>25439.18</v>
      </c>
    </row>
    <row r="68" spans="1:37" ht="345" x14ac:dyDescent="0.25">
      <c r="A68" s="12">
        <v>64</v>
      </c>
      <c r="B68" s="7">
        <v>128386</v>
      </c>
      <c r="C68" s="8">
        <v>657</v>
      </c>
      <c r="D68" s="13" t="s">
        <v>176</v>
      </c>
      <c r="E68" s="15" t="s">
        <v>968</v>
      </c>
      <c r="F68" s="103" t="s">
        <v>1417</v>
      </c>
      <c r="G68" s="15" t="s">
        <v>1427</v>
      </c>
      <c r="H68" s="106" t="s">
        <v>1428</v>
      </c>
      <c r="I68" s="9" t="s">
        <v>185</v>
      </c>
      <c r="J68" s="107" t="s">
        <v>1429</v>
      </c>
      <c r="K68" s="20">
        <v>43613</v>
      </c>
      <c r="L68" s="32">
        <v>44436</v>
      </c>
      <c r="M68" s="21">
        <f t="shared" si="91"/>
        <v>84.999999925635848</v>
      </c>
      <c r="N68" s="14">
        <v>5</v>
      </c>
      <c r="O68" s="14" t="s">
        <v>339</v>
      </c>
      <c r="P68" s="106" t="s">
        <v>1428</v>
      </c>
      <c r="Q68" s="22" t="s">
        <v>212</v>
      </c>
      <c r="R68" s="14" t="s">
        <v>36</v>
      </c>
      <c r="S68" s="25">
        <f t="shared" si="92"/>
        <v>3429071.68</v>
      </c>
      <c r="T68" s="23">
        <v>3429071.68</v>
      </c>
      <c r="U68" s="23">
        <v>0</v>
      </c>
      <c r="V68" s="25">
        <f t="shared" si="59"/>
        <v>524446.26</v>
      </c>
      <c r="W68" s="23">
        <v>524446.26</v>
      </c>
      <c r="X68" s="23">
        <v>0</v>
      </c>
      <c r="Y68" s="25">
        <f>Z68+AA68</f>
        <v>80684.039999999994</v>
      </c>
      <c r="Z68" s="23">
        <v>80684.039999999994</v>
      </c>
      <c r="AA68" s="23">
        <v>0</v>
      </c>
      <c r="AB68" s="23">
        <f t="shared" si="60"/>
        <v>0</v>
      </c>
      <c r="AC68" s="23">
        <v>0</v>
      </c>
      <c r="AD68" s="23">
        <v>0</v>
      </c>
      <c r="AE68" s="23">
        <f>S68+V68+Y68+AB68</f>
        <v>4034201.9800000004</v>
      </c>
      <c r="AF68" s="23">
        <v>0</v>
      </c>
      <c r="AG68" s="26">
        <f t="shared" si="5"/>
        <v>4034201.9800000004</v>
      </c>
      <c r="AH68" s="27" t="s">
        <v>585</v>
      </c>
      <c r="AI68" s="28"/>
      <c r="AJ68" s="1"/>
      <c r="AK68" s="29"/>
    </row>
    <row r="69" spans="1:37" ht="315" x14ac:dyDescent="0.25">
      <c r="A69" s="14">
        <v>65</v>
      </c>
      <c r="B69" s="13">
        <v>120583</v>
      </c>
      <c r="C69" s="8">
        <v>77</v>
      </c>
      <c r="D69" s="14" t="s">
        <v>174</v>
      </c>
      <c r="E69" s="15" t="s">
        <v>968</v>
      </c>
      <c r="F69" s="16" t="s">
        <v>331</v>
      </c>
      <c r="G69" s="17" t="s">
        <v>214</v>
      </c>
      <c r="H69" s="17" t="s">
        <v>217</v>
      </c>
      <c r="I69" s="14" t="s">
        <v>185</v>
      </c>
      <c r="J69" s="48" t="s">
        <v>220</v>
      </c>
      <c r="K69" s="20">
        <v>43126</v>
      </c>
      <c r="L69" s="32">
        <v>43369</v>
      </c>
      <c r="M69" s="21">
        <f t="shared" ref="M69:M75" si="93">S69/AE69*100</f>
        <v>84.999999763641128</v>
      </c>
      <c r="N69" s="14">
        <v>6</v>
      </c>
      <c r="O69" s="14" t="s">
        <v>222</v>
      </c>
      <c r="P69" s="14" t="s">
        <v>223</v>
      </c>
      <c r="Q69" s="42" t="s">
        <v>212</v>
      </c>
      <c r="R69" s="14" t="s">
        <v>36</v>
      </c>
      <c r="S69" s="25">
        <f t="shared" ref="S69:S75" si="94">T69+U69</f>
        <v>359622.64</v>
      </c>
      <c r="T69" s="23">
        <v>359622.64</v>
      </c>
      <c r="U69" s="23">
        <v>0</v>
      </c>
      <c r="V69" s="25">
        <f t="shared" si="59"/>
        <v>55001.11</v>
      </c>
      <c r="W69" s="23">
        <v>55001.11</v>
      </c>
      <c r="X69" s="23">
        <v>0</v>
      </c>
      <c r="Y69" s="25">
        <f t="shared" ref="Y69" si="95">Z69+AA69</f>
        <v>8461.7099999999991</v>
      </c>
      <c r="Z69" s="23">
        <v>8461.7099999999991</v>
      </c>
      <c r="AA69" s="23">
        <v>0</v>
      </c>
      <c r="AB69" s="23">
        <f t="shared" si="60"/>
        <v>0</v>
      </c>
      <c r="AC69" s="23"/>
      <c r="AD69" s="23"/>
      <c r="AE69" s="23">
        <f>S69+V69+Y69+AB69</f>
        <v>423085.46</v>
      </c>
      <c r="AF69" s="23">
        <v>0</v>
      </c>
      <c r="AG69" s="26">
        <f t="shared" si="5"/>
        <v>423085.46</v>
      </c>
      <c r="AH69" s="27" t="s">
        <v>1073</v>
      </c>
      <c r="AI69" s="28" t="s">
        <v>185</v>
      </c>
      <c r="AJ69" s="1">
        <f>41688.25+258393</f>
        <v>300081.25</v>
      </c>
      <c r="AK69" s="49">
        <f>6375.85+39518.93</f>
        <v>45894.78</v>
      </c>
    </row>
    <row r="70" spans="1:37" ht="189" x14ac:dyDescent="0.25">
      <c r="A70" s="12">
        <v>66</v>
      </c>
      <c r="B70" s="13">
        <v>110080</v>
      </c>
      <c r="C70" s="8">
        <v>118</v>
      </c>
      <c r="D70" s="14" t="s">
        <v>843</v>
      </c>
      <c r="E70" s="15" t="s">
        <v>968</v>
      </c>
      <c r="F70" s="16" t="s">
        <v>331</v>
      </c>
      <c r="G70" s="17" t="s">
        <v>305</v>
      </c>
      <c r="H70" s="17" t="s">
        <v>306</v>
      </c>
      <c r="I70" s="18" t="s">
        <v>185</v>
      </c>
      <c r="J70" s="19" t="s">
        <v>307</v>
      </c>
      <c r="K70" s="20">
        <v>43171</v>
      </c>
      <c r="L70" s="32">
        <v>43658</v>
      </c>
      <c r="M70" s="21">
        <f t="shared" si="93"/>
        <v>84.9999996799977</v>
      </c>
      <c r="N70" s="14">
        <v>6</v>
      </c>
      <c r="O70" s="14" t="s">
        <v>222</v>
      </c>
      <c r="P70" s="14" t="s">
        <v>308</v>
      </c>
      <c r="Q70" s="22" t="s">
        <v>212</v>
      </c>
      <c r="R70" s="14" t="s">
        <v>36</v>
      </c>
      <c r="S70" s="25">
        <f t="shared" si="94"/>
        <v>531246.18999999994</v>
      </c>
      <c r="T70" s="23">
        <v>531246.18999999994</v>
      </c>
      <c r="U70" s="23">
        <v>0</v>
      </c>
      <c r="V70" s="25">
        <f t="shared" si="59"/>
        <v>81249.41</v>
      </c>
      <c r="W70" s="23">
        <v>81249.41</v>
      </c>
      <c r="X70" s="23">
        <v>0</v>
      </c>
      <c r="Y70" s="25">
        <v>12499.92</v>
      </c>
      <c r="Z70" s="23">
        <v>12499.92</v>
      </c>
      <c r="AA70" s="23">
        <v>0</v>
      </c>
      <c r="AB70" s="23">
        <f t="shared" si="60"/>
        <v>0</v>
      </c>
      <c r="AC70" s="23"/>
      <c r="AD70" s="23"/>
      <c r="AE70" s="23">
        <f t="shared" ref="AE70:AE75" si="96">S70+V70+Y70+AB70</f>
        <v>624995.52</v>
      </c>
      <c r="AF70" s="23">
        <v>0</v>
      </c>
      <c r="AG70" s="26">
        <f t="shared" ref="AG70:AG133" si="97">AE70+AF70</f>
        <v>624995.52</v>
      </c>
      <c r="AH70" s="27" t="s">
        <v>585</v>
      </c>
      <c r="AI70" s="28" t="s">
        <v>185</v>
      </c>
      <c r="AJ70" s="1">
        <f>116443.03+69871.41+58803.54</f>
        <v>245117.98</v>
      </c>
      <c r="AK70" s="29">
        <f>17808.93+10686.22+8993.49</f>
        <v>37488.639999999999</v>
      </c>
    </row>
    <row r="71" spans="1:37" ht="362.25" x14ac:dyDescent="0.25">
      <c r="A71" s="12">
        <v>67</v>
      </c>
      <c r="B71" s="13">
        <v>120588</v>
      </c>
      <c r="C71" s="18">
        <v>104</v>
      </c>
      <c r="D71" s="14" t="s">
        <v>684</v>
      </c>
      <c r="E71" s="15" t="s">
        <v>968</v>
      </c>
      <c r="F71" s="16" t="s">
        <v>331</v>
      </c>
      <c r="G71" s="108" t="s">
        <v>386</v>
      </c>
      <c r="H71" s="30" t="s">
        <v>385</v>
      </c>
      <c r="I71" s="14" t="s">
        <v>185</v>
      </c>
      <c r="J71" s="19" t="s">
        <v>387</v>
      </c>
      <c r="K71" s="20">
        <v>43201</v>
      </c>
      <c r="L71" s="32">
        <v>43749</v>
      </c>
      <c r="M71" s="21">
        <f t="shared" si="93"/>
        <v>85.000000000000014</v>
      </c>
      <c r="N71" s="14">
        <v>6</v>
      </c>
      <c r="O71" s="14" t="s">
        <v>222</v>
      </c>
      <c r="P71" s="14" t="s">
        <v>308</v>
      </c>
      <c r="Q71" s="42" t="s">
        <v>212</v>
      </c>
      <c r="R71" s="14" t="s">
        <v>36</v>
      </c>
      <c r="S71" s="25">
        <f t="shared" si="94"/>
        <v>354701.26</v>
      </c>
      <c r="T71" s="23">
        <v>354701.26</v>
      </c>
      <c r="U71" s="23">
        <v>0</v>
      </c>
      <c r="V71" s="25">
        <f t="shared" si="59"/>
        <v>54248.43</v>
      </c>
      <c r="W71" s="23">
        <v>54248.43</v>
      </c>
      <c r="X71" s="23">
        <v>0</v>
      </c>
      <c r="Y71" s="25">
        <f>Z71+AA71</f>
        <v>8345.91</v>
      </c>
      <c r="Z71" s="23">
        <v>8345.91</v>
      </c>
      <c r="AA71" s="23">
        <v>0</v>
      </c>
      <c r="AB71" s="23">
        <f t="shared" si="60"/>
        <v>0</v>
      </c>
      <c r="AC71" s="23">
        <v>0</v>
      </c>
      <c r="AD71" s="23">
        <v>0</v>
      </c>
      <c r="AE71" s="23">
        <f t="shared" si="96"/>
        <v>417295.6</v>
      </c>
      <c r="AF71" s="23">
        <v>0</v>
      </c>
      <c r="AG71" s="26">
        <f t="shared" si="97"/>
        <v>417295.6</v>
      </c>
      <c r="AH71" s="27" t="s">
        <v>585</v>
      </c>
      <c r="AI71" s="28" t="s">
        <v>1376</v>
      </c>
      <c r="AJ71" s="1">
        <f>4830.98+7367.8+23538.62+16315.75+114299.5</f>
        <v>166352.65</v>
      </c>
      <c r="AK71" s="29">
        <f>738.85+1126.84+3600.02+2495.35+17481.1</f>
        <v>25442.159999999996</v>
      </c>
    </row>
    <row r="72" spans="1:37" ht="207" customHeight="1" x14ac:dyDescent="0.25">
      <c r="A72" s="14">
        <v>68</v>
      </c>
      <c r="B72" s="13">
        <v>126485</v>
      </c>
      <c r="C72" s="8">
        <v>546</v>
      </c>
      <c r="D72" s="14" t="s">
        <v>177</v>
      </c>
      <c r="E72" s="15" t="s">
        <v>968</v>
      </c>
      <c r="F72" s="16" t="s">
        <v>1135</v>
      </c>
      <c r="G72" s="108" t="s">
        <v>1215</v>
      </c>
      <c r="H72" s="30" t="s">
        <v>1213</v>
      </c>
      <c r="I72" s="14" t="s">
        <v>185</v>
      </c>
      <c r="J72" s="19" t="s">
        <v>1214</v>
      </c>
      <c r="K72" s="20">
        <v>43455</v>
      </c>
      <c r="L72" s="32">
        <v>44186</v>
      </c>
      <c r="M72" s="21">
        <f t="shared" si="93"/>
        <v>85</v>
      </c>
      <c r="N72" s="14">
        <v>6</v>
      </c>
      <c r="O72" s="14" t="s">
        <v>222</v>
      </c>
      <c r="P72" s="14" t="s">
        <v>223</v>
      </c>
      <c r="Q72" s="42" t="s">
        <v>212</v>
      </c>
      <c r="R72" s="14" t="s">
        <v>36</v>
      </c>
      <c r="S72" s="25">
        <f t="shared" si="94"/>
        <v>3257796.87</v>
      </c>
      <c r="T72" s="23">
        <v>3257796.87</v>
      </c>
      <c r="U72" s="23">
        <v>0</v>
      </c>
      <c r="V72" s="25">
        <f t="shared" si="59"/>
        <v>498251.29</v>
      </c>
      <c r="W72" s="23">
        <v>498251.29</v>
      </c>
      <c r="X72" s="23">
        <v>0</v>
      </c>
      <c r="Y72" s="25">
        <f t="shared" ref="Y72:Y75" si="98">Z72+AA72</f>
        <v>76654.039999999994</v>
      </c>
      <c r="Z72" s="23">
        <v>76654.039999999994</v>
      </c>
      <c r="AA72" s="23">
        <v>0</v>
      </c>
      <c r="AB72" s="23">
        <f t="shared" si="60"/>
        <v>0</v>
      </c>
      <c r="AC72" s="23">
        <v>0</v>
      </c>
      <c r="AD72" s="23">
        <v>0</v>
      </c>
      <c r="AE72" s="23">
        <f t="shared" si="96"/>
        <v>3832702.2</v>
      </c>
      <c r="AF72" s="23"/>
      <c r="AG72" s="26">
        <f t="shared" si="97"/>
        <v>3832702.2</v>
      </c>
      <c r="AH72" s="27" t="s">
        <v>585</v>
      </c>
      <c r="AI72" s="28" t="s">
        <v>185</v>
      </c>
      <c r="AJ72" s="54">
        <v>0</v>
      </c>
      <c r="AK72" s="29">
        <v>0</v>
      </c>
    </row>
    <row r="73" spans="1:37" ht="240.75" customHeight="1" x14ac:dyDescent="0.25">
      <c r="A73" s="12">
        <v>69</v>
      </c>
      <c r="B73" s="13">
        <v>126214</v>
      </c>
      <c r="C73" s="8">
        <v>527</v>
      </c>
      <c r="D73" s="14" t="s">
        <v>1074</v>
      </c>
      <c r="E73" s="15" t="s">
        <v>968</v>
      </c>
      <c r="F73" s="16" t="s">
        <v>1135</v>
      </c>
      <c r="G73" s="108" t="s">
        <v>1257</v>
      </c>
      <c r="H73" s="30" t="s">
        <v>1258</v>
      </c>
      <c r="I73" s="14" t="s">
        <v>185</v>
      </c>
      <c r="J73" s="19" t="s">
        <v>1259</v>
      </c>
      <c r="K73" s="20">
        <v>43507</v>
      </c>
      <c r="L73" s="32">
        <v>44419</v>
      </c>
      <c r="M73" s="21">
        <f t="shared" si="93"/>
        <v>85.000000000000014</v>
      </c>
      <c r="N73" s="14">
        <v>6</v>
      </c>
      <c r="O73" s="14" t="s">
        <v>222</v>
      </c>
      <c r="P73" s="14" t="s">
        <v>308</v>
      </c>
      <c r="Q73" s="42" t="s">
        <v>212</v>
      </c>
      <c r="R73" s="14" t="s">
        <v>36</v>
      </c>
      <c r="S73" s="25">
        <f t="shared" si="94"/>
        <v>3316506.2</v>
      </c>
      <c r="T73" s="23">
        <v>3316506.2</v>
      </c>
      <c r="U73" s="23">
        <v>0</v>
      </c>
      <c r="V73" s="25">
        <f t="shared" si="59"/>
        <v>507230.36</v>
      </c>
      <c r="W73" s="23">
        <v>507230.36</v>
      </c>
      <c r="X73" s="23">
        <v>0</v>
      </c>
      <c r="Y73" s="25">
        <f t="shared" si="98"/>
        <v>78035.44</v>
      </c>
      <c r="Z73" s="23">
        <v>78035.44</v>
      </c>
      <c r="AA73" s="23">
        <v>0</v>
      </c>
      <c r="AB73" s="23">
        <f t="shared" si="60"/>
        <v>0</v>
      </c>
      <c r="AC73" s="23">
        <v>0</v>
      </c>
      <c r="AD73" s="23">
        <v>0</v>
      </c>
      <c r="AE73" s="23">
        <f t="shared" si="96"/>
        <v>3901772</v>
      </c>
      <c r="AF73" s="23">
        <v>0</v>
      </c>
      <c r="AG73" s="26">
        <f t="shared" si="97"/>
        <v>3901772</v>
      </c>
      <c r="AH73" s="27" t="s">
        <v>585</v>
      </c>
      <c r="AI73" s="28"/>
      <c r="AJ73" s="54">
        <v>0</v>
      </c>
      <c r="AK73" s="29">
        <v>0</v>
      </c>
    </row>
    <row r="74" spans="1:37" ht="240.75" customHeight="1" x14ac:dyDescent="0.25">
      <c r="A74" s="12">
        <v>70</v>
      </c>
      <c r="B74" s="14">
        <v>128473</v>
      </c>
      <c r="C74" s="8">
        <v>629</v>
      </c>
      <c r="D74" s="14" t="s">
        <v>173</v>
      </c>
      <c r="E74" s="15" t="str">
        <f>$E$161</f>
        <v>AP2/11i /2.1</v>
      </c>
      <c r="F74" s="109" t="s">
        <v>1417</v>
      </c>
      <c r="G74" s="108" t="s">
        <v>1500</v>
      </c>
      <c r="H74" s="30" t="s">
        <v>1501</v>
      </c>
      <c r="I74" s="14" t="s">
        <v>422</v>
      </c>
      <c r="J74" s="19" t="s">
        <v>1503</v>
      </c>
      <c r="K74" s="20">
        <v>43640</v>
      </c>
      <c r="L74" s="32">
        <v>44554</v>
      </c>
      <c r="M74" s="21">
        <f t="shared" si="93"/>
        <v>85</v>
      </c>
      <c r="N74" s="14">
        <v>6</v>
      </c>
      <c r="O74" s="14" t="s">
        <v>222</v>
      </c>
      <c r="P74" s="14" t="s">
        <v>308</v>
      </c>
      <c r="Q74" s="42" t="s">
        <v>212</v>
      </c>
      <c r="R74" s="14" t="s">
        <v>36</v>
      </c>
      <c r="S74" s="25">
        <f t="shared" si="94"/>
        <v>2773068.05</v>
      </c>
      <c r="T74" s="23">
        <v>2773068.05</v>
      </c>
      <c r="U74" s="23">
        <v>0</v>
      </c>
      <c r="V74" s="25">
        <f t="shared" si="59"/>
        <v>424116.29</v>
      </c>
      <c r="W74" s="23">
        <v>424116.29</v>
      </c>
      <c r="X74" s="23">
        <v>0</v>
      </c>
      <c r="Y74" s="25">
        <f t="shared" si="98"/>
        <v>65248.66</v>
      </c>
      <c r="Z74" s="23">
        <v>65248.66</v>
      </c>
      <c r="AA74" s="23">
        <v>0</v>
      </c>
      <c r="AB74" s="23">
        <f t="shared" si="60"/>
        <v>0</v>
      </c>
      <c r="AC74" s="23">
        <v>0</v>
      </c>
      <c r="AD74" s="23">
        <v>0</v>
      </c>
      <c r="AE74" s="23">
        <f t="shared" si="96"/>
        <v>3262433</v>
      </c>
      <c r="AF74" s="23">
        <v>102340</v>
      </c>
      <c r="AG74" s="26">
        <f t="shared" si="97"/>
        <v>3364773</v>
      </c>
      <c r="AH74" s="27" t="s">
        <v>1502</v>
      </c>
      <c r="AI74" s="28"/>
      <c r="AJ74" s="54"/>
      <c r="AK74" s="29"/>
    </row>
    <row r="75" spans="1:37" ht="409.6" customHeight="1" x14ac:dyDescent="0.25">
      <c r="A75" s="14">
        <v>71</v>
      </c>
      <c r="B75" s="14">
        <v>129268</v>
      </c>
      <c r="C75" s="110">
        <v>655</v>
      </c>
      <c r="D75" s="14" t="s">
        <v>176</v>
      </c>
      <c r="E75" s="15" t="str">
        <f>$E$161</f>
        <v>AP2/11i /2.1</v>
      </c>
      <c r="F75" s="109" t="s">
        <v>1417</v>
      </c>
      <c r="G75" s="108" t="s">
        <v>1485</v>
      </c>
      <c r="H75" s="30" t="s">
        <v>1258</v>
      </c>
      <c r="I75" s="14" t="s">
        <v>185</v>
      </c>
      <c r="J75" s="19" t="s">
        <v>1486</v>
      </c>
      <c r="K75" s="20">
        <v>43634</v>
      </c>
      <c r="L75" s="32">
        <v>44214</v>
      </c>
      <c r="M75" s="21">
        <f t="shared" si="93"/>
        <v>84.999999999999986</v>
      </c>
      <c r="N75" s="14">
        <f>$N$73</f>
        <v>6</v>
      </c>
      <c r="O75" s="14" t="s">
        <v>1487</v>
      </c>
      <c r="P75" s="14" t="str">
        <f t="shared" ref="P75:R75" si="99">P73</f>
        <v>Cluj Napoca</v>
      </c>
      <c r="Q75" s="42" t="str">
        <f t="shared" si="99"/>
        <v>APL</v>
      </c>
      <c r="R75" s="14" t="str">
        <f t="shared" si="99"/>
        <v>119 - Investiții în capacitatea instituțională și în eficiența administrațiilor și a serviciilor publice la nivel național, regional și local, în perspectiva realizării de reforme, a unei mai bune legiferări și a bunei guvernanțe</v>
      </c>
      <c r="S75" s="25">
        <f t="shared" si="94"/>
        <v>1962765.6</v>
      </c>
      <c r="T75" s="23">
        <v>1962765.6</v>
      </c>
      <c r="U75" s="23">
        <v>0</v>
      </c>
      <c r="V75" s="25">
        <f t="shared" si="59"/>
        <v>300187.68</v>
      </c>
      <c r="W75" s="23">
        <v>300187.68</v>
      </c>
      <c r="X75" s="23">
        <v>0</v>
      </c>
      <c r="Y75" s="25">
        <f t="shared" si="98"/>
        <v>46182.720000000001</v>
      </c>
      <c r="Z75" s="23">
        <v>46182.720000000001</v>
      </c>
      <c r="AA75" s="23">
        <v>0</v>
      </c>
      <c r="AB75" s="23">
        <f t="shared" si="60"/>
        <v>0</v>
      </c>
      <c r="AC75" s="23">
        <v>0</v>
      </c>
      <c r="AD75" s="23">
        <v>0</v>
      </c>
      <c r="AE75" s="23">
        <f t="shared" si="96"/>
        <v>2309136.0000000005</v>
      </c>
      <c r="AF75" s="23">
        <v>0</v>
      </c>
      <c r="AG75" s="26">
        <f t="shared" si="97"/>
        <v>2309136.0000000005</v>
      </c>
      <c r="AH75" s="27" t="s">
        <v>585</v>
      </c>
      <c r="AI75" s="28" t="s">
        <v>185</v>
      </c>
      <c r="AJ75" s="54"/>
      <c r="AK75" s="29"/>
    </row>
    <row r="76" spans="1:37" ht="210" x14ac:dyDescent="0.25">
      <c r="A76" s="12">
        <v>72</v>
      </c>
      <c r="B76" s="14">
        <v>120642</v>
      </c>
      <c r="C76" s="8">
        <v>84</v>
      </c>
      <c r="D76" s="14" t="s">
        <v>171</v>
      </c>
      <c r="E76" s="15" t="s">
        <v>968</v>
      </c>
      <c r="F76" s="16" t="s">
        <v>331</v>
      </c>
      <c r="G76" s="108" t="s">
        <v>332</v>
      </c>
      <c r="H76" s="14" t="s">
        <v>333</v>
      </c>
      <c r="I76" s="14" t="s">
        <v>185</v>
      </c>
      <c r="J76" s="80" t="s">
        <v>514</v>
      </c>
      <c r="K76" s="20">
        <v>43175</v>
      </c>
      <c r="L76" s="32">
        <v>43662</v>
      </c>
      <c r="M76" s="21">
        <f t="shared" ref="M76:M80" si="100">S76/AE76*100</f>
        <v>84.999998716744599</v>
      </c>
      <c r="N76" s="14">
        <v>2</v>
      </c>
      <c r="O76" s="14" t="s">
        <v>334</v>
      </c>
      <c r="P76" s="14" t="s">
        <v>335</v>
      </c>
      <c r="Q76" s="22" t="s">
        <v>212</v>
      </c>
      <c r="R76" s="14" t="s">
        <v>36</v>
      </c>
      <c r="S76" s="25">
        <f>T76+U76</f>
        <v>264951.15000000002</v>
      </c>
      <c r="T76" s="23">
        <v>264951.15000000002</v>
      </c>
      <c r="U76" s="23">
        <v>0</v>
      </c>
      <c r="V76" s="25">
        <f t="shared" si="59"/>
        <v>40521.949999999997</v>
      </c>
      <c r="W76" s="23">
        <v>40521.949999999997</v>
      </c>
      <c r="X76" s="23">
        <v>0</v>
      </c>
      <c r="Y76" s="25">
        <f>Z76+AA76</f>
        <v>6234.14</v>
      </c>
      <c r="Z76" s="23">
        <v>6234.14</v>
      </c>
      <c r="AA76" s="23">
        <v>0</v>
      </c>
      <c r="AB76" s="23">
        <f t="shared" si="60"/>
        <v>0</v>
      </c>
      <c r="AC76" s="23">
        <v>0</v>
      </c>
      <c r="AD76" s="23">
        <v>0</v>
      </c>
      <c r="AE76" s="23">
        <f>S76+V76+Y76+AB76</f>
        <v>311707.24000000005</v>
      </c>
      <c r="AF76" s="23">
        <v>0</v>
      </c>
      <c r="AG76" s="26">
        <f t="shared" si="97"/>
        <v>311707.24000000005</v>
      </c>
      <c r="AH76" s="27" t="s">
        <v>585</v>
      </c>
      <c r="AI76" s="28" t="s">
        <v>185</v>
      </c>
      <c r="AJ76" s="1">
        <f>27532.48+85262.91</f>
        <v>112795.39</v>
      </c>
      <c r="AK76" s="29">
        <f>4210.85+13040.2</f>
        <v>17251.050000000003</v>
      </c>
    </row>
    <row r="77" spans="1:37" ht="220.5" x14ac:dyDescent="0.25">
      <c r="A77" s="12">
        <v>73</v>
      </c>
      <c r="B77" s="13">
        <v>116521</v>
      </c>
      <c r="C77" s="18">
        <v>405</v>
      </c>
      <c r="D77" s="14" t="s">
        <v>843</v>
      </c>
      <c r="E77" s="15" t="s">
        <v>704</v>
      </c>
      <c r="F77" s="17" t="s">
        <v>610</v>
      </c>
      <c r="G77" s="17" t="s">
        <v>810</v>
      </c>
      <c r="H77" s="17" t="s">
        <v>653</v>
      </c>
      <c r="I77" s="14" t="s">
        <v>185</v>
      </c>
      <c r="J77" s="17" t="s">
        <v>811</v>
      </c>
      <c r="K77" s="20">
        <v>43304</v>
      </c>
      <c r="L77" s="32">
        <v>43792</v>
      </c>
      <c r="M77" s="21">
        <f t="shared" si="100"/>
        <v>85.000001706742694</v>
      </c>
      <c r="N77" s="14">
        <v>2</v>
      </c>
      <c r="O77" s="14" t="s">
        <v>334</v>
      </c>
      <c r="P77" s="14" t="s">
        <v>334</v>
      </c>
      <c r="Q77" s="14" t="s">
        <v>212</v>
      </c>
      <c r="R77" s="14" t="s">
        <v>36</v>
      </c>
      <c r="S77" s="25">
        <f t="shared" ref="S77" si="101">T77+U77</f>
        <v>249012.35</v>
      </c>
      <c r="T77" s="29">
        <v>249012.35</v>
      </c>
      <c r="U77" s="29">
        <v>0</v>
      </c>
      <c r="V77" s="25">
        <f t="shared" si="59"/>
        <v>38084.239999999998</v>
      </c>
      <c r="W77" s="29">
        <v>38084.239999999998</v>
      </c>
      <c r="X77" s="29">
        <v>0</v>
      </c>
      <c r="Y77" s="29">
        <f>Z77+AA77</f>
        <v>5859.11</v>
      </c>
      <c r="Z77" s="29">
        <v>5859.11</v>
      </c>
      <c r="AA77" s="29">
        <v>0</v>
      </c>
      <c r="AB77" s="23">
        <f t="shared" si="60"/>
        <v>0</v>
      </c>
      <c r="AC77" s="29">
        <v>0</v>
      </c>
      <c r="AD77" s="29">
        <v>0</v>
      </c>
      <c r="AE77" s="23">
        <f t="shared" ref="AE77" si="102">S77+V77+Y77+AB77</f>
        <v>292955.7</v>
      </c>
      <c r="AF77" s="99">
        <v>0</v>
      </c>
      <c r="AG77" s="26">
        <f t="shared" si="97"/>
        <v>292955.7</v>
      </c>
      <c r="AH77" s="27" t="s">
        <v>585</v>
      </c>
      <c r="AI77" s="99"/>
      <c r="AJ77" s="54">
        <f>32343.8+5296.22+6433.86+7045.82</f>
        <v>51119.7</v>
      </c>
      <c r="AK77" s="54">
        <f>4946.7+810.01+983.99+1077.59</f>
        <v>7818.29</v>
      </c>
    </row>
    <row r="78" spans="1:37" ht="315" x14ac:dyDescent="0.25">
      <c r="A78" s="14">
        <v>74</v>
      </c>
      <c r="B78" s="13">
        <v>126409</v>
      </c>
      <c r="C78" s="18">
        <v>551</v>
      </c>
      <c r="D78" s="14" t="s">
        <v>174</v>
      </c>
      <c r="E78" s="15" t="s">
        <v>968</v>
      </c>
      <c r="F78" s="17" t="s">
        <v>1135</v>
      </c>
      <c r="G78" s="17" t="s">
        <v>1162</v>
      </c>
      <c r="H78" s="17" t="s">
        <v>653</v>
      </c>
      <c r="I78" s="14" t="s">
        <v>185</v>
      </c>
      <c r="J78" s="17" t="s">
        <v>1163</v>
      </c>
      <c r="K78" s="20">
        <v>43439</v>
      </c>
      <c r="L78" s="32">
        <v>44321</v>
      </c>
      <c r="M78" s="21">
        <f>S78/AE78*100</f>
        <v>85.000000331630361</v>
      </c>
      <c r="N78" s="14">
        <v>2</v>
      </c>
      <c r="O78" s="14" t="s">
        <v>334</v>
      </c>
      <c r="P78" s="14" t="s">
        <v>334</v>
      </c>
      <c r="Q78" s="14" t="s">
        <v>212</v>
      </c>
      <c r="R78" s="14" t="s">
        <v>36</v>
      </c>
      <c r="S78" s="25">
        <f>T78+U78</f>
        <v>3075713.52</v>
      </c>
      <c r="T78" s="29">
        <v>3075713.52</v>
      </c>
      <c r="U78" s="29">
        <v>0</v>
      </c>
      <c r="V78" s="25">
        <f>W78+X78</f>
        <v>470403.23</v>
      </c>
      <c r="W78" s="29">
        <v>470403.23</v>
      </c>
      <c r="X78" s="29">
        <v>0</v>
      </c>
      <c r="Y78" s="29">
        <f>Z78+AA78</f>
        <v>72369.73000000001</v>
      </c>
      <c r="Z78" s="29">
        <v>72369.73000000001</v>
      </c>
      <c r="AA78" s="29">
        <v>0</v>
      </c>
      <c r="AB78" s="23">
        <f>AC78+AD78</f>
        <v>0</v>
      </c>
      <c r="AC78" s="29">
        <v>0</v>
      </c>
      <c r="AD78" s="29">
        <v>0</v>
      </c>
      <c r="AE78" s="23">
        <f>S78+V78+Y78+AB78</f>
        <v>3618486.48</v>
      </c>
      <c r="AF78" s="99">
        <v>0</v>
      </c>
      <c r="AG78" s="26">
        <f t="shared" si="97"/>
        <v>3618486.48</v>
      </c>
      <c r="AH78" s="27" t="s">
        <v>585</v>
      </c>
      <c r="AI78" s="99"/>
      <c r="AJ78" s="54">
        <v>8011.13</v>
      </c>
      <c r="AK78" s="54">
        <v>1225.23</v>
      </c>
    </row>
    <row r="79" spans="1:37" ht="141.75" x14ac:dyDescent="0.25">
      <c r="A79" s="12">
        <v>75</v>
      </c>
      <c r="B79" s="13">
        <v>125754</v>
      </c>
      <c r="C79" s="18">
        <v>531</v>
      </c>
      <c r="D79" s="14" t="s">
        <v>1074</v>
      </c>
      <c r="E79" s="15" t="s">
        <v>968</v>
      </c>
      <c r="F79" s="17" t="s">
        <v>1135</v>
      </c>
      <c r="G79" s="17" t="s">
        <v>1339</v>
      </c>
      <c r="H79" s="17" t="s">
        <v>1499</v>
      </c>
      <c r="I79" s="14" t="s">
        <v>185</v>
      </c>
      <c r="J79" s="17" t="s">
        <v>1340</v>
      </c>
      <c r="K79" s="20">
        <v>43550</v>
      </c>
      <c r="L79" s="32">
        <v>44465</v>
      </c>
      <c r="M79" s="21">
        <f t="shared" ref="M79" si="103">S79/AE79*100</f>
        <v>85</v>
      </c>
      <c r="N79" s="14">
        <v>2</v>
      </c>
      <c r="O79" s="14" t="s">
        <v>334</v>
      </c>
      <c r="P79" s="14" t="s">
        <v>334</v>
      </c>
      <c r="Q79" s="14" t="s">
        <v>212</v>
      </c>
      <c r="R79" s="14" t="s">
        <v>36</v>
      </c>
      <c r="S79" s="25">
        <f t="shared" ref="S79" si="104">T79+U79</f>
        <v>1983050</v>
      </c>
      <c r="T79" s="29">
        <v>1983050</v>
      </c>
      <c r="U79" s="29">
        <v>0</v>
      </c>
      <c r="V79" s="25">
        <f t="shared" ref="V79" si="105">W79+X79</f>
        <v>303290</v>
      </c>
      <c r="W79" s="29">
        <v>303290</v>
      </c>
      <c r="X79" s="29">
        <v>0</v>
      </c>
      <c r="Y79" s="29">
        <f t="shared" ref="Y79" si="106">Z79+AA79</f>
        <v>46660</v>
      </c>
      <c r="Z79" s="29">
        <v>46660</v>
      </c>
      <c r="AA79" s="29">
        <v>0</v>
      </c>
      <c r="AB79" s="23">
        <f t="shared" ref="AB79" si="107">AC79+AD79</f>
        <v>0</v>
      </c>
      <c r="AC79" s="29">
        <v>0</v>
      </c>
      <c r="AD79" s="29">
        <v>0</v>
      </c>
      <c r="AE79" s="23">
        <f t="shared" ref="AE79" si="108">S79+V79+Y79+AB79</f>
        <v>2333000</v>
      </c>
      <c r="AF79" s="99">
        <v>0</v>
      </c>
      <c r="AG79" s="26">
        <f t="shared" si="97"/>
        <v>2333000</v>
      </c>
      <c r="AH79" s="27" t="s">
        <v>585</v>
      </c>
      <c r="AI79" s="99"/>
      <c r="AJ79" s="54">
        <v>0</v>
      </c>
      <c r="AK79" s="54">
        <v>0</v>
      </c>
    </row>
    <row r="80" spans="1:37" ht="236.25" x14ac:dyDescent="0.3">
      <c r="A80" s="12">
        <v>76</v>
      </c>
      <c r="B80" s="7">
        <v>126515</v>
      </c>
      <c r="C80" s="8">
        <v>547</v>
      </c>
      <c r="D80" s="9" t="s">
        <v>177</v>
      </c>
      <c r="E80" s="17" t="s">
        <v>968</v>
      </c>
      <c r="F80" s="17" t="s">
        <v>1135</v>
      </c>
      <c r="G80" s="111" t="s">
        <v>1279</v>
      </c>
      <c r="H80" s="41" t="s">
        <v>1280</v>
      </c>
      <c r="I80" s="9" t="s">
        <v>185</v>
      </c>
      <c r="J80" s="41" t="s">
        <v>1281</v>
      </c>
      <c r="K80" s="20">
        <v>43521</v>
      </c>
      <c r="L80" s="32">
        <v>44433</v>
      </c>
      <c r="M80" s="9">
        <f t="shared" si="100"/>
        <v>84.999999929518182</v>
      </c>
      <c r="N80" s="14">
        <v>7</v>
      </c>
      <c r="O80" s="14" t="s">
        <v>1282</v>
      </c>
      <c r="P80" s="14" t="s">
        <v>1283</v>
      </c>
      <c r="Q80" s="14" t="s">
        <v>212</v>
      </c>
      <c r="R80" s="14" t="s">
        <v>36</v>
      </c>
      <c r="S80" s="25">
        <f t="shared" ref="S80" si="109">T80+U80</f>
        <v>2411970.2999999998</v>
      </c>
      <c r="T80" s="57">
        <v>2411970.2999999998</v>
      </c>
      <c r="U80" s="29">
        <v>0</v>
      </c>
      <c r="V80" s="25">
        <f t="shared" si="59"/>
        <v>368889.58</v>
      </c>
      <c r="W80" s="57">
        <v>368889.58</v>
      </c>
      <c r="X80" s="29">
        <v>0</v>
      </c>
      <c r="Y80" s="29">
        <f>Z80+AA80</f>
        <v>56752.24</v>
      </c>
      <c r="Z80" s="57">
        <v>56752.24</v>
      </c>
      <c r="AA80" s="57">
        <v>0</v>
      </c>
      <c r="AB80" s="61">
        <f t="shared" si="60"/>
        <v>0</v>
      </c>
      <c r="AC80" s="57">
        <v>0</v>
      </c>
      <c r="AD80" s="57">
        <v>0</v>
      </c>
      <c r="AE80" s="23">
        <f t="shared" ref="AE80" si="110">S80+V80+Y80+AB80</f>
        <v>2837612.12</v>
      </c>
      <c r="AF80" s="57">
        <v>72392.72</v>
      </c>
      <c r="AG80" s="26">
        <f t="shared" si="97"/>
        <v>2910004.8400000003</v>
      </c>
      <c r="AH80" s="27" t="s">
        <v>585</v>
      </c>
      <c r="AI80" s="99"/>
      <c r="AJ80" s="54">
        <v>0</v>
      </c>
      <c r="AK80" s="54">
        <v>0</v>
      </c>
    </row>
    <row r="81" spans="1:37" s="66" customFormat="1" ht="346.5" x14ac:dyDescent="0.25">
      <c r="A81" s="14">
        <v>77</v>
      </c>
      <c r="B81" s="13">
        <v>120631</v>
      </c>
      <c r="C81" s="8">
        <v>81</v>
      </c>
      <c r="D81" s="8" t="s">
        <v>171</v>
      </c>
      <c r="E81" s="15" t="s">
        <v>968</v>
      </c>
      <c r="F81" s="16" t="s">
        <v>331</v>
      </c>
      <c r="G81" s="62" t="s">
        <v>227</v>
      </c>
      <c r="H81" s="22" t="s">
        <v>228</v>
      </c>
      <c r="I81" s="18" t="s">
        <v>185</v>
      </c>
      <c r="J81" s="15" t="s">
        <v>229</v>
      </c>
      <c r="K81" s="20">
        <v>43129</v>
      </c>
      <c r="L81" s="32">
        <v>43614</v>
      </c>
      <c r="M81" s="21">
        <f t="shared" ref="M81:M82" si="111">S81/AE81*100</f>
        <v>84.999999195969949</v>
      </c>
      <c r="N81" s="18">
        <v>3</v>
      </c>
      <c r="O81" s="18" t="s">
        <v>230</v>
      </c>
      <c r="P81" s="18" t="s">
        <v>242</v>
      </c>
      <c r="Q81" s="22" t="s">
        <v>212</v>
      </c>
      <c r="R81" s="18" t="s">
        <v>36</v>
      </c>
      <c r="S81" s="23">
        <f t="shared" ref="S81:S82" si="112">T81+U81</f>
        <v>528587.19999999995</v>
      </c>
      <c r="T81" s="64">
        <v>528587.19999999995</v>
      </c>
      <c r="U81" s="29">
        <v>0</v>
      </c>
      <c r="V81" s="25">
        <f t="shared" si="59"/>
        <v>80842.75</v>
      </c>
      <c r="W81" s="64">
        <v>80842.75</v>
      </c>
      <c r="X81" s="29">
        <v>0</v>
      </c>
      <c r="Y81" s="23">
        <f t="shared" ref="Y81:Y82" si="113">Z81+AA81</f>
        <v>12437.35</v>
      </c>
      <c r="Z81" s="64">
        <v>12437.35</v>
      </c>
      <c r="AA81" s="26">
        <v>0</v>
      </c>
      <c r="AB81" s="23">
        <f t="shared" si="60"/>
        <v>0</v>
      </c>
      <c r="AC81" s="26"/>
      <c r="AD81" s="26"/>
      <c r="AE81" s="23">
        <f>S81+V81+Y81+AB81</f>
        <v>621867.29999999993</v>
      </c>
      <c r="AF81" s="26">
        <v>0</v>
      </c>
      <c r="AG81" s="26">
        <f t="shared" si="97"/>
        <v>621867.29999999993</v>
      </c>
      <c r="AH81" s="27" t="s">
        <v>1073</v>
      </c>
      <c r="AI81" s="53" t="s">
        <v>185</v>
      </c>
      <c r="AJ81" s="1">
        <f>26400.15+283575.59</f>
        <v>309975.74000000005</v>
      </c>
      <c r="AK81" s="49">
        <f>4037.67+43370.38</f>
        <v>47408.049999999996</v>
      </c>
    </row>
    <row r="82" spans="1:37" ht="409.5" x14ac:dyDescent="0.25">
      <c r="A82" s="12">
        <v>78</v>
      </c>
      <c r="B82" s="13">
        <v>118772</v>
      </c>
      <c r="C82" s="13">
        <v>441</v>
      </c>
      <c r="D82" s="13" t="s">
        <v>684</v>
      </c>
      <c r="E82" s="15" t="s">
        <v>704</v>
      </c>
      <c r="F82" s="15" t="s">
        <v>610</v>
      </c>
      <c r="G82" s="62" t="s">
        <v>873</v>
      </c>
      <c r="H82" s="22" t="s">
        <v>872</v>
      </c>
      <c r="I82" s="18" t="s">
        <v>185</v>
      </c>
      <c r="J82" s="15" t="s">
        <v>874</v>
      </c>
      <c r="K82" s="20">
        <v>43313</v>
      </c>
      <c r="L82" s="32">
        <v>43677</v>
      </c>
      <c r="M82" s="21">
        <f t="shared" si="111"/>
        <v>85</v>
      </c>
      <c r="N82" s="9">
        <v>3</v>
      </c>
      <c r="O82" s="18" t="s">
        <v>230</v>
      </c>
      <c r="P82" s="18" t="s">
        <v>875</v>
      </c>
      <c r="Q82" s="22" t="s">
        <v>212</v>
      </c>
      <c r="R82" s="18" t="s">
        <v>36</v>
      </c>
      <c r="S82" s="23">
        <f t="shared" si="112"/>
        <v>232055.1</v>
      </c>
      <c r="T82" s="29">
        <v>232055.1</v>
      </c>
      <c r="U82" s="29">
        <v>0</v>
      </c>
      <c r="V82" s="25">
        <f t="shared" si="59"/>
        <v>35490.78</v>
      </c>
      <c r="W82" s="29">
        <v>35490.78</v>
      </c>
      <c r="X82" s="29">
        <v>0</v>
      </c>
      <c r="Y82" s="23">
        <f t="shared" si="113"/>
        <v>5460.12</v>
      </c>
      <c r="Z82" s="29">
        <v>5460.12</v>
      </c>
      <c r="AA82" s="29">
        <v>0</v>
      </c>
      <c r="AB82" s="23">
        <f t="shared" si="60"/>
        <v>0</v>
      </c>
      <c r="AC82" s="29">
        <v>0</v>
      </c>
      <c r="AD82" s="29">
        <v>0</v>
      </c>
      <c r="AE82" s="23">
        <f t="shared" ref="AE82" si="114">S82+V82+Y82+AB82</f>
        <v>273006</v>
      </c>
      <c r="AF82" s="34">
        <v>0</v>
      </c>
      <c r="AG82" s="26">
        <f t="shared" si="97"/>
        <v>273006</v>
      </c>
      <c r="AH82" s="27" t="s">
        <v>585</v>
      </c>
      <c r="AI82" s="53" t="s">
        <v>185</v>
      </c>
      <c r="AJ82" s="38">
        <f>27300.6+41576.52+27300.6</f>
        <v>96177.72</v>
      </c>
      <c r="AK82" s="1">
        <v>10534.15</v>
      </c>
    </row>
    <row r="83" spans="1:37" s="114" customFormat="1" ht="315" x14ac:dyDescent="0.25">
      <c r="A83" s="12">
        <v>79</v>
      </c>
      <c r="B83" s="13">
        <v>120693</v>
      </c>
      <c r="C83" s="8">
        <v>114</v>
      </c>
      <c r="D83" s="18" t="s">
        <v>168</v>
      </c>
      <c r="E83" s="15" t="s">
        <v>968</v>
      </c>
      <c r="F83" s="16" t="s">
        <v>331</v>
      </c>
      <c r="G83" s="75" t="s">
        <v>249</v>
      </c>
      <c r="H83" s="15" t="s">
        <v>250</v>
      </c>
      <c r="I83" s="18" t="s">
        <v>185</v>
      </c>
      <c r="J83" s="112" t="s">
        <v>251</v>
      </c>
      <c r="K83" s="20">
        <v>43145</v>
      </c>
      <c r="L83" s="32">
        <v>43630</v>
      </c>
      <c r="M83" s="45">
        <f t="shared" ref="M83" si="115">S83/AE83*100</f>
        <v>85.000000594539443</v>
      </c>
      <c r="N83" s="18">
        <v>4</v>
      </c>
      <c r="O83" s="18" t="s">
        <v>263</v>
      </c>
      <c r="P83" s="18" t="s">
        <v>252</v>
      </c>
      <c r="Q83" s="22" t="s">
        <v>212</v>
      </c>
      <c r="R83" s="18" t="s">
        <v>36</v>
      </c>
      <c r="S83" s="26">
        <f t="shared" ref="S83:S87" si="116">T83+U83</f>
        <v>357419.52000000002</v>
      </c>
      <c r="T83" s="23">
        <v>357419.52000000002</v>
      </c>
      <c r="U83" s="29">
        <v>0</v>
      </c>
      <c r="V83" s="25">
        <f t="shared" si="59"/>
        <v>54664.160000000003</v>
      </c>
      <c r="W83" s="64">
        <v>54664.160000000003</v>
      </c>
      <c r="X83" s="29">
        <v>0</v>
      </c>
      <c r="Y83" s="25">
        <f t="shared" ref="Y83:Y87" si="117">Z83+AA83</f>
        <v>8409.8700000000008</v>
      </c>
      <c r="Z83" s="64">
        <v>8409.8700000000008</v>
      </c>
      <c r="AA83" s="113">
        <v>0</v>
      </c>
      <c r="AB83" s="23">
        <f t="shared" si="60"/>
        <v>0</v>
      </c>
      <c r="AC83" s="26"/>
      <c r="AD83" s="26"/>
      <c r="AE83" s="26">
        <f>S83+V83+Y83+AB83</f>
        <v>420493.55000000005</v>
      </c>
      <c r="AF83" s="26">
        <v>0</v>
      </c>
      <c r="AG83" s="26">
        <f t="shared" si="97"/>
        <v>420493.55000000005</v>
      </c>
      <c r="AH83" s="27" t="s">
        <v>585</v>
      </c>
      <c r="AI83" s="53" t="s">
        <v>185</v>
      </c>
      <c r="AJ83" s="1">
        <f>23754.1+18458.09+169515.5</f>
        <v>211727.69</v>
      </c>
      <c r="AK83" s="29">
        <f>3632.98+2823.02+25925.91</f>
        <v>32381.91</v>
      </c>
    </row>
    <row r="84" spans="1:37" ht="173.25" customHeight="1" x14ac:dyDescent="0.25">
      <c r="A84" s="14">
        <v>80</v>
      </c>
      <c r="B84" s="9">
        <v>119288</v>
      </c>
      <c r="C84" s="8">
        <v>487</v>
      </c>
      <c r="D84" s="9" t="s">
        <v>175</v>
      </c>
      <c r="E84" s="18" t="s">
        <v>1041</v>
      </c>
      <c r="F84" s="18" t="s">
        <v>542</v>
      </c>
      <c r="G84" s="115" t="s">
        <v>644</v>
      </c>
      <c r="H84" s="15" t="s">
        <v>643</v>
      </c>
      <c r="I84" s="9" t="s">
        <v>185</v>
      </c>
      <c r="J84" s="41" t="s">
        <v>645</v>
      </c>
      <c r="K84" s="20">
        <v>43272</v>
      </c>
      <c r="L84" s="32">
        <v>43667</v>
      </c>
      <c r="M84" s="45">
        <f t="shared" ref="M84:M89" si="118">S84/AE84*100</f>
        <v>85</v>
      </c>
      <c r="N84" s="18">
        <v>4</v>
      </c>
      <c r="O84" s="18" t="s">
        <v>263</v>
      </c>
      <c r="P84" s="18" t="s">
        <v>421</v>
      </c>
      <c r="Q84" s="22" t="s">
        <v>212</v>
      </c>
      <c r="R84" s="18" t="s">
        <v>36</v>
      </c>
      <c r="S84" s="26">
        <f t="shared" si="116"/>
        <v>360400</v>
      </c>
      <c r="T84" s="29">
        <v>360400</v>
      </c>
      <c r="U84" s="29">
        <v>0</v>
      </c>
      <c r="V84" s="25">
        <f t="shared" si="59"/>
        <v>55120</v>
      </c>
      <c r="W84" s="23">
        <v>55120</v>
      </c>
      <c r="X84" s="13">
        <v>0</v>
      </c>
      <c r="Y84" s="25">
        <f t="shared" si="117"/>
        <v>8480</v>
      </c>
      <c r="Z84" s="42">
        <v>8480</v>
      </c>
      <c r="AA84" s="29">
        <v>0</v>
      </c>
      <c r="AB84" s="23">
        <f t="shared" si="60"/>
        <v>0</v>
      </c>
      <c r="AC84" s="42">
        <v>0</v>
      </c>
      <c r="AD84" s="42">
        <v>0</v>
      </c>
      <c r="AE84" s="26">
        <f t="shared" ref="AE84:AE87" si="119">S84+V84+Y84+AB84</f>
        <v>424000</v>
      </c>
      <c r="AF84" s="34"/>
      <c r="AG84" s="26">
        <f t="shared" si="97"/>
        <v>424000</v>
      </c>
      <c r="AH84" s="27" t="s">
        <v>585</v>
      </c>
      <c r="AI84" s="53" t="s">
        <v>1402</v>
      </c>
      <c r="AJ84" s="1">
        <f>37115.76+50985.81+52794.78</f>
        <v>140896.35</v>
      </c>
      <c r="AK84" s="29">
        <f>5676.53+7797.82+8074.49</f>
        <v>21548.839999999997</v>
      </c>
    </row>
    <row r="85" spans="1:37" s="120" customFormat="1" ht="409.5" x14ac:dyDescent="0.25">
      <c r="A85" s="12">
        <v>81</v>
      </c>
      <c r="B85" s="116">
        <v>118780</v>
      </c>
      <c r="C85" s="117">
        <v>443</v>
      </c>
      <c r="D85" s="117" t="s">
        <v>175</v>
      </c>
      <c r="E85" s="118" t="s">
        <v>704</v>
      </c>
      <c r="F85" s="118" t="s">
        <v>610</v>
      </c>
      <c r="G85" s="119" t="s">
        <v>855</v>
      </c>
      <c r="H85" s="118" t="s">
        <v>250</v>
      </c>
      <c r="I85" s="18" t="s">
        <v>856</v>
      </c>
      <c r="J85" s="15" t="s">
        <v>857</v>
      </c>
      <c r="K85" s="32">
        <v>43312</v>
      </c>
      <c r="L85" s="32">
        <v>43677</v>
      </c>
      <c r="M85" s="45">
        <f t="shared" si="118"/>
        <v>84.150233941460755</v>
      </c>
      <c r="N85" s="18">
        <v>4</v>
      </c>
      <c r="O85" s="18" t="s">
        <v>599</v>
      </c>
      <c r="P85" s="18" t="s">
        <v>858</v>
      </c>
      <c r="Q85" s="22" t="s">
        <v>212</v>
      </c>
      <c r="R85" s="18" t="s">
        <v>36</v>
      </c>
      <c r="S85" s="26">
        <f t="shared" si="116"/>
        <v>230233.66</v>
      </c>
      <c r="T85" s="1">
        <v>230233.66</v>
      </c>
      <c r="U85" s="1">
        <v>0</v>
      </c>
      <c r="V85" s="25">
        <f t="shared" si="59"/>
        <v>37892.730000000003</v>
      </c>
      <c r="W85" s="1">
        <v>37892.730000000003</v>
      </c>
      <c r="X85" s="1">
        <v>0</v>
      </c>
      <c r="Y85" s="25">
        <f t="shared" si="117"/>
        <v>2736.73</v>
      </c>
      <c r="Z85" s="1">
        <v>2736.73</v>
      </c>
      <c r="AA85" s="1">
        <v>0</v>
      </c>
      <c r="AB85" s="23">
        <f t="shared" si="60"/>
        <v>2735.24</v>
      </c>
      <c r="AC85" s="1">
        <v>2735.24</v>
      </c>
      <c r="AD85" s="46">
        <v>0</v>
      </c>
      <c r="AE85" s="26">
        <f t="shared" si="119"/>
        <v>273598.36</v>
      </c>
      <c r="AF85" s="27">
        <v>0</v>
      </c>
      <c r="AG85" s="26">
        <f t="shared" si="97"/>
        <v>273598.36</v>
      </c>
      <c r="AH85" s="27" t="s">
        <v>585</v>
      </c>
      <c r="AI85" s="53" t="s">
        <v>185</v>
      </c>
      <c r="AJ85" s="38">
        <f>20000+13556.78+14548.44+16155.2+43317.01</f>
        <v>107577.43</v>
      </c>
      <c r="AK85" s="1">
        <f>5449.34+2345.17+2850.92+7319.42</f>
        <v>17964.849999999999</v>
      </c>
    </row>
    <row r="86" spans="1:37" ht="409.5" x14ac:dyDescent="0.25">
      <c r="A86" s="12">
        <v>82</v>
      </c>
      <c r="B86" s="35">
        <v>119830</v>
      </c>
      <c r="C86" s="18">
        <v>474</v>
      </c>
      <c r="D86" s="18" t="s">
        <v>172</v>
      </c>
      <c r="E86" s="18" t="s">
        <v>1041</v>
      </c>
      <c r="F86" s="18" t="s">
        <v>542</v>
      </c>
      <c r="G86" s="121" t="s">
        <v>923</v>
      </c>
      <c r="H86" s="18" t="s">
        <v>924</v>
      </c>
      <c r="I86" s="9" t="s">
        <v>185</v>
      </c>
      <c r="J86" s="15" t="s">
        <v>925</v>
      </c>
      <c r="K86" s="20">
        <v>43322</v>
      </c>
      <c r="L86" s="32">
        <v>43779</v>
      </c>
      <c r="M86" s="45">
        <f t="shared" si="118"/>
        <v>84.999997553055863</v>
      </c>
      <c r="N86" s="18">
        <v>4</v>
      </c>
      <c r="O86" s="18" t="s">
        <v>599</v>
      </c>
      <c r="P86" s="18" t="s">
        <v>926</v>
      </c>
      <c r="Q86" s="22" t="s">
        <v>212</v>
      </c>
      <c r="R86" s="18" t="s">
        <v>36</v>
      </c>
      <c r="S86" s="26">
        <f t="shared" si="116"/>
        <v>347372.04</v>
      </c>
      <c r="T86" s="1">
        <v>347372.04</v>
      </c>
      <c r="U86" s="1">
        <v>0</v>
      </c>
      <c r="V86" s="25">
        <f t="shared" si="59"/>
        <v>53127.519999999997</v>
      </c>
      <c r="W86" s="46">
        <v>53127.519999999997</v>
      </c>
      <c r="X86" s="46">
        <v>0</v>
      </c>
      <c r="Y86" s="25">
        <f t="shared" si="117"/>
        <v>8173.4400000000005</v>
      </c>
      <c r="Z86" s="1">
        <v>8173.4400000000005</v>
      </c>
      <c r="AA86" s="1">
        <v>0</v>
      </c>
      <c r="AB86" s="26">
        <f t="shared" si="60"/>
        <v>0</v>
      </c>
      <c r="AC86" s="122">
        <v>0</v>
      </c>
      <c r="AD86" s="122">
        <v>0</v>
      </c>
      <c r="AE86" s="26">
        <f>S86+V86+Y86+AB86</f>
        <v>408673</v>
      </c>
      <c r="AF86" s="26">
        <v>0</v>
      </c>
      <c r="AG86" s="26">
        <f t="shared" si="97"/>
        <v>408673</v>
      </c>
      <c r="AH86" s="99" t="s">
        <v>585</v>
      </c>
      <c r="AI86" s="53" t="s">
        <v>1080</v>
      </c>
      <c r="AJ86" s="38">
        <f>35636.51+21048.64</f>
        <v>56685.15</v>
      </c>
      <c r="AK86" s="29">
        <v>2750.67</v>
      </c>
    </row>
    <row r="87" spans="1:37" ht="163.5" customHeight="1" x14ac:dyDescent="0.25">
      <c r="A87" s="14">
        <v>83</v>
      </c>
      <c r="B87" s="35">
        <v>118793</v>
      </c>
      <c r="C87" s="18">
        <v>446</v>
      </c>
      <c r="D87" s="35" t="s">
        <v>1074</v>
      </c>
      <c r="E87" s="15" t="s">
        <v>704</v>
      </c>
      <c r="F87" s="18" t="s">
        <v>610</v>
      </c>
      <c r="G87" s="15" t="s">
        <v>927</v>
      </c>
      <c r="H87" s="18" t="s">
        <v>924</v>
      </c>
      <c r="I87" s="9"/>
      <c r="J87" s="39" t="s">
        <v>928</v>
      </c>
      <c r="K87" s="20">
        <v>43322</v>
      </c>
      <c r="L87" s="32">
        <v>43687</v>
      </c>
      <c r="M87" s="45">
        <f t="shared" si="118"/>
        <v>85.000000000000014</v>
      </c>
      <c r="N87" s="18">
        <v>4</v>
      </c>
      <c r="O87" s="18" t="s">
        <v>599</v>
      </c>
      <c r="P87" s="18" t="s">
        <v>926</v>
      </c>
      <c r="Q87" s="18" t="s">
        <v>212</v>
      </c>
      <c r="R87" s="18" t="s">
        <v>36</v>
      </c>
      <c r="S87" s="26">
        <f t="shared" si="116"/>
        <v>239897.2</v>
      </c>
      <c r="T87" s="123">
        <v>239897.2</v>
      </c>
      <c r="U87" s="46">
        <v>0</v>
      </c>
      <c r="V87" s="25">
        <f t="shared" si="59"/>
        <v>36690.160000000003</v>
      </c>
      <c r="W87" s="46">
        <v>36690.160000000003</v>
      </c>
      <c r="X87" s="46">
        <v>0</v>
      </c>
      <c r="Y87" s="25">
        <f t="shared" si="117"/>
        <v>5644.6399999999994</v>
      </c>
      <c r="Z87" s="1">
        <v>5644.6399999999994</v>
      </c>
      <c r="AA87" s="1">
        <v>0</v>
      </c>
      <c r="AB87" s="26">
        <f t="shared" si="60"/>
        <v>0</v>
      </c>
      <c r="AC87" s="46"/>
      <c r="AD87" s="46"/>
      <c r="AE87" s="26">
        <f t="shared" si="119"/>
        <v>282232</v>
      </c>
      <c r="AF87" s="27"/>
      <c r="AG87" s="26">
        <f t="shared" si="97"/>
        <v>282232</v>
      </c>
      <c r="AH87" s="27" t="s">
        <v>871</v>
      </c>
      <c r="AI87" s="34"/>
      <c r="AJ87" s="38">
        <f>28223.2-2998.75+22606.01+22326.95-3666.19+27637.47-3510+26460</f>
        <v>117078.69</v>
      </c>
      <c r="AK87" s="1">
        <f>2998.75+3414.71+3666.19+3510</f>
        <v>13589.65</v>
      </c>
    </row>
    <row r="88" spans="1:37" s="131" customFormat="1" ht="178.5" customHeight="1" x14ac:dyDescent="0.25">
      <c r="A88" s="12">
        <v>84</v>
      </c>
      <c r="B88" s="124">
        <v>126292</v>
      </c>
      <c r="C88" s="125">
        <v>514</v>
      </c>
      <c r="D88" s="126" t="s">
        <v>177</v>
      </c>
      <c r="E88" s="127" t="s">
        <v>968</v>
      </c>
      <c r="F88" s="96" t="s">
        <v>1135</v>
      </c>
      <c r="G88" s="128" t="s">
        <v>1155</v>
      </c>
      <c r="H88" s="96" t="s">
        <v>1156</v>
      </c>
      <c r="I88" s="129" t="s">
        <v>185</v>
      </c>
      <c r="J88" s="130" t="s">
        <v>1157</v>
      </c>
      <c r="K88" s="20">
        <v>43439</v>
      </c>
      <c r="L88" s="32">
        <v>43926</v>
      </c>
      <c r="M88" s="45">
        <f t="shared" si="118"/>
        <v>84.999999635678833</v>
      </c>
      <c r="N88" s="125">
        <v>4</v>
      </c>
      <c r="O88" s="96" t="s">
        <v>599</v>
      </c>
      <c r="P88" s="96" t="s">
        <v>421</v>
      </c>
      <c r="Q88" s="96" t="s">
        <v>212</v>
      </c>
      <c r="R88" s="96" t="s">
        <v>1158</v>
      </c>
      <c r="S88" s="26">
        <f>T88+U88</f>
        <v>2333106.34</v>
      </c>
      <c r="T88" s="1">
        <v>2333106.34</v>
      </c>
      <c r="U88" s="1">
        <v>0</v>
      </c>
      <c r="V88" s="25">
        <f>W88+X88</f>
        <v>356828.04</v>
      </c>
      <c r="W88" s="1">
        <v>356828.04</v>
      </c>
      <c r="X88" s="1">
        <v>0</v>
      </c>
      <c r="Y88" s="25">
        <f>Z88+AA88</f>
        <v>54896.62</v>
      </c>
      <c r="Z88" s="1">
        <v>54896.62</v>
      </c>
      <c r="AA88" s="1">
        <v>0</v>
      </c>
      <c r="AB88" s="25">
        <v>0</v>
      </c>
      <c r="AC88" s="1">
        <v>0</v>
      </c>
      <c r="AD88" s="1">
        <v>0</v>
      </c>
      <c r="AE88" s="26">
        <f>S88+V88+Y88+AB88</f>
        <v>2744831</v>
      </c>
      <c r="AF88" s="1"/>
      <c r="AG88" s="26">
        <f t="shared" si="97"/>
        <v>2744831</v>
      </c>
      <c r="AH88" s="27" t="s">
        <v>871</v>
      </c>
      <c r="AI88" s="57"/>
      <c r="AJ88" s="38">
        <v>0</v>
      </c>
      <c r="AK88" s="1">
        <v>0</v>
      </c>
    </row>
    <row r="89" spans="1:37" s="135" customFormat="1" ht="187.5" customHeight="1" x14ac:dyDescent="0.25">
      <c r="A89" s="12">
        <v>85</v>
      </c>
      <c r="B89" s="124">
        <v>126320</v>
      </c>
      <c r="C89" s="125">
        <v>515</v>
      </c>
      <c r="D89" s="126" t="s">
        <v>176</v>
      </c>
      <c r="E89" s="96" t="s">
        <v>968</v>
      </c>
      <c r="F89" s="96" t="s">
        <v>1135</v>
      </c>
      <c r="G89" s="132" t="s">
        <v>1291</v>
      </c>
      <c r="H89" s="117" t="s">
        <v>250</v>
      </c>
      <c r="I89" s="129" t="s">
        <v>1294</v>
      </c>
      <c r="J89" s="127" t="s">
        <v>1293</v>
      </c>
      <c r="K89" s="20">
        <v>43531</v>
      </c>
      <c r="L89" s="32">
        <v>44446</v>
      </c>
      <c r="M89" s="45">
        <f t="shared" si="118"/>
        <v>84.263733041248912</v>
      </c>
      <c r="N89" s="125">
        <v>4</v>
      </c>
      <c r="O89" s="96" t="s">
        <v>599</v>
      </c>
      <c r="P89" s="96" t="s">
        <v>858</v>
      </c>
      <c r="Q89" s="96" t="s">
        <v>212</v>
      </c>
      <c r="R89" s="14" t="s">
        <v>36</v>
      </c>
      <c r="S89" s="133">
        <f t="shared" ref="S89" si="120">T89+U89</f>
        <v>2765436.54</v>
      </c>
      <c r="T89" s="96">
        <v>2765436.54</v>
      </c>
      <c r="U89" s="96">
        <v>0</v>
      </c>
      <c r="V89" s="134">
        <f t="shared" ref="V89" si="121">W89+X89</f>
        <v>450808.12</v>
      </c>
      <c r="W89" s="96">
        <v>450808.12</v>
      </c>
      <c r="X89" s="96">
        <v>0</v>
      </c>
      <c r="Y89" s="134">
        <f t="shared" ref="Y89" si="122">Z89+AA89</f>
        <v>28427.56</v>
      </c>
      <c r="Z89" s="96">
        <v>28427.56</v>
      </c>
      <c r="AA89" s="96">
        <v>0</v>
      </c>
      <c r="AB89" s="51">
        <f t="shared" ref="AB89" si="123">AC89+AD89</f>
        <v>37210.080000000002</v>
      </c>
      <c r="AC89" s="96">
        <v>37210.080000000002</v>
      </c>
      <c r="AD89" s="96">
        <v>0</v>
      </c>
      <c r="AE89" s="133">
        <f>S89+V89+Y89+AB89</f>
        <v>3281882.3000000003</v>
      </c>
      <c r="AF89" s="96">
        <v>0</v>
      </c>
      <c r="AG89" s="26">
        <f t="shared" si="97"/>
        <v>3281882.3000000003</v>
      </c>
      <c r="AH89" s="125"/>
      <c r="AI89" s="129"/>
      <c r="AJ89" s="38">
        <v>14000</v>
      </c>
      <c r="AK89" s="1">
        <v>0</v>
      </c>
    </row>
    <row r="90" spans="1:37" s="131" customFormat="1" ht="178.5" customHeight="1" x14ac:dyDescent="0.25">
      <c r="A90" s="14">
        <v>86</v>
      </c>
      <c r="B90" s="124">
        <v>128004</v>
      </c>
      <c r="C90" s="125">
        <v>635</v>
      </c>
      <c r="D90" s="126" t="s">
        <v>174</v>
      </c>
      <c r="E90" s="127" t="s">
        <v>968</v>
      </c>
      <c r="F90" s="103" t="s">
        <v>1417</v>
      </c>
      <c r="G90" s="128" t="s">
        <v>1440</v>
      </c>
      <c r="H90" s="96" t="s">
        <v>1439</v>
      </c>
      <c r="I90" s="129" t="s">
        <v>185</v>
      </c>
      <c r="J90" s="130" t="s">
        <v>1441</v>
      </c>
      <c r="K90" s="20">
        <v>43620</v>
      </c>
      <c r="L90" s="32">
        <v>44351</v>
      </c>
      <c r="M90" s="45">
        <f t="shared" ref="M90:M91" si="124">S90/AE90*100</f>
        <v>85</v>
      </c>
      <c r="N90" s="125">
        <v>4</v>
      </c>
      <c r="O90" s="96" t="s">
        <v>599</v>
      </c>
      <c r="P90" s="96" t="s">
        <v>421</v>
      </c>
      <c r="Q90" s="96" t="s">
        <v>212</v>
      </c>
      <c r="R90" s="96" t="s">
        <v>1158</v>
      </c>
      <c r="S90" s="26">
        <f>T90+U90</f>
        <v>1919118.95</v>
      </c>
      <c r="T90" s="1">
        <v>1919118.95</v>
      </c>
      <c r="U90" s="1">
        <v>0</v>
      </c>
      <c r="V90" s="25">
        <f>W90+X90</f>
        <v>293512.31</v>
      </c>
      <c r="W90" s="1">
        <v>293512.31</v>
      </c>
      <c r="X90" s="1">
        <v>0</v>
      </c>
      <c r="Y90" s="25">
        <f>Z90+AA90</f>
        <v>45155.74</v>
      </c>
      <c r="Z90" s="1">
        <v>45155.74</v>
      </c>
      <c r="AA90" s="1">
        <v>0</v>
      </c>
      <c r="AB90" s="25">
        <v>0</v>
      </c>
      <c r="AC90" s="1">
        <v>0</v>
      </c>
      <c r="AD90" s="1">
        <v>0</v>
      </c>
      <c r="AE90" s="26">
        <f>S90+V90+Y90+AB90</f>
        <v>2257787</v>
      </c>
      <c r="AF90" s="1">
        <v>0</v>
      </c>
      <c r="AG90" s="26">
        <f t="shared" si="97"/>
        <v>2257787</v>
      </c>
      <c r="AH90" s="27" t="s">
        <v>871</v>
      </c>
      <c r="AI90" s="57"/>
      <c r="AJ90" s="38">
        <v>0</v>
      </c>
      <c r="AK90" s="1">
        <v>0</v>
      </c>
    </row>
    <row r="91" spans="1:37" s="131" customFormat="1" ht="178.5" customHeight="1" x14ac:dyDescent="0.25">
      <c r="A91" s="12">
        <v>87</v>
      </c>
      <c r="B91" s="136">
        <v>126500</v>
      </c>
      <c r="C91" s="125">
        <v>501</v>
      </c>
      <c r="D91" s="126" t="s">
        <v>171</v>
      </c>
      <c r="E91" s="127" t="s">
        <v>968</v>
      </c>
      <c r="F91" s="103" t="s">
        <v>1268</v>
      </c>
      <c r="G91" s="137" t="s">
        <v>1454</v>
      </c>
      <c r="H91" s="96" t="s">
        <v>856</v>
      </c>
      <c r="I91" s="96" t="s">
        <v>293</v>
      </c>
      <c r="J91" s="130" t="s">
        <v>1455</v>
      </c>
      <c r="K91" s="20">
        <v>43626</v>
      </c>
      <c r="L91" s="32">
        <v>44357</v>
      </c>
      <c r="M91" s="45">
        <f t="shared" si="124"/>
        <v>83.560067781888534</v>
      </c>
      <c r="N91" s="125">
        <v>4</v>
      </c>
      <c r="O91" s="96" t="s">
        <v>599</v>
      </c>
      <c r="P91" s="96" t="s">
        <v>421</v>
      </c>
      <c r="Q91" s="96" t="s">
        <v>212</v>
      </c>
      <c r="R91" s="96" t="s">
        <v>1158</v>
      </c>
      <c r="S91" s="26">
        <f>T91+U91</f>
        <v>1824019.35</v>
      </c>
      <c r="T91" s="1">
        <v>1824019.35</v>
      </c>
      <c r="U91" s="1">
        <v>0</v>
      </c>
      <c r="V91" s="25">
        <f>W91+X91</f>
        <v>315206.96999999997</v>
      </c>
      <c r="W91" s="1">
        <v>315206.96999999997</v>
      </c>
      <c r="X91" s="1">
        <v>0</v>
      </c>
      <c r="Y91" s="25">
        <f>Z91+AA91</f>
        <v>6678.79</v>
      </c>
      <c r="Z91" s="1">
        <v>6678.79</v>
      </c>
      <c r="AA91" s="1">
        <v>0</v>
      </c>
      <c r="AB91" s="25">
        <f>AC91+AD91</f>
        <v>36978.89</v>
      </c>
      <c r="AC91" s="1">
        <v>36978.89</v>
      </c>
      <c r="AD91" s="1">
        <v>0</v>
      </c>
      <c r="AE91" s="26">
        <f>S91+V91+Y91+AB91</f>
        <v>2182884.0000000005</v>
      </c>
      <c r="AF91" s="1">
        <v>0</v>
      </c>
      <c r="AG91" s="26">
        <f t="shared" si="97"/>
        <v>2182884.0000000005</v>
      </c>
      <c r="AH91" s="27" t="s">
        <v>871</v>
      </c>
      <c r="AI91" s="57" t="s">
        <v>349</v>
      </c>
      <c r="AJ91" s="38">
        <v>0</v>
      </c>
      <c r="AK91" s="1">
        <v>0</v>
      </c>
    </row>
    <row r="92" spans="1:37" ht="409.5" x14ac:dyDescent="0.25">
      <c r="A92" s="12">
        <v>88</v>
      </c>
      <c r="B92" s="13">
        <v>120590</v>
      </c>
      <c r="C92" s="8">
        <v>69</v>
      </c>
      <c r="D92" s="14" t="s">
        <v>684</v>
      </c>
      <c r="E92" s="15" t="s">
        <v>968</v>
      </c>
      <c r="F92" s="16" t="s">
        <v>331</v>
      </c>
      <c r="G92" s="17" t="s">
        <v>213</v>
      </c>
      <c r="H92" s="17" t="s">
        <v>216</v>
      </c>
      <c r="I92" s="14" t="s">
        <v>185</v>
      </c>
      <c r="J92" s="48" t="s">
        <v>219</v>
      </c>
      <c r="K92" s="20">
        <v>43129</v>
      </c>
      <c r="L92" s="32">
        <v>43553</v>
      </c>
      <c r="M92" s="21">
        <f t="shared" ref="M92:M93" si="125">S92/AE92*100</f>
        <v>85</v>
      </c>
      <c r="N92" s="14">
        <v>2</v>
      </c>
      <c r="O92" s="14" t="s">
        <v>226</v>
      </c>
      <c r="P92" s="14" t="s">
        <v>224</v>
      </c>
      <c r="Q92" s="42" t="s">
        <v>212</v>
      </c>
      <c r="R92" s="14" t="s">
        <v>36</v>
      </c>
      <c r="S92" s="23">
        <f t="shared" ref="S92:S93" si="126">T92+U92</f>
        <v>312939.57</v>
      </c>
      <c r="T92" s="23">
        <v>312939.57</v>
      </c>
      <c r="U92" s="23">
        <v>0</v>
      </c>
      <c r="V92" s="25">
        <f t="shared" si="59"/>
        <v>47861.35</v>
      </c>
      <c r="W92" s="23">
        <v>47861.35</v>
      </c>
      <c r="X92" s="23">
        <v>0</v>
      </c>
      <c r="Y92" s="23">
        <f t="shared" ref="Y92:Y93" si="127">Z92+AA92</f>
        <v>7363.28</v>
      </c>
      <c r="Z92" s="23">
        <v>7363.28</v>
      </c>
      <c r="AA92" s="23">
        <v>0</v>
      </c>
      <c r="AB92" s="23">
        <f t="shared" si="60"/>
        <v>0</v>
      </c>
      <c r="AC92" s="23"/>
      <c r="AD92" s="23"/>
      <c r="AE92" s="23">
        <f>S92+V92+Y92+AB92</f>
        <v>368164.2</v>
      </c>
      <c r="AF92" s="23">
        <v>0</v>
      </c>
      <c r="AG92" s="26">
        <f t="shared" si="97"/>
        <v>368164.2</v>
      </c>
      <c r="AH92" s="27" t="s">
        <v>1073</v>
      </c>
      <c r="AI92" s="28" t="s">
        <v>185</v>
      </c>
      <c r="AJ92" s="1">
        <f>9308-1234.73+160612.06+49663.87+46769.73</f>
        <v>265118.93</v>
      </c>
      <c r="AK92" s="49">
        <f>1234.73+24564.19+7595.65+7153.01</f>
        <v>40547.58</v>
      </c>
    </row>
    <row r="93" spans="1:37" s="138" customFormat="1" ht="409.5" x14ac:dyDescent="0.25">
      <c r="A93" s="14">
        <v>89</v>
      </c>
      <c r="B93" s="35">
        <v>118013</v>
      </c>
      <c r="C93" s="18">
        <v>419</v>
      </c>
      <c r="D93" s="18"/>
      <c r="E93" s="15" t="s">
        <v>704</v>
      </c>
      <c r="F93" s="18" t="s">
        <v>610</v>
      </c>
      <c r="G93" s="15" t="s">
        <v>969</v>
      </c>
      <c r="H93" s="15" t="s">
        <v>970</v>
      </c>
      <c r="I93" s="18" t="s">
        <v>185</v>
      </c>
      <c r="J93" s="15" t="s">
        <v>971</v>
      </c>
      <c r="K93" s="32">
        <v>43336</v>
      </c>
      <c r="L93" s="32">
        <v>43762</v>
      </c>
      <c r="M93" s="45">
        <f t="shared" si="125"/>
        <v>84.999998597642829</v>
      </c>
      <c r="N93" s="18">
        <v>2</v>
      </c>
      <c r="O93" s="14" t="s">
        <v>226</v>
      </c>
      <c r="P93" s="14" t="s">
        <v>224</v>
      </c>
      <c r="Q93" s="42" t="s">
        <v>212</v>
      </c>
      <c r="R93" s="14" t="s">
        <v>36</v>
      </c>
      <c r="S93" s="26">
        <f t="shared" si="126"/>
        <v>242448.93</v>
      </c>
      <c r="T93" s="1">
        <v>242448.93</v>
      </c>
      <c r="U93" s="1">
        <v>0</v>
      </c>
      <c r="V93" s="25">
        <f t="shared" si="59"/>
        <v>37080.43</v>
      </c>
      <c r="W93" s="1">
        <v>37080.43</v>
      </c>
      <c r="X93" s="46">
        <v>0</v>
      </c>
      <c r="Y93" s="23">
        <f t="shared" si="127"/>
        <v>5704.68</v>
      </c>
      <c r="Z93" s="1">
        <v>5704.68</v>
      </c>
      <c r="AA93" s="1">
        <v>0</v>
      </c>
      <c r="AB93" s="26">
        <f t="shared" si="60"/>
        <v>0</v>
      </c>
      <c r="AC93" s="1">
        <v>0</v>
      </c>
      <c r="AD93" s="1">
        <v>0</v>
      </c>
      <c r="AE93" s="26">
        <f t="shared" ref="AE93:AE144" si="128">S93+V93+Y93+AB93</f>
        <v>285234.03999999998</v>
      </c>
      <c r="AF93" s="27">
        <v>0</v>
      </c>
      <c r="AG93" s="26">
        <f t="shared" si="97"/>
        <v>285234.03999999998</v>
      </c>
      <c r="AH93" s="27" t="s">
        <v>585</v>
      </c>
      <c r="AI93" s="28" t="s">
        <v>185</v>
      </c>
      <c r="AJ93" s="38">
        <v>15022.29</v>
      </c>
      <c r="AK93" s="1">
        <v>2297.52</v>
      </c>
    </row>
    <row r="94" spans="1:37" ht="315" x14ac:dyDescent="0.25">
      <c r="A94" s="12">
        <v>90</v>
      </c>
      <c r="B94" s="13">
        <v>126419</v>
      </c>
      <c r="C94" s="67">
        <v>561</v>
      </c>
      <c r="D94" s="13" t="s">
        <v>174</v>
      </c>
      <c r="E94" s="18" t="s">
        <v>968</v>
      </c>
      <c r="F94" s="16" t="s">
        <v>1135</v>
      </c>
      <c r="G94" s="15" t="s">
        <v>1140</v>
      </c>
      <c r="H94" s="30" t="s">
        <v>970</v>
      </c>
      <c r="I94" s="18" t="s">
        <v>185</v>
      </c>
      <c r="J94" s="19" t="s">
        <v>1141</v>
      </c>
      <c r="K94" s="32">
        <v>43432</v>
      </c>
      <c r="L94" s="32">
        <v>44283</v>
      </c>
      <c r="M94" s="21">
        <f t="shared" ref="M94:M96" si="129">S94/AE94*100</f>
        <v>85</v>
      </c>
      <c r="N94" s="13">
        <v>2</v>
      </c>
      <c r="O94" s="18" t="s">
        <v>226</v>
      </c>
      <c r="P94" s="14" t="s">
        <v>224</v>
      </c>
      <c r="Q94" s="92" t="s">
        <v>212</v>
      </c>
      <c r="R94" s="94" t="s">
        <v>36</v>
      </c>
      <c r="S94" s="95">
        <f t="shared" ref="S94:S96" si="130">T94+U94</f>
        <v>2627225.9</v>
      </c>
      <c r="T94" s="29">
        <v>2627225.9</v>
      </c>
      <c r="U94" s="29">
        <v>0</v>
      </c>
      <c r="V94" s="25">
        <f t="shared" ref="V94:V96" si="131">W94+X94</f>
        <v>401811.02</v>
      </c>
      <c r="W94" s="23">
        <v>401811.02</v>
      </c>
      <c r="X94" s="29">
        <v>0</v>
      </c>
      <c r="Y94" s="96">
        <f t="shared" ref="Y94:Y96" si="132">Z94+AA94</f>
        <v>61817.079999999994</v>
      </c>
      <c r="Z94" s="97">
        <v>61817.079999999994</v>
      </c>
      <c r="AA94" s="29">
        <v>0</v>
      </c>
      <c r="AB94" s="26">
        <f t="shared" si="60"/>
        <v>0</v>
      </c>
      <c r="AC94" s="29">
        <v>0</v>
      </c>
      <c r="AD94" s="29">
        <v>0</v>
      </c>
      <c r="AE94" s="23">
        <f>S94+V94+Y94+AB94</f>
        <v>3090854</v>
      </c>
      <c r="AF94" s="13">
        <v>0</v>
      </c>
      <c r="AG94" s="26">
        <f t="shared" si="97"/>
        <v>3090854</v>
      </c>
      <c r="AH94" s="13" t="s">
        <v>585</v>
      </c>
      <c r="AI94" s="34" t="s">
        <v>185</v>
      </c>
      <c r="AJ94" s="38">
        <v>0</v>
      </c>
      <c r="AK94" s="1">
        <v>0</v>
      </c>
    </row>
    <row r="95" spans="1:37" ht="299.25" x14ac:dyDescent="0.25">
      <c r="A95" s="12">
        <v>91</v>
      </c>
      <c r="B95" s="13">
        <v>125256</v>
      </c>
      <c r="C95" s="67">
        <v>562</v>
      </c>
      <c r="D95" s="13" t="s">
        <v>176</v>
      </c>
      <c r="E95" s="18" t="s">
        <v>968</v>
      </c>
      <c r="F95" s="16" t="s">
        <v>1135</v>
      </c>
      <c r="G95" s="15" t="s">
        <v>1171</v>
      </c>
      <c r="H95" s="17" t="s">
        <v>1172</v>
      </c>
      <c r="I95" s="18" t="s">
        <v>185</v>
      </c>
      <c r="J95" s="19" t="s">
        <v>1170</v>
      </c>
      <c r="K95" s="32">
        <v>43444</v>
      </c>
      <c r="L95" s="32">
        <v>43809</v>
      </c>
      <c r="M95" s="21">
        <f t="shared" si="129"/>
        <v>84.999999921204406</v>
      </c>
      <c r="N95" s="13">
        <v>2</v>
      </c>
      <c r="O95" s="18" t="s">
        <v>226</v>
      </c>
      <c r="P95" s="18" t="s">
        <v>226</v>
      </c>
      <c r="Q95" s="92" t="s">
        <v>212</v>
      </c>
      <c r="R95" s="94" t="s">
        <v>36</v>
      </c>
      <c r="S95" s="95">
        <f t="shared" si="130"/>
        <v>3236221.13</v>
      </c>
      <c r="T95" s="29">
        <v>3236221.13</v>
      </c>
      <c r="U95" s="29">
        <v>0</v>
      </c>
      <c r="V95" s="25">
        <f t="shared" si="131"/>
        <v>494951.47</v>
      </c>
      <c r="W95" s="23">
        <v>494951.47</v>
      </c>
      <c r="X95" s="29">
        <v>0</v>
      </c>
      <c r="Y95" s="96">
        <f t="shared" si="132"/>
        <v>76146.38</v>
      </c>
      <c r="Z95" s="97">
        <v>76146.38</v>
      </c>
      <c r="AA95" s="29">
        <v>0</v>
      </c>
      <c r="AB95" s="26">
        <f t="shared" si="60"/>
        <v>0</v>
      </c>
      <c r="AC95" s="29">
        <v>0</v>
      </c>
      <c r="AD95" s="29">
        <v>0</v>
      </c>
      <c r="AE95" s="23">
        <f t="shared" ref="AE95:AE96" si="133">S95+V95+Y95+AB95</f>
        <v>3807318.9799999995</v>
      </c>
      <c r="AF95" s="13">
        <v>630578.23</v>
      </c>
      <c r="AG95" s="26">
        <f t="shared" si="97"/>
        <v>4437897.209999999</v>
      </c>
      <c r="AH95" s="13" t="s">
        <v>871</v>
      </c>
      <c r="AI95" s="34"/>
      <c r="AJ95" s="38">
        <f>160000+39034.57</f>
        <v>199034.57</v>
      </c>
      <c r="AK95" s="1">
        <v>30440.58</v>
      </c>
    </row>
    <row r="96" spans="1:37" ht="409.5" x14ac:dyDescent="0.25">
      <c r="A96" s="14">
        <v>92</v>
      </c>
      <c r="B96" s="13">
        <v>126291</v>
      </c>
      <c r="C96" s="67">
        <v>535</v>
      </c>
      <c r="D96" s="13" t="s">
        <v>175</v>
      </c>
      <c r="E96" s="18" t="s">
        <v>968</v>
      </c>
      <c r="F96" s="16" t="s">
        <v>1135</v>
      </c>
      <c r="G96" s="15" t="s">
        <v>1242</v>
      </c>
      <c r="H96" s="30" t="s">
        <v>1243</v>
      </c>
      <c r="I96" s="18" t="s">
        <v>422</v>
      </c>
      <c r="J96" s="19" t="s">
        <v>1244</v>
      </c>
      <c r="K96" s="32">
        <v>43493</v>
      </c>
      <c r="L96" s="32">
        <v>44343</v>
      </c>
      <c r="M96" s="21">
        <f t="shared" si="129"/>
        <v>85</v>
      </c>
      <c r="N96" s="13">
        <v>2</v>
      </c>
      <c r="O96" s="18" t="s">
        <v>226</v>
      </c>
      <c r="P96" s="14" t="s">
        <v>226</v>
      </c>
      <c r="Q96" s="92" t="s">
        <v>212</v>
      </c>
      <c r="R96" s="94" t="s">
        <v>36</v>
      </c>
      <c r="S96" s="95">
        <f t="shared" si="130"/>
        <v>1421225.5</v>
      </c>
      <c r="T96" s="29">
        <v>1421225.5</v>
      </c>
      <c r="U96" s="29">
        <v>0</v>
      </c>
      <c r="V96" s="25">
        <f t="shared" si="131"/>
        <v>217363.9</v>
      </c>
      <c r="W96" s="23">
        <v>217363.9</v>
      </c>
      <c r="X96" s="13">
        <v>0</v>
      </c>
      <c r="Y96" s="96">
        <f t="shared" si="132"/>
        <v>33440.6</v>
      </c>
      <c r="Z96" s="97">
        <v>33440.6</v>
      </c>
      <c r="AA96" s="29">
        <v>0</v>
      </c>
      <c r="AB96" s="26">
        <f t="shared" si="60"/>
        <v>0</v>
      </c>
      <c r="AC96" s="18"/>
      <c r="AD96" s="29"/>
      <c r="AE96" s="23">
        <f t="shared" si="133"/>
        <v>1672030</v>
      </c>
      <c r="AF96" s="13"/>
      <c r="AG96" s="26">
        <f t="shared" si="97"/>
        <v>1672030</v>
      </c>
      <c r="AH96" s="13" t="s">
        <v>871</v>
      </c>
      <c r="AI96" s="34"/>
      <c r="AJ96" s="38">
        <v>61734</v>
      </c>
      <c r="AK96" s="1">
        <v>0</v>
      </c>
    </row>
    <row r="97" spans="1:37" ht="236.25" x14ac:dyDescent="0.25">
      <c r="A97" s="12">
        <v>93</v>
      </c>
      <c r="B97" s="14">
        <v>111029</v>
      </c>
      <c r="C97" s="8">
        <v>126</v>
      </c>
      <c r="D97" s="14" t="s">
        <v>172</v>
      </c>
      <c r="E97" s="15" t="s">
        <v>968</v>
      </c>
      <c r="F97" s="16" t="s">
        <v>331</v>
      </c>
      <c r="G97" s="71" t="s">
        <v>391</v>
      </c>
      <c r="H97" s="30" t="s">
        <v>392</v>
      </c>
      <c r="I97" s="18" t="s">
        <v>185</v>
      </c>
      <c r="J97" s="19" t="s">
        <v>393</v>
      </c>
      <c r="K97" s="20">
        <v>43208</v>
      </c>
      <c r="L97" s="32">
        <v>43695</v>
      </c>
      <c r="M97" s="21">
        <f t="shared" ref="M97" si="134">S97/AE97*100</f>
        <v>85.000001177275294</v>
      </c>
      <c r="N97" s="14">
        <v>3</v>
      </c>
      <c r="O97" s="14" t="s">
        <v>390</v>
      </c>
      <c r="P97" s="14" t="s">
        <v>390</v>
      </c>
      <c r="Q97" s="22" t="s">
        <v>212</v>
      </c>
      <c r="R97" s="14" t="s">
        <v>36</v>
      </c>
      <c r="S97" s="25">
        <f t="shared" ref="S97" si="135">T97+U97</f>
        <v>361003.08</v>
      </c>
      <c r="T97" s="23">
        <v>361003.08</v>
      </c>
      <c r="U97" s="23">
        <v>0</v>
      </c>
      <c r="V97" s="25">
        <f t="shared" si="59"/>
        <v>55212.23</v>
      </c>
      <c r="W97" s="23">
        <v>55212.23</v>
      </c>
      <c r="X97" s="23"/>
      <c r="Y97" s="25">
        <f>Z97+AA97</f>
        <v>8494.19</v>
      </c>
      <c r="Z97" s="23">
        <v>8494.19</v>
      </c>
      <c r="AA97" s="23">
        <v>0</v>
      </c>
      <c r="AB97" s="23">
        <f t="shared" si="60"/>
        <v>0</v>
      </c>
      <c r="AC97" s="23"/>
      <c r="AD97" s="23"/>
      <c r="AE97" s="23">
        <f t="shared" si="128"/>
        <v>424709.5</v>
      </c>
      <c r="AF97" s="23">
        <v>0</v>
      </c>
      <c r="AG97" s="26">
        <f t="shared" si="97"/>
        <v>424709.5</v>
      </c>
      <c r="AH97" s="27" t="s">
        <v>585</v>
      </c>
      <c r="AI97" s="28" t="s">
        <v>185</v>
      </c>
      <c r="AJ97" s="1">
        <f>42470.95-5481.19+41319.73-5371.57+40493.34+1354.85+42470.95</f>
        <v>157257.06</v>
      </c>
      <c r="AK97" s="29">
        <f>5481.19+5371.57+6702.77</f>
        <v>17555.53</v>
      </c>
    </row>
    <row r="98" spans="1:37" ht="204.75" x14ac:dyDescent="0.25">
      <c r="A98" s="12">
        <v>94</v>
      </c>
      <c r="B98" s="14">
        <v>116685</v>
      </c>
      <c r="C98" s="8">
        <v>407</v>
      </c>
      <c r="D98" s="14" t="s">
        <v>843</v>
      </c>
      <c r="E98" s="15" t="s">
        <v>704</v>
      </c>
      <c r="F98" s="16" t="s">
        <v>610</v>
      </c>
      <c r="G98" s="71" t="s">
        <v>796</v>
      </c>
      <c r="H98" s="30" t="s">
        <v>799</v>
      </c>
      <c r="I98" s="18" t="s">
        <v>797</v>
      </c>
      <c r="J98" s="19" t="s">
        <v>798</v>
      </c>
      <c r="K98" s="20">
        <v>43298</v>
      </c>
      <c r="L98" s="32">
        <v>43754</v>
      </c>
      <c r="M98" s="21">
        <f>S98/AE98*100</f>
        <v>84.519132769277391</v>
      </c>
      <c r="N98" s="14">
        <v>3</v>
      </c>
      <c r="O98" s="14" t="s">
        <v>390</v>
      </c>
      <c r="P98" s="14" t="s">
        <v>390</v>
      </c>
      <c r="Q98" s="22" t="s">
        <v>212</v>
      </c>
      <c r="R98" s="14" t="s">
        <v>36</v>
      </c>
      <c r="S98" s="25">
        <f>T98+U98</f>
        <v>335058.15000000002</v>
      </c>
      <c r="T98" s="23">
        <v>335058.15000000002</v>
      </c>
      <c r="U98" s="23">
        <v>0</v>
      </c>
      <c r="V98" s="25">
        <f>W98+X98</f>
        <v>53442.06</v>
      </c>
      <c r="W98" s="23">
        <v>53442.06</v>
      </c>
      <c r="X98" s="23">
        <v>0</v>
      </c>
      <c r="Y98" s="25">
        <f>Z98+AA98</f>
        <v>0</v>
      </c>
      <c r="Z98" s="23">
        <v>0</v>
      </c>
      <c r="AA98" s="23">
        <v>0</v>
      </c>
      <c r="AB98" s="23">
        <f>AC98+AD98</f>
        <v>7928.55</v>
      </c>
      <c r="AC98" s="23">
        <v>7928.55</v>
      </c>
      <c r="AD98" s="23">
        <v>0</v>
      </c>
      <c r="AE98" s="23">
        <f>S98+V98+Y98+AB98</f>
        <v>396428.76</v>
      </c>
      <c r="AF98" s="23">
        <v>0</v>
      </c>
      <c r="AG98" s="26">
        <f t="shared" si="97"/>
        <v>396428.76</v>
      </c>
      <c r="AH98" s="27" t="s">
        <v>585</v>
      </c>
      <c r="AI98" s="28" t="s">
        <v>1444</v>
      </c>
      <c r="AJ98" s="1">
        <f>39681.48+14195.1+26259.61+31194.01</f>
        <v>111330.2</v>
      </c>
      <c r="AK98" s="29">
        <f>7488.22+4204.9</f>
        <v>11693.119999999999</v>
      </c>
    </row>
    <row r="99" spans="1:37" ht="409.5" x14ac:dyDescent="0.25">
      <c r="A99" s="14">
        <v>95</v>
      </c>
      <c r="B99" s="14">
        <v>118751</v>
      </c>
      <c r="C99" s="8">
        <v>437</v>
      </c>
      <c r="D99" s="14" t="s">
        <v>843</v>
      </c>
      <c r="E99" s="15" t="s">
        <v>704</v>
      </c>
      <c r="F99" s="16" t="s">
        <v>610</v>
      </c>
      <c r="G99" s="71" t="s">
        <v>977</v>
      </c>
      <c r="H99" s="30" t="s">
        <v>392</v>
      </c>
      <c r="I99" s="18" t="s">
        <v>185</v>
      </c>
      <c r="J99" s="19" t="s">
        <v>1082</v>
      </c>
      <c r="K99" s="20">
        <v>43340</v>
      </c>
      <c r="L99" s="32">
        <v>43644</v>
      </c>
      <c r="M99" s="21">
        <f t="shared" ref="M99:M100" si="136">S99/AE99*100</f>
        <v>85.000001668371198</v>
      </c>
      <c r="N99" s="14">
        <v>3</v>
      </c>
      <c r="O99" s="14" t="s">
        <v>390</v>
      </c>
      <c r="P99" s="14" t="s">
        <v>390</v>
      </c>
      <c r="Q99" s="22" t="s">
        <v>212</v>
      </c>
      <c r="R99" s="14" t="s">
        <v>36</v>
      </c>
      <c r="S99" s="25">
        <v>254739.48</v>
      </c>
      <c r="T99" s="29">
        <v>254739.48</v>
      </c>
      <c r="U99" s="23">
        <v>0</v>
      </c>
      <c r="V99" s="25">
        <v>38960.15</v>
      </c>
      <c r="W99" s="23">
        <v>38960.15</v>
      </c>
      <c r="X99" s="23">
        <v>0</v>
      </c>
      <c r="Y99" s="25">
        <f>Z99+AA99</f>
        <v>5993.87</v>
      </c>
      <c r="Z99" s="23">
        <v>5993.87</v>
      </c>
      <c r="AA99" s="23">
        <v>0</v>
      </c>
      <c r="AB99" s="23">
        <f t="shared" si="60"/>
        <v>0</v>
      </c>
      <c r="AC99" s="23">
        <v>0</v>
      </c>
      <c r="AD99" s="23">
        <v>0</v>
      </c>
      <c r="AE99" s="23">
        <f t="shared" si="128"/>
        <v>299693.5</v>
      </c>
      <c r="AF99" s="23">
        <v>0</v>
      </c>
      <c r="AG99" s="26">
        <f t="shared" si="97"/>
        <v>299693.5</v>
      </c>
      <c r="AH99" s="27" t="s">
        <v>585</v>
      </c>
      <c r="AI99" s="28" t="s">
        <v>185</v>
      </c>
      <c r="AJ99" s="1">
        <f>29969-3256.9+24552.01-3830.33</f>
        <v>47433.78</v>
      </c>
      <c r="AK99" s="29">
        <f>3256.9+3830.83</f>
        <v>7087.73</v>
      </c>
    </row>
    <row r="100" spans="1:37" ht="300" x14ac:dyDescent="0.25">
      <c r="A100" s="12">
        <v>96</v>
      </c>
      <c r="B100" s="35">
        <v>126535</v>
      </c>
      <c r="C100" s="8">
        <v>564</v>
      </c>
      <c r="D100" s="9" t="s">
        <v>174</v>
      </c>
      <c r="E100" s="15" t="s">
        <v>968</v>
      </c>
      <c r="F100" s="16" t="s">
        <v>1135</v>
      </c>
      <c r="G100" s="35" t="s">
        <v>1193</v>
      </c>
      <c r="H100" s="94" t="s">
        <v>392</v>
      </c>
      <c r="I100" s="9" t="s">
        <v>185</v>
      </c>
      <c r="J100" s="139" t="s">
        <v>1194</v>
      </c>
      <c r="K100" s="20">
        <v>43447</v>
      </c>
      <c r="L100" s="32">
        <v>44178</v>
      </c>
      <c r="M100" s="21">
        <f t="shared" si="136"/>
        <v>85</v>
      </c>
      <c r="N100" s="14">
        <v>3</v>
      </c>
      <c r="O100" s="14" t="s">
        <v>390</v>
      </c>
      <c r="P100" s="14" t="s">
        <v>390</v>
      </c>
      <c r="Q100" s="22" t="s">
        <v>212</v>
      </c>
      <c r="R100" s="14" t="s">
        <v>36</v>
      </c>
      <c r="S100" s="25">
        <f>T100+U100</f>
        <v>3199377.9</v>
      </c>
      <c r="T100" s="29">
        <v>3199377.9</v>
      </c>
      <c r="U100" s="29">
        <v>0</v>
      </c>
      <c r="V100" s="140">
        <f>W100+X100</f>
        <v>489316.62</v>
      </c>
      <c r="W100" s="29">
        <v>489316.62</v>
      </c>
      <c r="X100" s="29">
        <v>0</v>
      </c>
      <c r="Y100" s="25">
        <f t="shared" ref="Y100" si="137">Z100+AA100</f>
        <v>75279.48</v>
      </c>
      <c r="Z100" s="23">
        <v>75279.48</v>
      </c>
      <c r="AA100" s="23">
        <v>0</v>
      </c>
      <c r="AB100" s="23">
        <f t="shared" si="60"/>
        <v>0</v>
      </c>
      <c r="AC100" s="29">
        <v>0</v>
      </c>
      <c r="AD100" s="29">
        <v>0</v>
      </c>
      <c r="AE100" s="23">
        <f t="shared" si="128"/>
        <v>3763974</v>
      </c>
      <c r="AF100" s="34"/>
      <c r="AG100" s="26">
        <f t="shared" si="97"/>
        <v>3763974</v>
      </c>
      <c r="AH100" s="27" t="s">
        <v>585</v>
      </c>
      <c r="AI100" s="28"/>
      <c r="AJ100" s="54">
        <v>376397</v>
      </c>
      <c r="AK100" s="54">
        <v>0</v>
      </c>
    </row>
    <row r="101" spans="1:37" ht="204.75" x14ac:dyDescent="0.25">
      <c r="A101" s="12">
        <v>97</v>
      </c>
      <c r="B101" s="14">
        <v>120638</v>
      </c>
      <c r="C101" s="8">
        <v>97</v>
      </c>
      <c r="D101" s="14" t="s">
        <v>171</v>
      </c>
      <c r="E101" s="15" t="s">
        <v>968</v>
      </c>
      <c r="F101" s="16" t="s">
        <v>331</v>
      </c>
      <c r="G101" s="17" t="s">
        <v>278</v>
      </c>
      <c r="H101" s="14" t="s">
        <v>277</v>
      </c>
      <c r="I101" s="14" t="s">
        <v>185</v>
      </c>
      <c r="J101" s="48" t="s">
        <v>279</v>
      </c>
      <c r="K101" s="20">
        <v>43145</v>
      </c>
      <c r="L101" s="32">
        <v>43630</v>
      </c>
      <c r="M101" s="21">
        <f t="shared" ref="M101:M103" si="138">S101/AE101*100</f>
        <v>84.999998641808133</v>
      </c>
      <c r="N101" s="14">
        <v>4</v>
      </c>
      <c r="O101" s="14" t="s">
        <v>275</v>
      </c>
      <c r="P101" s="14" t="s">
        <v>276</v>
      </c>
      <c r="Q101" s="42" t="s">
        <v>212</v>
      </c>
      <c r="R101" s="14" t="s">
        <v>36</v>
      </c>
      <c r="S101" s="23">
        <f t="shared" ref="S101:S103" si="139">T101+U101</f>
        <v>312916.02</v>
      </c>
      <c r="T101" s="24">
        <v>312916.02</v>
      </c>
      <c r="U101" s="141">
        <v>0</v>
      </c>
      <c r="V101" s="25">
        <f t="shared" si="59"/>
        <v>47857.75</v>
      </c>
      <c r="W101" s="23">
        <v>47857.75</v>
      </c>
      <c r="X101" s="23">
        <v>0</v>
      </c>
      <c r="Y101" s="23">
        <f t="shared" ref="Y101:Y103" si="140">Z101+AA101</f>
        <v>7362.73</v>
      </c>
      <c r="Z101" s="23">
        <v>7362.73</v>
      </c>
      <c r="AA101" s="23">
        <v>0</v>
      </c>
      <c r="AB101" s="23">
        <f t="shared" si="60"/>
        <v>0</v>
      </c>
      <c r="AC101" s="23"/>
      <c r="AD101" s="23"/>
      <c r="AE101" s="23">
        <f t="shared" si="128"/>
        <v>368136.5</v>
      </c>
      <c r="AF101" s="23">
        <v>0</v>
      </c>
      <c r="AG101" s="26">
        <f t="shared" si="97"/>
        <v>368136.5</v>
      </c>
      <c r="AH101" s="27" t="s">
        <v>585</v>
      </c>
      <c r="AI101" s="28"/>
      <c r="AJ101" s="1">
        <f>52755.63+22985.7</f>
        <v>75741.33</v>
      </c>
      <c r="AK101" s="29">
        <f>8068.51+3515.46</f>
        <v>11583.970000000001</v>
      </c>
    </row>
    <row r="102" spans="1:37" ht="189" x14ac:dyDescent="0.25">
      <c r="A102" s="14">
        <v>98</v>
      </c>
      <c r="B102" s="7">
        <v>120714</v>
      </c>
      <c r="C102" s="8">
        <v>111</v>
      </c>
      <c r="D102" s="8" t="s">
        <v>171</v>
      </c>
      <c r="E102" s="15" t="s">
        <v>968</v>
      </c>
      <c r="F102" s="16" t="s">
        <v>331</v>
      </c>
      <c r="G102" s="17" t="s">
        <v>298</v>
      </c>
      <c r="H102" s="14" t="s">
        <v>296</v>
      </c>
      <c r="I102" s="14" t="s">
        <v>297</v>
      </c>
      <c r="J102" s="19" t="s">
        <v>515</v>
      </c>
      <c r="K102" s="20">
        <v>43166</v>
      </c>
      <c r="L102" s="32">
        <v>43653</v>
      </c>
      <c r="M102" s="21">
        <f t="shared" si="138"/>
        <v>85</v>
      </c>
      <c r="N102" s="14">
        <v>4</v>
      </c>
      <c r="O102" s="14" t="s">
        <v>275</v>
      </c>
      <c r="P102" s="14" t="s">
        <v>276</v>
      </c>
      <c r="Q102" s="42" t="s">
        <v>212</v>
      </c>
      <c r="R102" s="14" t="s">
        <v>36</v>
      </c>
      <c r="S102" s="23">
        <f t="shared" si="139"/>
        <v>355906.39</v>
      </c>
      <c r="T102" s="64">
        <v>355906.39</v>
      </c>
      <c r="U102" s="64">
        <v>0</v>
      </c>
      <c r="V102" s="25">
        <f t="shared" si="59"/>
        <v>54432.74</v>
      </c>
      <c r="W102" s="23">
        <v>54432.74</v>
      </c>
      <c r="X102" s="23">
        <v>0</v>
      </c>
      <c r="Y102" s="23">
        <f t="shared" si="140"/>
        <v>8374.27</v>
      </c>
      <c r="Z102" s="23">
        <v>8374.27</v>
      </c>
      <c r="AA102" s="23">
        <v>0</v>
      </c>
      <c r="AB102" s="23">
        <f t="shared" si="60"/>
        <v>0</v>
      </c>
      <c r="AC102" s="23"/>
      <c r="AD102" s="23"/>
      <c r="AE102" s="23">
        <f t="shared" si="128"/>
        <v>418713.4</v>
      </c>
      <c r="AF102" s="23">
        <v>0</v>
      </c>
      <c r="AG102" s="26">
        <f t="shared" si="97"/>
        <v>418713.4</v>
      </c>
      <c r="AH102" s="27" t="s">
        <v>585</v>
      </c>
      <c r="AI102" s="28" t="s">
        <v>185</v>
      </c>
      <c r="AJ102" s="1">
        <f>3489.68+25692.1+174568.93</f>
        <v>203750.71</v>
      </c>
      <c r="AK102" s="29">
        <f>533.71+3929.38+26698.78</f>
        <v>31161.87</v>
      </c>
    </row>
    <row r="103" spans="1:37" ht="236.25" x14ac:dyDescent="0.25">
      <c r="A103" s="12">
        <v>99</v>
      </c>
      <c r="B103" s="7">
        <v>119758</v>
      </c>
      <c r="C103" s="8">
        <v>460</v>
      </c>
      <c r="D103" s="8" t="s">
        <v>684</v>
      </c>
      <c r="E103" s="18" t="s">
        <v>1041</v>
      </c>
      <c r="F103" s="16" t="s">
        <v>542</v>
      </c>
      <c r="G103" s="142" t="s">
        <v>573</v>
      </c>
      <c r="H103" s="17" t="s">
        <v>574</v>
      </c>
      <c r="I103" s="14" t="s">
        <v>185</v>
      </c>
      <c r="J103" s="19" t="s">
        <v>575</v>
      </c>
      <c r="K103" s="20">
        <v>43264</v>
      </c>
      <c r="L103" s="32">
        <v>43751</v>
      </c>
      <c r="M103" s="21">
        <f t="shared" si="138"/>
        <v>85</v>
      </c>
      <c r="N103" s="14">
        <v>4</v>
      </c>
      <c r="O103" s="14" t="s">
        <v>275</v>
      </c>
      <c r="P103" s="14" t="s">
        <v>576</v>
      </c>
      <c r="Q103" s="42" t="s">
        <v>212</v>
      </c>
      <c r="R103" s="14" t="s">
        <v>36</v>
      </c>
      <c r="S103" s="23">
        <f t="shared" si="139"/>
        <v>356536.75</v>
      </c>
      <c r="T103" s="64">
        <v>356536.75</v>
      </c>
      <c r="U103" s="64">
        <v>0</v>
      </c>
      <c r="V103" s="25">
        <f t="shared" si="59"/>
        <v>54529.15</v>
      </c>
      <c r="W103" s="23">
        <v>54529.15</v>
      </c>
      <c r="X103" s="23"/>
      <c r="Y103" s="23">
        <f t="shared" si="140"/>
        <v>8389.1</v>
      </c>
      <c r="Z103" s="23">
        <v>8389.1</v>
      </c>
      <c r="AA103" s="23">
        <v>0</v>
      </c>
      <c r="AB103" s="23">
        <f t="shared" ref="AB103" si="141">AC103+AD103</f>
        <v>0</v>
      </c>
      <c r="AC103" s="23"/>
      <c r="AD103" s="23"/>
      <c r="AE103" s="23">
        <f t="shared" si="128"/>
        <v>419455</v>
      </c>
      <c r="AF103" s="23"/>
      <c r="AG103" s="26">
        <f t="shared" si="97"/>
        <v>419455</v>
      </c>
      <c r="AH103" s="27" t="s">
        <v>585</v>
      </c>
      <c r="AI103" s="28"/>
      <c r="AJ103" s="38">
        <f>41000-4123.49+46557.9+41000-738.9+41000-662.4+104836.1</f>
        <v>268869.21000000002</v>
      </c>
      <c r="AK103" s="29">
        <f>5639.94+7120.62+6157.58+22203.04</f>
        <v>41121.18</v>
      </c>
    </row>
    <row r="104" spans="1:37" ht="252" x14ac:dyDescent="0.25">
      <c r="A104" s="12">
        <v>100</v>
      </c>
      <c r="B104" s="7">
        <v>116766</v>
      </c>
      <c r="C104" s="8">
        <v>409</v>
      </c>
      <c r="D104" s="8" t="s">
        <v>684</v>
      </c>
      <c r="E104" s="15" t="s">
        <v>704</v>
      </c>
      <c r="F104" s="14" t="s">
        <v>610</v>
      </c>
      <c r="G104" s="15" t="s">
        <v>656</v>
      </c>
      <c r="H104" s="17" t="s">
        <v>297</v>
      </c>
      <c r="I104" s="9" t="s">
        <v>185</v>
      </c>
      <c r="J104" s="17" t="s">
        <v>657</v>
      </c>
      <c r="K104" s="20">
        <v>43278</v>
      </c>
      <c r="L104" s="32">
        <v>43765</v>
      </c>
      <c r="M104" s="21">
        <f>S104/AE104*100</f>
        <v>85.000000275422053</v>
      </c>
      <c r="N104" s="14">
        <v>4</v>
      </c>
      <c r="O104" s="14" t="s">
        <v>275</v>
      </c>
      <c r="P104" s="9" t="s">
        <v>658</v>
      </c>
      <c r="Q104" s="9" t="s">
        <v>212</v>
      </c>
      <c r="R104" s="14" t="s">
        <v>36</v>
      </c>
      <c r="S104" s="23">
        <f>T104+U104</f>
        <v>308617.27</v>
      </c>
      <c r="T104" s="64">
        <v>308617.27</v>
      </c>
      <c r="U104" s="64">
        <v>0</v>
      </c>
      <c r="V104" s="25">
        <f>W104+X104</f>
        <v>47200.29</v>
      </c>
      <c r="W104" s="23">
        <v>47200.29</v>
      </c>
      <c r="X104" s="23">
        <v>0</v>
      </c>
      <c r="Y104" s="23">
        <f>Z104+AA104</f>
        <v>7261.58</v>
      </c>
      <c r="Z104" s="23">
        <v>7261.58</v>
      </c>
      <c r="AA104" s="61">
        <v>0</v>
      </c>
      <c r="AB104" s="23">
        <f>AC104+AD104</f>
        <v>0</v>
      </c>
      <c r="AC104" s="61">
        <v>0</v>
      </c>
      <c r="AD104" s="61">
        <v>0</v>
      </c>
      <c r="AE104" s="23">
        <f>S104+V104+Y104+AB104</f>
        <v>363079.14</v>
      </c>
      <c r="AF104" s="143">
        <v>0</v>
      </c>
      <c r="AG104" s="26">
        <f t="shared" si="97"/>
        <v>363079.14</v>
      </c>
      <c r="AH104" s="27" t="s">
        <v>585</v>
      </c>
      <c r="AI104" s="86" t="s">
        <v>185</v>
      </c>
      <c r="AJ104" s="38">
        <v>30060.880000000001</v>
      </c>
      <c r="AK104" s="54">
        <v>4597.55</v>
      </c>
    </row>
    <row r="105" spans="1:37" ht="141.75" x14ac:dyDescent="0.25">
      <c r="A105" s="14">
        <v>101</v>
      </c>
      <c r="B105" s="7">
        <v>126293</v>
      </c>
      <c r="C105" s="8">
        <v>523</v>
      </c>
      <c r="D105" s="9" t="s">
        <v>177</v>
      </c>
      <c r="E105" s="15" t="s">
        <v>968</v>
      </c>
      <c r="F105" s="18" t="s">
        <v>1135</v>
      </c>
      <c r="G105" s="15" t="s">
        <v>1180</v>
      </c>
      <c r="H105" s="15" t="s">
        <v>1149</v>
      </c>
      <c r="I105" s="9" t="s">
        <v>185</v>
      </c>
      <c r="J105" s="15" t="s">
        <v>1150</v>
      </c>
      <c r="K105" s="20">
        <v>43437</v>
      </c>
      <c r="L105" s="32">
        <v>44289</v>
      </c>
      <c r="M105" s="21">
        <f>S105/AE105*100</f>
        <v>85.000000538702352</v>
      </c>
      <c r="N105" s="14">
        <v>4</v>
      </c>
      <c r="O105" s="14" t="s">
        <v>275</v>
      </c>
      <c r="P105" s="9" t="s">
        <v>658</v>
      </c>
      <c r="Q105" s="9" t="s">
        <v>212</v>
      </c>
      <c r="R105" s="14" t="s">
        <v>36</v>
      </c>
      <c r="S105" s="23">
        <f>T105+U105</f>
        <v>2366798.75</v>
      </c>
      <c r="T105" s="64">
        <v>2366798.75</v>
      </c>
      <c r="U105" s="64">
        <v>0</v>
      </c>
      <c r="V105" s="25">
        <f>W105+X105</f>
        <v>361980.97</v>
      </c>
      <c r="W105" s="23">
        <v>361980.97</v>
      </c>
      <c r="X105" s="23">
        <v>0</v>
      </c>
      <c r="Y105" s="23">
        <f>Z105+AA105</f>
        <v>55689.38</v>
      </c>
      <c r="Z105" s="23">
        <v>55689.38</v>
      </c>
      <c r="AA105" s="29">
        <v>0</v>
      </c>
      <c r="AB105" s="23">
        <f>AC105+AD105</f>
        <v>0</v>
      </c>
      <c r="AC105" s="29">
        <v>0</v>
      </c>
      <c r="AD105" s="29">
        <v>0</v>
      </c>
      <c r="AE105" s="23">
        <f>S105+V105+Y105</f>
        <v>2784469.0999999996</v>
      </c>
      <c r="AF105" s="23">
        <v>129948</v>
      </c>
      <c r="AG105" s="26">
        <f t="shared" si="97"/>
        <v>2914417.0999999996</v>
      </c>
      <c r="AH105" s="27" t="s">
        <v>585</v>
      </c>
      <c r="AI105" s="86" t="s">
        <v>185</v>
      </c>
      <c r="AJ105" s="54">
        <v>3500.5</v>
      </c>
      <c r="AK105" s="54">
        <v>535.38</v>
      </c>
    </row>
    <row r="106" spans="1:37" ht="204.75" x14ac:dyDescent="0.25">
      <c r="A106" s="12">
        <v>102</v>
      </c>
      <c r="B106" s="7">
        <v>126212</v>
      </c>
      <c r="C106" s="8">
        <v>516</v>
      </c>
      <c r="D106" s="9" t="s">
        <v>177</v>
      </c>
      <c r="E106" s="15" t="s">
        <v>968</v>
      </c>
      <c r="F106" s="18" t="s">
        <v>1135</v>
      </c>
      <c r="G106" s="15" t="s">
        <v>1179</v>
      </c>
      <c r="H106" s="15" t="s">
        <v>574</v>
      </c>
      <c r="I106" s="9" t="s">
        <v>185</v>
      </c>
      <c r="J106" s="15" t="s">
        <v>1178</v>
      </c>
      <c r="K106" s="20">
        <v>43445</v>
      </c>
      <c r="L106" s="32">
        <v>43993</v>
      </c>
      <c r="M106" s="21">
        <f t="shared" ref="M106:M107" si="142">S106/AE106*100</f>
        <v>85.000000138721092</v>
      </c>
      <c r="N106" s="14">
        <v>4</v>
      </c>
      <c r="O106" s="14" t="s">
        <v>275</v>
      </c>
      <c r="P106" s="14" t="s">
        <v>576</v>
      </c>
      <c r="Q106" s="14" t="s">
        <v>212</v>
      </c>
      <c r="R106" s="14" t="s">
        <v>36</v>
      </c>
      <c r="S106" s="23">
        <f t="shared" ref="S106:S107" si="143">T106+U106</f>
        <v>3063701.5</v>
      </c>
      <c r="T106" s="64">
        <v>3063701.5</v>
      </c>
      <c r="U106" s="64">
        <v>0</v>
      </c>
      <c r="V106" s="25">
        <f t="shared" ref="V106:V107" si="144">W106+X106</f>
        <v>468566.11</v>
      </c>
      <c r="W106" s="23">
        <v>468566.11</v>
      </c>
      <c r="X106" s="23">
        <v>0</v>
      </c>
      <c r="Y106" s="23">
        <f t="shared" ref="Y106:Y107" si="145">Z106+AA106</f>
        <v>72087.09</v>
      </c>
      <c r="Z106" s="23">
        <v>72087.09</v>
      </c>
      <c r="AA106" s="29">
        <v>0</v>
      </c>
      <c r="AB106" s="23">
        <f t="shared" ref="AB106:AB107" si="146">AC106+AD106</f>
        <v>0</v>
      </c>
      <c r="AC106" s="29">
        <v>0</v>
      </c>
      <c r="AD106" s="29">
        <v>0</v>
      </c>
      <c r="AE106" s="23">
        <f t="shared" ref="AE106:AE107" si="147">S106+V106+Y106</f>
        <v>3604354.6999999997</v>
      </c>
      <c r="AF106" s="34">
        <v>0</v>
      </c>
      <c r="AG106" s="26">
        <f t="shared" si="97"/>
        <v>3604354.6999999997</v>
      </c>
      <c r="AH106" s="27" t="s">
        <v>585</v>
      </c>
      <c r="AI106" s="86" t="s">
        <v>185</v>
      </c>
      <c r="AJ106" s="54">
        <v>70000</v>
      </c>
      <c r="AK106" s="54">
        <v>0</v>
      </c>
    </row>
    <row r="107" spans="1:37" ht="156.75" customHeight="1" x14ac:dyDescent="0.25">
      <c r="A107" s="12">
        <v>103</v>
      </c>
      <c r="B107" s="7">
        <v>125603</v>
      </c>
      <c r="C107" s="8">
        <v>528</v>
      </c>
      <c r="D107" s="9" t="s">
        <v>1074</v>
      </c>
      <c r="E107" s="15" t="s">
        <v>968</v>
      </c>
      <c r="F107" s="18" t="s">
        <v>1135</v>
      </c>
      <c r="G107" s="15" t="s">
        <v>1237</v>
      </c>
      <c r="H107" s="15" t="s">
        <v>277</v>
      </c>
      <c r="I107" s="9" t="s">
        <v>185</v>
      </c>
      <c r="J107" s="15" t="s">
        <v>1238</v>
      </c>
      <c r="K107" s="20">
        <v>43486</v>
      </c>
      <c r="L107" s="32">
        <v>44398</v>
      </c>
      <c r="M107" s="21">
        <f t="shared" si="142"/>
        <v>85.000000127543871</v>
      </c>
      <c r="N107" s="14">
        <v>4</v>
      </c>
      <c r="O107" s="14" t="s">
        <v>275</v>
      </c>
      <c r="P107" s="9" t="s">
        <v>658</v>
      </c>
      <c r="Q107" s="9" t="s">
        <v>212</v>
      </c>
      <c r="R107" s="14" t="s">
        <v>36</v>
      </c>
      <c r="S107" s="23">
        <f t="shared" si="143"/>
        <v>2998968.16</v>
      </c>
      <c r="T107" s="64">
        <v>2998968.16</v>
      </c>
      <c r="U107" s="64">
        <v>0</v>
      </c>
      <c r="V107" s="25">
        <f t="shared" si="144"/>
        <v>458665.73</v>
      </c>
      <c r="W107" s="23">
        <v>458665.73</v>
      </c>
      <c r="X107" s="23">
        <v>0</v>
      </c>
      <c r="Y107" s="23">
        <f t="shared" si="145"/>
        <v>70563.94</v>
      </c>
      <c r="Z107" s="23">
        <v>70563.94</v>
      </c>
      <c r="AA107" s="29">
        <v>0</v>
      </c>
      <c r="AB107" s="23">
        <f t="shared" si="146"/>
        <v>0</v>
      </c>
      <c r="AC107" s="29">
        <v>0</v>
      </c>
      <c r="AD107" s="29">
        <v>0</v>
      </c>
      <c r="AE107" s="23">
        <f t="shared" si="147"/>
        <v>3528197.83</v>
      </c>
      <c r="AF107" s="34">
        <v>0</v>
      </c>
      <c r="AG107" s="26">
        <f t="shared" si="97"/>
        <v>3528197.83</v>
      </c>
      <c r="AH107" s="27" t="s">
        <v>585</v>
      </c>
      <c r="AI107" s="86"/>
      <c r="AJ107" s="54">
        <v>0</v>
      </c>
      <c r="AK107" s="54">
        <v>0</v>
      </c>
    </row>
    <row r="108" spans="1:37" ht="173.25" x14ac:dyDescent="0.25">
      <c r="A108" s="14">
        <v>104</v>
      </c>
      <c r="B108" s="13">
        <v>111237</v>
      </c>
      <c r="C108" s="8">
        <v>124</v>
      </c>
      <c r="D108" s="14" t="s">
        <v>172</v>
      </c>
      <c r="E108" s="15" t="s">
        <v>968</v>
      </c>
      <c r="F108" s="16" t="s">
        <v>331</v>
      </c>
      <c r="G108" s="17" t="s">
        <v>516</v>
      </c>
      <c r="H108" s="17" t="s">
        <v>261</v>
      </c>
      <c r="I108" s="18" t="s">
        <v>185</v>
      </c>
      <c r="J108" s="19" t="s">
        <v>517</v>
      </c>
      <c r="K108" s="20">
        <v>43145</v>
      </c>
      <c r="L108" s="32">
        <v>43691</v>
      </c>
      <c r="M108" s="21">
        <f t="shared" ref="M108:M111" si="148">S108/AE108*100</f>
        <v>85.000000000000014</v>
      </c>
      <c r="N108" s="14">
        <v>7</v>
      </c>
      <c r="O108" s="70" t="s">
        <v>266</v>
      </c>
      <c r="P108" s="14" t="s">
        <v>260</v>
      </c>
      <c r="Q108" s="22" t="s">
        <v>212</v>
      </c>
      <c r="R108" s="18" t="s">
        <v>36</v>
      </c>
      <c r="S108" s="144">
        <f t="shared" ref="S108:S111" si="149">T108+U108</f>
        <v>306686.8</v>
      </c>
      <c r="T108" s="64">
        <v>306686.8</v>
      </c>
      <c r="U108" s="145">
        <v>0</v>
      </c>
      <c r="V108" s="25">
        <f t="shared" ref="V108:V152" si="150">W108+X108</f>
        <v>46905.04</v>
      </c>
      <c r="W108" s="23">
        <v>46905.04</v>
      </c>
      <c r="X108" s="23">
        <v>0</v>
      </c>
      <c r="Y108" s="23">
        <f t="shared" ref="Y108:Y111" si="151">Z108+AA108</f>
        <v>7216.16</v>
      </c>
      <c r="Z108" s="23">
        <v>7216.16</v>
      </c>
      <c r="AA108" s="23">
        <v>0</v>
      </c>
      <c r="AB108" s="23">
        <f t="shared" ref="AB108:AB152" si="152">AC108+AD108</f>
        <v>0</v>
      </c>
      <c r="AC108" s="23"/>
      <c r="AD108" s="23"/>
      <c r="AE108" s="23">
        <f t="shared" si="128"/>
        <v>360807.99999999994</v>
      </c>
      <c r="AF108" s="23">
        <v>0</v>
      </c>
      <c r="AG108" s="26">
        <f t="shared" si="97"/>
        <v>360807.99999999994</v>
      </c>
      <c r="AH108" s="27" t="s">
        <v>585</v>
      </c>
      <c r="AI108" s="28" t="s">
        <v>1248</v>
      </c>
      <c r="AJ108" s="1">
        <v>0</v>
      </c>
      <c r="AK108" s="29">
        <v>0</v>
      </c>
    </row>
    <row r="109" spans="1:37" ht="346.5" x14ac:dyDescent="0.25">
      <c r="A109" s="12">
        <v>105</v>
      </c>
      <c r="B109" s="7">
        <v>122784</v>
      </c>
      <c r="C109" s="8">
        <v>94</v>
      </c>
      <c r="D109" s="9" t="s">
        <v>176</v>
      </c>
      <c r="E109" s="15" t="s">
        <v>968</v>
      </c>
      <c r="F109" s="16" t="s">
        <v>331</v>
      </c>
      <c r="G109" s="15" t="s">
        <v>1030</v>
      </c>
      <c r="H109" s="15" t="s">
        <v>1029</v>
      </c>
      <c r="I109" s="15" t="s">
        <v>185</v>
      </c>
      <c r="J109" s="19" t="s">
        <v>1122</v>
      </c>
      <c r="K109" s="32">
        <v>43264</v>
      </c>
      <c r="L109" s="32">
        <v>43751</v>
      </c>
      <c r="M109" s="21">
        <f t="shared" si="148"/>
        <v>85.000002941982572</v>
      </c>
      <c r="N109" s="14">
        <v>7</v>
      </c>
      <c r="O109" s="146" t="s">
        <v>266</v>
      </c>
      <c r="P109" s="14" t="s">
        <v>1031</v>
      </c>
      <c r="Q109" s="22" t="s">
        <v>212</v>
      </c>
      <c r="R109" s="18" t="s">
        <v>36</v>
      </c>
      <c r="S109" s="144">
        <f t="shared" si="149"/>
        <v>361151.03</v>
      </c>
      <c r="T109" s="57">
        <v>361151.03</v>
      </c>
      <c r="U109" s="33">
        <v>0</v>
      </c>
      <c r="V109" s="25">
        <f t="shared" si="150"/>
        <v>55234.85</v>
      </c>
      <c r="W109" s="33">
        <v>55234.85</v>
      </c>
      <c r="X109" s="33">
        <v>0</v>
      </c>
      <c r="Y109" s="23">
        <f t="shared" si="151"/>
        <v>8497.67</v>
      </c>
      <c r="Z109" s="57">
        <v>8497.67</v>
      </c>
      <c r="AA109" s="57">
        <v>0</v>
      </c>
      <c r="AB109" s="23">
        <f t="shared" si="152"/>
        <v>0</v>
      </c>
      <c r="AC109" s="33"/>
      <c r="AD109" s="33"/>
      <c r="AE109" s="23">
        <f t="shared" si="128"/>
        <v>424883.55</v>
      </c>
      <c r="AF109" s="23">
        <v>0</v>
      </c>
      <c r="AG109" s="26">
        <f t="shared" si="97"/>
        <v>424883.55</v>
      </c>
      <c r="AH109" s="27" t="s">
        <v>1344</v>
      </c>
      <c r="AI109" s="34"/>
      <c r="AJ109" s="38">
        <v>0</v>
      </c>
      <c r="AK109" s="1">
        <v>0</v>
      </c>
    </row>
    <row r="110" spans="1:37" ht="259.5" customHeight="1" x14ac:dyDescent="0.25">
      <c r="A110" s="12">
        <v>106</v>
      </c>
      <c r="B110" s="7">
        <v>126548</v>
      </c>
      <c r="C110" s="8">
        <v>533</v>
      </c>
      <c r="D110" s="9" t="s">
        <v>175</v>
      </c>
      <c r="E110" s="15" t="s">
        <v>968</v>
      </c>
      <c r="F110" s="16" t="s">
        <v>1135</v>
      </c>
      <c r="G110" s="15" t="s">
        <v>1389</v>
      </c>
      <c r="H110" s="15" t="s">
        <v>1390</v>
      </c>
      <c r="I110" s="15" t="s">
        <v>185</v>
      </c>
      <c r="J110" s="19" t="s">
        <v>1391</v>
      </c>
      <c r="K110" s="32">
        <v>43598</v>
      </c>
      <c r="L110" s="32">
        <v>44087</v>
      </c>
      <c r="M110" s="21">
        <f t="shared" si="148"/>
        <v>85.000009423673518</v>
      </c>
      <c r="N110" s="14">
        <v>7</v>
      </c>
      <c r="O110" s="146" t="s">
        <v>266</v>
      </c>
      <c r="P110" s="146" t="s">
        <v>266</v>
      </c>
      <c r="Q110" s="22" t="s">
        <v>212</v>
      </c>
      <c r="R110" s="18" t="s">
        <v>1158</v>
      </c>
      <c r="S110" s="144">
        <f t="shared" si="149"/>
        <v>518640.69</v>
      </c>
      <c r="T110" s="57">
        <v>518640.69</v>
      </c>
      <c r="U110" s="33">
        <v>0</v>
      </c>
      <c r="V110" s="25">
        <f t="shared" si="150"/>
        <v>79321.45</v>
      </c>
      <c r="W110" s="33">
        <v>79321.45</v>
      </c>
      <c r="X110" s="33">
        <v>0</v>
      </c>
      <c r="Y110" s="23">
        <f t="shared" si="151"/>
        <v>12203.31</v>
      </c>
      <c r="Z110" s="57">
        <v>12203.31</v>
      </c>
      <c r="AA110" s="57">
        <v>0</v>
      </c>
      <c r="AB110" s="23">
        <f t="shared" si="152"/>
        <v>0</v>
      </c>
      <c r="AC110" s="33"/>
      <c r="AD110" s="33"/>
      <c r="AE110" s="23">
        <f t="shared" si="128"/>
        <v>610165.45000000007</v>
      </c>
      <c r="AF110" s="23"/>
      <c r="AG110" s="26">
        <f t="shared" si="97"/>
        <v>610165.45000000007</v>
      </c>
      <c r="AH110" s="27" t="s">
        <v>871</v>
      </c>
      <c r="AI110" s="34"/>
      <c r="AJ110" s="38"/>
      <c r="AK110" s="1"/>
    </row>
    <row r="111" spans="1:37" ht="259.5" customHeight="1" x14ac:dyDescent="0.25">
      <c r="A111" s="14">
        <v>107</v>
      </c>
      <c r="B111" s="7">
        <v>128765</v>
      </c>
      <c r="C111" s="8">
        <v>633</v>
      </c>
      <c r="D111" s="9" t="s">
        <v>173</v>
      </c>
      <c r="E111" s="15" t="s">
        <v>968</v>
      </c>
      <c r="F111" s="16" t="s">
        <v>1417</v>
      </c>
      <c r="G111" s="17" t="s">
        <v>1521</v>
      </c>
      <c r="H111" s="15" t="s">
        <v>1029</v>
      </c>
      <c r="I111" s="15" t="s">
        <v>422</v>
      </c>
      <c r="J111" s="19" t="s">
        <v>1523</v>
      </c>
      <c r="K111" s="20">
        <v>43647</v>
      </c>
      <c r="L111" s="32">
        <v>44501</v>
      </c>
      <c r="M111" s="21">
        <f t="shared" si="148"/>
        <v>85.000000191241938</v>
      </c>
      <c r="N111" s="14">
        <v>7</v>
      </c>
      <c r="O111" s="70" t="s">
        <v>266</v>
      </c>
      <c r="P111" s="70" t="s">
        <v>1522</v>
      </c>
      <c r="Q111" s="42" t="s">
        <v>212</v>
      </c>
      <c r="R111" s="14" t="s">
        <v>36</v>
      </c>
      <c r="S111" s="144">
        <f t="shared" si="149"/>
        <v>2222316.08</v>
      </c>
      <c r="T111" s="57">
        <v>2222316.08</v>
      </c>
      <c r="U111" s="33">
        <v>0</v>
      </c>
      <c r="V111" s="25">
        <f t="shared" si="150"/>
        <v>339883.63</v>
      </c>
      <c r="W111" s="33">
        <v>339883.63</v>
      </c>
      <c r="X111" s="33">
        <v>0</v>
      </c>
      <c r="Y111" s="23">
        <f t="shared" si="151"/>
        <v>52289.79</v>
      </c>
      <c r="Z111" s="57">
        <v>52289.79</v>
      </c>
      <c r="AA111" s="57">
        <v>0</v>
      </c>
      <c r="AB111" s="23">
        <f t="shared" si="152"/>
        <v>0</v>
      </c>
      <c r="AC111" s="33">
        <v>0</v>
      </c>
      <c r="AD111" s="33">
        <v>0</v>
      </c>
      <c r="AE111" s="23">
        <f t="shared" si="128"/>
        <v>2614489.5</v>
      </c>
      <c r="AF111" s="23"/>
      <c r="AG111" s="26">
        <f t="shared" si="97"/>
        <v>2614489.5</v>
      </c>
      <c r="AH111" s="27" t="s">
        <v>871</v>
      </c>
      <c r="AI111" s="34"/>
      <c r="AJ111" s="38"/>
      <c r="AK111" s="1"/>
    </row>
    <row r="112" spans="1:37" ht="299.25" x14ac:dyDescent="0.25">
      <c r="A112" s="12">
        <v>108</v>
      </c>
      <c r="B112" s="13">
        <v>120617</v>
      </c>
      <c r="C112" s="8">
        <v>79</v>
      </c>
      <c r="D112" s="14" t="s">
        <v>175</v>
      </c>
      <c r="E112" s="15" t="s">
        <v>968</v>
      </c>
      <c r="F112" s="16" t="s">
        <v>331</v>
      </c>
      <c r="G112" s="147" t="s">
        <v>253</v>
      </c>
      <c r="H112" s="56" t="s">
        <v>254</v>
      </c>
      <c r="I112" s="18" t="s">
        <v>185</v>
      </c>
      <c r="J112" s="19" t="s">
        <v>257</v>
      </c>
      <c r="K112" s="20">
        <v>43145</v>
      </c>
      <c r="L112" s="32">
        <v>43630</v>
      </c>
      <c r="M112" s="21">
        <f t="shared" ref="M112:M116" si="153">S112/AE112*100</f>
        <v>84.999999644441075</v>
      </c>
      <c r="N112" s="14">
        <v>5</v>
      </c>
      <c r="O112" s="14" t="s">
        <v>264</v>
      </c>
      <c r="P112" s="14" t="s">
        <v>258</v>
      </c>
      <c r="Q112" s="22" t="s">
        <v>212</v>
      </c>
      <c r="R112" s="18" t="s">
        <v>36</v>
      </c>
      <c r="S112" s="23">
        <f>T112+U112</f>
        <v>358590.34</v>
      </c>
      <c r="T112" s="64">
        <v>358590.34</v>
      </c>
      <c r="U112" s="23">
        <v>0</v>
      </c>
      <c r="V112" s="25">
        <f t="shared" si="150"/>
        <v>54843.23</v>
      </c>
      <c r="W112" s="64">
        <v>54843.23</v>
      </c>
      <c r="X112" s="25">
        <v>0</v>
      </c>
      <c r="Y112" s="25">
        <f t="shared" ref="Y112:Y114" si="154">Z112+AA112</f>
        <v>8437.42</v>
      </c>
      <c r="Z112" s="64">
        <v>8437.42</v>
      </c>
      <c r="AA112" s="25">
        <v>0</v>
      </c>
      <c r="AB112" s="23">
        <f t="shared" si="152"/>
        <v>0</v>
      </c>
      <c r="AC112" s="23"/>
      <c r="AD112" s="23"/>
      <c r="AE112" s="23">
        <f t="shared" si="128"/>
        <v>421870.99</v>
      </c>
      <c r="AF112" s="23">
        <v>0</v>
      </c>
      <c r="AG112" s="26">
        <f t="shared" si="97"/>
        <v>421870.99</v>
      </c>
      <c r="AH112" s="27" t="s">
        <v>585</v>
      </c>
      <c r="AI112" s="28" t="s">
        <v>185</v>
      </c>
      <c r="AJ112" s="1">
        <f>96397.63+83926.36-2519.15+41501.07-4777.79+36017.22</f>
        <v>250545.34</v>
      </c>
      <c r="AK112" s="29">
        <f>9960.19+14072.92+2519.15+536.51+4777.79</f>
        <v>31866.560000000001</v>
      </c>
    </row>
    <row r="113" spans="1:37" ht="236.25" x14ac:dyDescent="0.25">
      <c r="A113" s="12">
        <v>109</v>
      </c>
      <c r="B113" s="7">
        <v>118193</v>
      </c>
      <c r="C113" s="8">
        <v>424</v>
      </c>
      <c r="D113" s="9" t="s">
        <v>684</v>
      </c>
      <c r="E113" s="15" t="s">
        <v>704</v>
      </c>
      <c r="F113" s="16" t="s">
        <v>610</v>
      </c>
      <c r="G113" s="147" t="s">
        <v>721</v>
      </c>
      <c r="H113" s="36" t="s">
        <v>722</v>
      </c>
      <c r="I113" s="18" t="s">
        <v>185</v>
      </c>
      <c r="J113" s="15" t="s">
        <v>793</v>
      </c>
      <c r="K113" s="20">
        <v>43285</v>
      </c>
      <c r="L113" s="32">
        <v>43773</v>
      </c>
      <c r="M113" s="21">
        <f t="shared" si="153"/>
        <v>85.000000000000014</v>
      </c>
      <c r="N113" s="9">
        <v>5</v>
      </c>
      <c r="O113" s="18" t="s">
        <v>723</v>
      </c>
      <c r="P113" s="18" t="s">
        <v>724</v>
      </c>
      <c r="Q113" s="18" t="s">
        <v>212</v>
      </c>
      <c r="R113" s="14" t="s">
        <v>36</v>
      </c>
      <c r="S113" s="23">
        <v>239111.8</v>
      </c>
      <c r="T113" s="46">
        <v>239111.8</v>
      </c>
      <c r="U113" s="33">
        <v>0</v>
      </c>
      <c r="V113" s="25">
        <v>36570.04</v>
      </c>
      <c r="W113" s="46">
        <v>36570.04</v>
      </c>
      <c r="X113" s="33"/>
      <c r="Y113" s="25">
        <v>5626.16</v>
      </c>
      <c r="Z113" s="1">
        <v>5626.16</v>
      </c>
      <c r="AA113" s="57">
        <v>0</v>
      </c>
      <c r="AB113" s="23">
        <f t="shared" si="152"/>
        <v>0</v>
      </c>
      <c r="AC113" s="33"/>
      <c r="AD113" s="33"/>
      <c r="AE113" s="23">
        <f t="shared" si="128"/>
        <v>281307.99999999994</v>
      </c>
      <c r="AF113" s="34"/>
      <c r="AG113" s="26">
        <f t="shared" si="97"/>
        <v>281307.99999999994</v>
      </c>
      <c r="AH113" s="27" t="s">
        <v>585</v>
      </c>
      <c r="AI113" s="34"/>
      <c r="AJ113" s="54">
        <f>28130+781.9+43081.69+28130</f>
        <v>100123.59</v>
      </c>
      <c r="AK113" s="54">
        <f>4421.82+6588.95</f>
        <v>11010.77</v>
      </c>
    </row>
    <row r="114" spans="1:37" ht="378" x14ac:dyDescent="0.25">
      <c r="A114" s="14">
        <v>110</v>
      </c>
      <c r="B114" s="35">
        <v>117483</v>
      </c>
      <c r="C114" s="35">
        <v>412</v>
      </c>
      <c r="D114" s="35" t="s">
        <v>172</v>
      </c>
      <c r="E114" s="15" t="s">
        <v>704</v>
      </c>
      <c r="F114" s="16" t="s">
        <v>610</v>
      </c>
      <c r="G114" s="147" t="s">
        <v>866</v>
      </c>
      <c r="H114" s="148" t="s">
        <v>254</v>
      </c>
      <c r="I114" s="18" t="s">
        <v>185</v>
      </c>
      <c r="J114" s="15" t="s">
        <v>867</v>
      </c>
      <c r="K114" s="20">
        <v>43314</v>
      </c>
      <c r="L114" s="32">
        <v>43678</v>
      </c>
      <c r="M114" s="21">
        <f t="shared" si="153"/>
        <v>85.000000000000014</v>
      </c>
      <c r="N114" s="9">
        <v>5</v>
      </c>
      <c r="O114" s="18" t="s">
        <v>723</v>
      </c>
      <c r="P114" s="14" t="s">
        <v>258</v>
      </c>
      <c r="Q114" s="22" t="s">
        <v>212</v>
      </c>
      <c r="R114" s="14" t="s">
        <v>36</v>
      </c>
      <c r="S114" s="23">
        <v>242732.46</v>
      </c>
      <c r="T114" s="24">
        <f>S114</f>
        <v>242732.46</v>
      </c>
      <c r="U114" s="23">
        <v>0</v>
      </c>
      <c r="V114" s="23">
        <f t="shared" si="150"/>
        <v>37123.78</v>
      </c>
      <c r="W114" s="24">
        <v>37123.78</v>
      </c>
      <c r="X114" s="25">
        <v>0</v>
      </c>
      <c r="Y114" s="25">
        <f t="shared" si="154"/>
        <v>5711.36</v>
      </c>
      <c r="Z114" s="24">
        <v>5711.36</v>
      </c>
      <c r="AA114" s="25">
        <v>0</v>
      </c>
      <c r="AB114" s="23">
        <f t="shared" si="152"/>
        <v>0</v>
      </c>
      <c r="AC114" s="23"/>
      <c r="AD114" s="23"/>
      <c r="AE114" s="23">
        <f t="shared" si="128"/>
        <v>285567.59999999998</v>
      </c>
      <c r="AF114" s="23">
        <v>0</v>
      </c>
      <c r="AG114" s="26">
        <f t="shared" si="97"/>
        <v>285567.59999999998</v>
      </c>
      <c r="AH114" s="27" t="s">
        <v>585</v>
      </c>
      <c r="AI114" s="28" t="s">
        <v>185</v>
      </c>
      <c r="AJ114" s="54">
        <f>24768.62+25919.16+42164.52+19764.2+19764.2-1842.36+25219.06</f>
        <v>155757.4</v>
      </c>
      <c r="AK114" s="54">
        <f>3788.14+2637.6+3407.69+3022.76+3022.76+1842.36+1732.9</f>
        <v>19454.210000000003</v>
      </c>
    </row>
    <row r="115" spans="1:37" ht="220.5" x14ac:dyDescent="0.25">
      <c r="A115" s="12">
        <v>111</v>
      </c>
      <c r="B115" s="13">
        <v>126237</v>
      </c>
      <c r="C115" s="8">
        <v>529</v>
      </c>
      <c r="D115" s="14" t="s">
        <v>174</v>
      </c>
      <c r="E115" s="15" t="s">
        <v>968</v>
      </c>
      <c r="F115" s="14" t="s">
        <v>1135</v>
      </c>
      <c r="G115" s="17" t="s">
        <v>1200</v>
      </c>
      <c r="H115" s="17" t="s">
        <v>1181</v>
      </c>
      <c r="I115" s="14" t="s">
        <v>185</v>
      </c>
      <c r="J115" s="48" t="s">
        <v>1201</v>
      </c>
      <c r="K115" s="20">
        <v>43446</v>
      </c>
      <c r="L115" s="32">
        <v>44177</v>
      </c>
      <c r="M115" s="21">
        <f t="shared" ref="M115" si="155">S115/AE115*100</f>
        <v>85.000000000000014</v>
      </c>
      <c r="N115" s="14">
        <v>5</v>
      </c>
      <c r="O115" s="14" t="s">
        <v>723</v>
      </c>
      <c r="P115" s="14" t="s">
        <v>723</v>
      </c>
      <c r="Q115" s="42" t="s">
        <v>212</v>
      </c>
      <c r="R115" s="14" t="s">
        <v>36</v>
      </c>
      <c r="S115" s="23">
        <f t="shared" ref="S115:S121" si="156">T115+U115</f>
        <v>2072800.65</v>
      </c>
      <c r="T115" s="64">
        <v>2072800.65</v>
      </c>
      <c r="U115" s="23">
        <v>0</v>
      </c>
      <c r="V115" s="25">
        <f t="shared" ref="V115:V116" si="157">W115+X115</f>
        <v>317016.56999999995</v>
      </c>
      <c r="W115" s="23">
        <v>317016.56999999995</v>
      </c>
      <c r="X115" s="23">
        <v>0</v>
      </c>
      <c r="Y115" s="23">
        <f t="shared" ref="Y115:Y116" si="158">Z115+AA115</f>
        <v>48771.78</v>
      </c>
      <c r="Z115" s="23">
        <v>48771.78</v>
      </c>
      <c r="AA115" s="23">
        <v>0</v>
      </c>
      <c r="AB115" s="23">
        <f>AC115+AD115</f>
        <v>0</v>
      </c>
      <c r="AC115" s="23">
        <v>0</v>
      </c>
      <c r="AD115" s="23">
        <v>0</v>
      </c>
      <c r="AE115" s="23">
        <f t="shared" ref="AE115:AE116" si="159">S115+V115+Y115+AB115</f>
        <v>2438588.9999999995</v>
      </c>
      <c r="AF115" s="23">
        <v>0</v>
      </c>
      <c r="AG115" s="26">
        <f t="shared" si="97"/>
        <v>2438588.9999999995</v>
      </c>
      <c r="AH115" s="27" t="s">
        <v>585</v>
      </c>
      <c r="AI115" s="28" t="s">
        <v>185</v>
      </c>
      <c r="AJ115" s="1">
        <v>25282.91</v>
      </c>
      <c r="AK115" s="29">
        <v>3866.8</v>
      </c>
    </row>
    <row r="116" spans="1:37" ht="156" customHeight="1" x14ac:dyDescent="0.25">
      <c r="A116" s="12">
        <v>112</v>
      </c>
      <c r="B116" s="7">
        <v>126422</v>
      </c>
      <c r="C116" s="8">
        <v>536</v>
      </c>
      <c r="D116" s="9" t="s">
        <v>176</v>
      </c>
      <c r="E116" s="15" t="s">
        <v>968</v>
      </c>
      <c r="F116" s="14" t="s">
        <v>1135</v>
      </c>
      <c r="G116" s="17" t="s">
        <v>1351</v>
      </c>
      <c r="H116" s="149" t="s">
        <v>722</v>
      </c>
      <c r="I116" s="150" t="s">
        <v>1352</v>
      </c>
      <c r="J116" s="48" t="s">
        <v>1353</v>
      </c>
      <c r="K116" s="20">
        <v>43556</v>
      </c>
      <c r="L116" s="32">
        <v>44470</v>
      </c>
      <c r="M116" s="21">
        <f t="shared" si="153"/>
        <v>84.449828692364051</v>
      </c>
      <c r="N116" s="14">
        <v>5</v>
      </c>
      <c r="O116" s="14" t="s">
        <v>723</v>
      </c>
      <c r="P116" s="9" t="s">
        <v>724</v>
      </c>
      <c r="Q116" s="42" t="s">
        <v>212</v>
      </c>
      <c r="R116" s="14" t="s">
        <v>36</v>
      </c>
      <c r="S116" s="23">
        <f t="shared" si="156"/>
        <v>3195443.02</v>
      </c>
      <c r="T116" s="57">
        <v>3195443.02</v>
      </c>
      <c r="U116" s="57">
        <v>0</v>
      </c>
      <c r="V116" s="25">
        <f t="shared" si="157"/>
        <v>512716.26</v>
      </c>
      <c r="W116" s="57">
        <v>512716.26</v>
      </c>
      <c r="X116" s="33">
        <v>0</v>
      </c>
      <c r="Y116" s="23">
        <f t="shared" si="158"/>
        <v>51185.440000000002</v>
      </c>
      <c r="Z116" s="57">
        <v>51185.440000000002</v>
      </c>
      <c r="AA116" s="57">
        <v>0</v>
      </c>
      <c r="AB116" s="23">
        <f t="shared" ref="AB116" si="160">AC116+AD116</f>
        <v>24491.279999999999</v>
      </c>
      <c r="AC116" s="57">
        <v>24491.279999999999</v>
      </c>
      <c r="AD116" s="33">
        <v>0</v>
      </c>
      <c r="AE116" s="23">
        <f t="shared" si="159"/>
        <v>3783836</v>
      </c>
      <c r="AF116" s="23">
        <v>0</v>
      </c>
      <c r="AG116" s="26">
        <f t="shared" si="97"/>
        <v>3783836</v>
      </c>
      <c r="AH116" s="27" t="s">
        <v>585</v>
      </c>
      <c r="AI116" s="28" t="s">
        <v>185</v>
      </c>
      <c r="AJ116" s="1">
        <v>78194</v>
      </c>
      <c r="AK116" s="1">
        <v>0</v>
      </c>
    </row>
    <row r="117" spans="1:37" ht="379.5" customHeight="1" x14ac:dyDescent="0.25">
      <c r="A117" s="14">
        <v>113</v>
      </c>
      <c r="B117" s="7">
        <v>127741</v>
      </c>
      <c r="C117" s="8">
        <v>642</v>
      </c>
      <c r="D117" s="9" t="s">
        <v>177</v>
      </c>
      <c r="E117" s="15" t="s">
        <v>968</v>
      </c>
      <c r="F117" s="14" t="s">
        <v>1417</v>
      </c>
      <c r="G117" s="17" t="s">
        <v>1458</v>
      </c>
      <c r="H117" s="149" t="s">
        <v>1459</v>
      </c>
      <c r="I117" s="150" t="s">
        <v>185</v>
      </c>
      <c r="J117" s="48" t="s">
        <v>1460</v>
      </c>
      <c r="K117" s="20">
        <v>43622</v>
      </c>
      <c r="L117" s="32">
        <v>44353</v>
      </c>
      <c r="M117" s="21">
        <f t="shared" ref="M117" si="161">S117/AE117*100</f>
        <v>85.000000180308987</v>
      </c>
      <c r="N117" s="14">
        <v>5</v>
      </c>
      <c r="O117" s="14" t="s">
        <v>723</v>
      </c>
      <c r="P117" s="9" t="s">
        <v>1461</v>
      </c>
      <c r="Q117" s="42" t="s">
        <v>212</v>
      </c>
      <c r="R117" s="14" t="s">
        <v>36</v>
      </c>
      <c r="S117" s="23">
        <f t="shared" si="156"/>
        <v>2357064.88</v>
      </c>
      <c r="T117" s="57">
        <v>2357064.88</v>
      </c>
      <c r="U117" s="57">
        <v>0</v>
      </c>
      <c r="V117" s="25">
        <f t="shared" ref="V117:V118" si="162">W117+X117</f>
        <v>360492.27</v>
      </c>
      <c r="W117" s="57">
        <v>360492.27</v>
      </c>
      <c r="X117" s="33">
        <v>0</v>
      </c>
      <c r="Y117" s="23">
        <f t="shared" ref="Y117:Y118" si="163">Z117+AA117</f>
        <v>55460.35</v>
      </c>
      <c r="Z117" s="57">
        <v>55460.35</v>
      </c>
      <c r="AA117" s="57">
        <v>0</v>
      </c>
      <c r="AB117" s="23">
        <f t="shared" ref="AB117:AB118" si="164">AC117+AD117</f>
        <v>0</v>
      </c>
      <c r="AC117" s="57"/>
      <c r="AD117" s="33">
        <v>0</v>
      </c>
      <c r="AE117" s="23">
        <f t="shared" ref="AE117" si="165">S117+V117+Y117+AB117</f>
        <v>2773017.5</v>
      </c>
      <c r="AF117" s="23">
        <v>1</v>
      </c>
      <c r="AG117" s="26">
        <f t="shared" si="97"/>
        <v>2773018.5</v>
      </c>
      <c r="AH117" s="27" t="s">
        <v>585</v>
      </c>
      <c r="AI117" s="28"/>
      <c r="AJ117" s="1"/>
      <c r="AK117" s="1"/>
    </row>
    <row r="118" spans="1:37" ht="379.5" customHeight="1" x14ac:dyDescent="0.25">
      <c r="A118" s="12">
        <v>114</v>
      </c>
      <c r="B118" s="7">
        <v>128531</v>
      </c>
      <c r="C118" s="8">
        <v>643</v>
      </c>
      <c r="D118" s="9" t="s">
        <v>177</v>
      </c>
      <c r="E118" s="15" t="s">
        <v>968</v>
      </c>
      <c r="F118" s="14" t="s">
        <v>1417</v>
      </c>
      <c r="G118" s="17" t="s">
        <v>1482</v>
      </c>
      <c r="H118" s="149" t="s">
        <v>1481</v>
      </c>
      <c r="I118" s="150" t="s">
        <v>185</v>
      </c>
      <c r="J118" s="48" t="s">
        <v>1483</v>
      </c>
      <c r="K118" s="20">
        <v>43634</v>
      </c>
      <c r="L118" s="32">
        <v>44365</v>
      </c>
      <c r="M118" s="21">
        <f t="shared" ref="M118" si="166">S118/AE118*100</f>
        <v>85</v>
      </c>
      <c r="N118" s="14">
        <v>5</v>
      </c>
      <c r="O118" s="14" t="s">
        <v>723</v>
      </c>
      <c r="P118" s="9" t="s">
        <v>1484</v>
      </c>
      <c r="Q118" s="42" t="s">
        <v>212</v>
      </c>
      <c r="R118" s="14" t="s">
        <v>36</v>
      </c>
      <c r="S118" s="23">
        <f t="shared" si="156"/>
        <v>2728625.8</v>
      </c>
      <c r="T118" s="57">
        <v>2728625.8</v>
      </c>
      <c r="U118" s="57">
        <v>0</v>
      </c>
      <c r="V118" s="25">
        <f t="shared" si="162"/>
        <v>417319.24</v>
      </c>
      <c r="W118" s="57">
        <v>417319.24</v>
      </c>
      <c r="X118" s="33">
        <v>0</v>
      </c>
      <c r="Y118" s="23">
        <f t="shared" si="163"/>
        <v>64202.96</v>
      </c>
      <c r="Z118" s="57">
        <v>64202.96</v>
      </c>
      <c r="AA118" s="57">
        <v>0</v>
      </c>
      <c r="AB118" s="23">
        <f t="shared" si="164"/>
        <v>0</v>
      </c>
      <c r="AC118" s="57"/>
      <c r="AD118" s="33"/>
      <c r="AE118" s="23">
        <f t="shared" ref="AE118" si="167">S118+V118+Y118+AB118</f>
        <v>3210148</v>
      </c>
      <c r="AF118" s="23"/>
      <c r="AG118" s="26">
        <f t="shared" si="97"/>
        <v>3210148</v>
      </c>
      <c r="AH118" s="27" t="s">
        <v>585</v>
      </c>
      <c r="AI118" s="28"/>
      <c r="AJ118" s="1"/>
      <c r="AK118" s="1"/>
    </row>
    <row r="119" spans="1:37" ht="379.5" customHeight="1" x14ac:dyDescent="0.25">
      <c r="A119" s="12">
        <v>115</v>
      </c>
      <c r="B119" s="7">
        <v>129575</v>
      </c>
      <c r="C119" s="8">
        <v>659</v>
      </c>
      <c r="D119" s="9" t="s">
        <v>177</v>
      </c>
      <c r="E119" s="15" t="s">
        <v>968</v>
      </c>
      <c r="F119" s="14" t="s">
        <v>1417</v>
      </c>
      <c r="G119" s="17" t="s">
        <v>1512</v>
      </c>
      <c r="H119" s="149" t="s">
        <v>1510</v>
      </c>
      <c r="I119" s="150" t="s">
        <v>185</v>
      </c>
      <c r="J119" s="48" t="s">
        <v>1513</v>
      </c>
      <c r="K119" s="20">
        <v>43640</v>
      </c>
      <c r="L119" s="32">
        <v>44371</v>
      </c>
      <c r="M119" s="21">
        <f>S119/AE119*100</f>
        <v>85</v>
      </c>
      <c r="N119" s="14">
        <v>5</v>
      </c>
      <c r="O119" s="14" t="s">
        <v>723</v>
      </c>
      <c r="P119" s="9" t="s">
        <v>1511</v>
      </c>
      <c r="Q119" s="42" t="s">
        <v>212</v>
      </c>
      <c r="R119" s="14" t="s">
        <v>36</v>
      </c>
      <c r="S119" s="23">
        <f t="shared" si="156"/>
        <v>2733685.85</v>
      </c>
      <c r="T119" s="57">
        <v>2733685.85</v>
      </c>
      <c r="U119" s="57">
        <v>0</v>
      </c>
      <c r="V119" s="25">
        <f>W119+X119</f>
        <v>418093.13</v>
      </c>
      <c r="W119" s="57">
        <v>418093.13</v>
      </c>
      <c r="X119" s="151">
        <v>0</v>
      </c>
      <c r="Y119" s="23">
        <f>Z119+AA119</f>
        <v>64322.02</v>
      </c>
      <c r="Z119" s="57">
        <v>64322.02</v>
      </c>
      <c r="AA119" s="57">
        <v>0</v>
      </c>
      <c r="AB119" s="23">
        <f>AC119+AD119</f>
        <v>0</v>
      </c>
      <c r="AC119" s="57">
        <v>0</v>
      </c>
      <c r="AD119" s="57">
        <v>0</v>
      </c>
      <c r="AE119" s="23">
        <f>S119+V119+Y119+AB119</f>
        <v>3216101</v>
      </c>
      <c r="AF119" s="23">
        <v>0</v>
      </c>
      <c r="AG119" s="26">
        <f t="shared" si="97"/>
        <v>3216101</v>
      </c>
      <c r="AH119" s="27" t="s">
        <v>585</v>
      </c>
      <c r="AI119" s="28"/>
      <c r="AJ119" s="1"/>
      <c r="AK119" s="1"/>
    </row>
    <row r="120" spans="1:37" ht="283.5" x14ac:dyDescent="0.25">
      <c r="A120" s="14">
        <v>116</v>
      </c>
      <c r="B120" s="13">
        <v>120482</v>
      </c>
      <c r="C120" s="8">
        <v>68</v>
      </c>
      <c r="D120" s="14" t="s">
        <v>684</v>
      </c>
      <c r="E120" s="15" t="s">
        <v>968</v>
      </c>
      <c r="F120" s="16" t="s">
        <v>331</v>
      </c>
      <c r="G120" s="17" t="s">
        <v>280</v>
      </c>
      <c r="H120" s="17" t="s">
        <v>283</v>
      </c>
      <c r="I120" s="14" t="s">
        <v>185</v>
      </c>
      <c r="J120" s="48" t="s">
        <v>286</v>
      </c>
      <c r="K120" s="20">
        <v>43145</v>
      </c>
      <c r="L120" s="32">
        <v>43630</v>
      </c>
      <c r="M120" s="21">
        <f t="shared" ref="M120" si="168">S120/AE120*100</f>
        <v>85</v>
      </c>
      <c r="N120" s="14">
        <v>3</v>
      </c>
      <c r="O120" s="14" t="s">
        <v>287</v>
      </c>
      <c r="P120" s="14" t="s">
        <v>288</v>
      </c>
      <c r="Q120" s="42" t="s">
        <v>212</v>
      </c>
      <c r="R120" s="14" t="s">
        <v>36</v>
      </c>
      <c r="S120" s="23">
        <f t="shared" si="156"/>
        <v>508342.5</v>
      </c>
      <c r="T120" s="64">
        <v>508342.5</v>
      </c>
      <c r="U120" s="23">
        <v>0</v>
      </c>
      <c r="V120" s="25">
        <f t="shared" si="150"/>
        <v>77746.5</v>
      </c>
      <c r="W120" s="23">
        <v>77746.5</v>
      </c>
      <c r="X120" s="23">
        <v>0</v>
      </c>
      <c r="Y120" s="23">
        <f t="shared" ref="Y120" si="169">Z120+AA120</f>
        <v>11961</v>
      </c>
      <c r="Z120" s="23">
        <v>11961</v>
      </c>
      <c r="AA120" s="23">
        <v>0</v>
      </c>
      <c r="AB120" s="23">
        <f t="shared" si="152"/>
        <v>0</v>
      </c>
      <c r="AC120" s="23"/>
      <c r="AD120" s="23"/>
      <c r="AE120" s="23">
        <f t="shared" si="128"/>
        <v>598050</v>
      </c>
      <c r="AF120" s="23">
        <v>0</v>
      </c>
      <c r="AG120" s="26">
        <f t="shared" si="97"/>
        <v>598050</v>
      </c>
      <c r="AH120" s="27" t="s">
        <v>585</v>
      </c>
      <c r="AI120" s="28"/>
      <c r="AJ120" s="1">
        <f>139474.65+11873.47+58460.39+21305.82+73284.52</f>
        <v>304398.85000000003</v>
      </c>
      <c r="AK120" s="29">
        <f>21331.41+1815.94+8941+3258.54+11208.22</f>
        <v>46555.11</v>
      </c>
    </row>
    <row r="121" spans="1:37" ht="409.5" x14ac:dyDescent="0.25">
      <c r="A121" s="12">
        <v>117</v>
      </c>
      <c r="B121" s="13">
        <v>122108</v>
      </c>
      <c r="C121" s="8">
        <v>83</v>
      </c>
      <c r="D121" s="14" t="s">
        <v>684</v>
      </c>
      <c r="E121" s="15" t="s">
        <v>968</v>
      </c>
      <c r="F121" s="16" t="s">
        <v>331</v>
      </c>
      <c r="G121" s="17" t="s">
        <v>465</v>
      </c>
      <c r="H121" s="17" t="s">
        <v>466</v>
      </c>
      <c r="I121" s="14" t="s">
        <v>185</v>
      </c>
      <c r="J121" s="48" t="s">
        <v>518</v>
      </c>
      <c r="K121" s="20">
        <v>43234</v>
      </c>
      <c r="L121" s="32">
        <v>43722</v>
      </c>
      <c r="M121" s="21">
        <f t="shared" ref="M121:M123" si="170">S121/AE121*100</f>
        <v>84.999995128143141</v>
      </c>
      <c r="N121" s="14">
        <v>3</v>
      </c>
      <c r="O121" s="14" t="s">
        <v>287</v>
      </c>
      <c r="P121" s="14" t="s">
        <v>467</v>
      </c>
      <c r="Q121" s="42" t="s">
        <v>212</v>
      </c>
      <c r="R121" s="14" t="s">
        <v>36</v>
      </c>
      <c r="S121" s="23">
        <f t="shared" si="156"/>
        <v>322772.19</v>
      </c>
      <c r="T121" s="24">
        <v>322772.19</v>
      </c>
      <c r="U121" s="152">
        <v>0</v>
      </c>
      <c r="V121" s="25">
        <f t="shared" ref="V121" si="171">W121+X121</f>
        <v>49365.18</v>
      </c>
      <c r="W121" s="23">
        <v>49365.18</v>
      </c>
      <c r="X121" s="23">
        <v>0</v>
      </c>
      <c r="Y121" s="23">
        <f t="shared" ref="Y121" si="172">Z121+AA121</f>
        <v>7594.64</v>
      </c>
      <c r="Z121" s="23">
        <v>7594.64</v>
      </c>
      <c r="AA121" s="23">
        <v>0</v>
      </c>
      <c r="AB121" s="23">
        <f t="shared" ref="AB121" si="173">AC121+AD121</f>
        <v>0</v>
      </c>
      <c r="AC121" s="23">
        <v>0</v>
      </c>
      <c r="AD121" s="23">
        <v>0</v>
      </c>
      <c r="AE121" s="23">
        <v>379732.01</v>
      </c>
      <c r="AF121" s="23">
        <v>55635.199999999997</v>
      </c>
      <c r="AG121" s="26">
        <f t="shared" si="97"/>
        <v>435367.21</v>
      </c>
      <c r="AH121" s="27" t="s">
        <v>585</v>
      </c>
      <c r="AI121" s="28" t="s">
        <v>1453</v>
      </c>
      <c r="AJ121" s="1">
        <f>33333.97+12894.42+14394.75</f>
        <v>60623.14</v>
      </c>
      <c r="AK121" s="29">
        <f>5098.14+1972.08+2201.55</f>
        <v>9271.77</v>
      </c>
    </row>
    <row r="122" spans="1:37" ht="362.25" x14ac:dyDescent="0.25">
      <c r="A122" s="12">
        <v>118</v>
      </c>
      <c r="B122" s="35">
        <v>118782</v>
      </c>
      <c r="C122" s="18">
        <v>444</v>
      </c>
      <c r="D122" s="18" t="s">
        <v>684</v>
      </c>
      <c r="E122" s="15" t="s">
        <v>704</v>
      </c>
      <c r="F122" s="16" t="s">
        <v>610</v>
      </c>
      <c r="G122" s="15" t="s">
        <v>830</v>
      </c>
      <c r="H122" s="15" t="s">
        <v>829</v>
      </c>
      <c r="I122" s="9"/>
      <c r="J122" s="39" t="s">
        <v>828</v>
      </c>
      <c r="K122" s="20">
        <v>43304</v>
      </c>
      <c r="L122" s="32">
        <v>43669</v>
      </c>
      <c r="M122" s="21">
        <f t="shared" si="170"/>
        <v>85</v>
      </c>
      <c r="N122" s="9">
        <v>3</v>
      </c>
      <c r="O122" s="14" t="s">
        <v>287</v>
      </c>
      <c r="P122" s="18" t="s">
        <v>831</v>
      </c>
      <c r="Q122" s="42" t="s">
        <v>212</v>
      </c>
      <c r="R122" s="14" t="s">
        <v>36</v>
      </c>
      <c r="S122" s="23">
        <v>242091.39</v>
      </c>
      <c r="T122" s="153">
        <f>S122</f>
        <v>242091.39</v>
      </c>
      <c r="U122" s="33">
        <v>0</v>
      </c>
      <c r="V122" s="25">
        <v>37025.74</v>
      </c>
      <c r="W122" s="1">
        <f>V122</f>
        <v>37025.74</v>
      </c>
      <c r="X122" s="33">
        <v>0</v>
      </c>
      <c r="Y122" s="1">
        <v>5696.27</v>
      </c>
      <c r="Z122" s="1">
        <f>Y122</f>
        <v>5696.27</v>
      </c>
      <c r="AA122" s="1">
        <v>0</v>
      </c>
      <c r="AB122" s="23">
        <f t="shared" si="152"/>
        <v>0</v>
      </c>
      <c r="AC122" s="33"/>
      <c r="AD122" s="33"/>
      <c r="AE122" s="23">
        <f>S122+V122+Y122+AB122</f>
        <v>284813.40000000002</v>
      </c>
      <c r="AF122" s="34"/>
      <c r="AG122" s="26">
        <f t="shared" si="97"/>
        <v>284813.40000000002</v>
      </c>
      <c r="AH122" s="27" t="s">
        <v>585</v>
      </c>
      <c r="AI122" s="34"/>
      <c r="AJ122" s="23">
        <f>28481.34-3066.97+23120.26-3309.72+24950.16</f>
        <v>70175.069999999992</v>
      </c>
      <c r="AK122" s="23">
        <f>3066.97+3309.72</f>
        <v>6376.69</v>
      </c>
    </row>
    <row r="123" spans="1:37" s="154" customFormat="1" ht="237.75" customHeight="1" x14ac:dyDescent="0.25">
      <c r="A123" s="14">
        <v>119</v>
      </c>
      <c r="B123" s="35">
        <v>118562</v>
      </c>
      <c r="C123" s="18">
        <v>430</v>
      </c>
      <c r="D123" s="18" t="s">
        <v>684</v>
      </c>
      <c r="E123" s="15" t="s">
        <v>704</v>
      </c>
      <c r="F123" s="16" t="s">
        <v>610</v>
      </c>
      <c r="G123" s="15" t="s">
        <v>889</v>
      </c>
      <c r="H123" s="18" t="s">
        <v>890</v>
      </c>
      <c r="I123" s="9" t="s">
        <v>185</v>
      </c>
      <c r="J123" s="39" t="s">
        <v>891</v>
      </c>
      <c r="K123" s="20">
        <v>43318</v>
      </c>
      <c r="L123" s="32">
        <v>43683</v>
      </c>
      <c r="M123" s="21">
        <f t="shared" si="170"/>
        <v>85</v>
      </c>
      <c r="N123" s="9">
        <v>3</v>
      </c>
      <c r="O123" s="14" t="s">
        <v>287</v>
      </c>
      <c r="P123" s="18" t="s">
        <v>288</v>
      </c>
      <c r="Q123" s="42" t="s">
        <v>212</v>
      </c>
      <c r="R123" s="14" t="s">
        <v>36</v>
      </c>
      <c r="S123" s="23">
        <f>T123+U123</f>
        <v>244199.22</v>
      </c>
      <c r="T123" s="153">
        <v>244199.22</v>
      </c>
      <c r="U123" s="33">
        <v>0</v>
      </c>
      <c r="V123" s="25">
        <f>W123+X123</f>
        <v>37348.11</v>
      </c>
      <c r="W123" s="1">
        <v>37348.11</v>
      </c>
      <c r="X123" s="33">
        <v>0</v>
      </c>
      <c r="Y123" s="1">
        <f t="shared" ref="Y123:Y128" si="174">Z123+AA123</f>
        <v>5745.87</v>
      </c>
      <c r="Z123" s="1">
        <v>5745.87</v>
      </c>
      <c r="AA123" s="1">
        <v>0</v>
      </c>
      <c r="AC123" s="33">
        <v>0</v>
      </c>
      <c r="AD123" s="33">
        <v>0</v>
      </c>
      <c r="AE123" s="23">
        <f>S123+V123+Y123+AB124</f>
        <v>287293.2</v>
      </c>
      <c r="AF123" s="34">
        <v>0</v>
      </c>
      <c r="AG123" s="26">
        <f t="shared" si="97"/>
        <v>287293.2</v>
      </c>
      <c r="AH123" s="27" t="s">
        <v>585</v>
      </c>
      <c r="AI123" s="34"/>
      <c r="AJ123" s="23">
        <f>28906.01+15593.07</f>
        <v>44499.08</v>
      </c>
      <c r="AK123" s="23">
        <f>4420.92+2384.82</f>
        <v>6805.74</v>
      </c>
    </row>
    <row r="124" spans="1:37" s="154" customFormat="1" ht="237.75" customHeight="1" x14ac:dyDescent="0.25">
      <c r="A124" s="12">
        <v>120</v>
      </c>
      <c r="B124" s="35">
        <v>128788</v>
      </c>
      <c r="C124" s="18">
        <v>632</v>
      </c>
      <c r="D124" s="18" t="s">
        <v>173</v>
      </c>
      <c r="E124" s="15" t="s">
        <v>968</v>
      </c>
      <c r="F124" s="16" t="s">
        <v>1417</v>
      </c>
      <c r="G124" s="15" t="s">
        <v>1448</v>
      </c>
      <c r="H124" s="18" t="s">
        <v>1445</v>
      </c>
      <c r="I124" s="9" t="s">
        <v>185</v>
      </c>
      <c r="J124" s="39" t="s">
        <v>1447</v>
      </c>
      <c r="K124" s="20">
        <v>43622</v>
      </c>
      <c r="L124" s="32">
        <v>44475</v>
      </c>
      <c r="M124" s="21">
        <f>S124/AE124*100</f>
        <v>85.000000230035937</v>
      </c>
      <c r="N124" s="9">
        <v>3</v>
      </c>
      <c r="O124" s="14" t="s">
        <v>287</v>
      </c>
      <c r="P124" s="18" t="s">
        <v>1446</v>
      </c>
      <c r="Q124" s="42" t="s">
        <v>212</v>
      </c>
      <c r="R124" s="14" t="s">
        <v>36</v>
      </c>
      <c r="S124" s="23">
        <f>T124+U124</f>
        <v>1847537.48</v>
      </c>
      <c r="T124" s="153">
        <v>1847537.48</v>
      </c>
      <c r="U124" s="33">
        <v>0</v>
      </c>
      <c r="V124" s="25">
        <f>W124+X124</f>
        <v>282564.55</v>
      </c>
      <c r="W124" s="1">
        <v>282564.55</v>
      </c>
      <c r="X124" s="33">
        <v>0</v>
      </c>
      <c r="Y124" s="1">
        <f t="shared" si="174"/>
        <v>43471.47</v>
      </c>
      <c r="Z124" s="1">
        <v>43471.47</v>
      </c>
      <c r="AA124" s="1">
        <v>0</v>
      </c>
      <c r="AB124" s="1">
        <f>AC124+AD124</f>
        <v>0</v>
      </c>
      <c r="AC124" s="33">
        <v>0</v>
      </c>
      <c r="AD124" s="33">
        <v>0</v>
      </c>
      <c r="AE124" s="23">
        <f>S124+V124+Y124+AB124</f>
        <v>2173573.5</v>
      </c>
      <c r="AF124" s="34">
        <v>0</v>
      </c>
      <c r="AG124" s="26">
        <f t="shared" si="97"/>
        <v>2173573.5</v>
      </c>
      <c r="AH124" s="27" t="s">
        <v>585</v>
      </c>
      <c r="AI124" s="34"/>
      <c r="AJ124" s="23"/>
      <c r="AK124" s="23"/>
    </row>
    <row r="125" spans="1:37" s="154" customFormat="1" ht="232.5" customHeight="1" x14ac:dyDescent="0.25">
      <c r="A125" s="12">
        <v>121</v>
      </c>
      <c r="B125" s="35">
        <v>129218</v>
      </c>
      <c r="C125" s="18">
        <v>645</v>
      </c>
      <c r="D125" s="18" t="s">
        <v>177</v>
      </c>
      <c r="E125" s="15" t="s">
        <v>968</v>
      </c>
      <c r="F125" s="16" t="s">
        <v>1417</v>
      </c>
      <c r="G125" s="155" t="s">
        <v>1517</v>
      </c>
      <c r="H125" s="18" t="s">
        <v>1518</v>
      </c>
      <c r="I125" s="9" t="s">
        <v>185</v>
      </c>
      <c r="J125" s="39" t="s">
        <v>1519</v>
      </c>
      <c r="K125" s="20">
        <v>43643</v>
      </c>
      <c r="L125" s="32">
        <v>44192</v>
      </c>
      <c r="M125" s="21">
        <f>S125/AE125*100</f>
        <v>84.999999707660962</v>
      </c>
      <c r="N125" s="9">
        <v>3</v>
      </c>
      <c r="O125" s="14" t="s">
        <v>287</v>
      </c>
      <c r="P125" s="18" t="s">
        <v>467</v>
      </c>
      <c r="Q125" s="42" t="s">
        <v>212</v>
      </c>
      <c r="R125" s="14" t="s">
        <v>36</v>
      </c>
      <c r="S125" s="23">
        <f>T125+U125</f>
        <v>2326066.37</v>
      </c>
      <c r="T125" s="153">
        <v>2326066.37</v>
      </c>
      <c r="U125" s="33">
        <v>0</v>
      </c>
      <c r="V125" s="25">
        <f>W125+X125</f>
        <v>355751.33</v>
      </c>
      <c r="W125" s="1">
        <v>355751.33</v>
      </c>
      <c r="X125" s="33">
        <v>0</v>
      </c>
      <c r="Y125" s="1">
        <f t="shared" si="174"/>
        <v>54730.98</v>
      </c>
      <c r="Z125" s="1">
        <v>54730.98</v>
      </c>
      <c r="AA125" s="1">
        <v>0</v>
      </c>
      <c r="AB125" s="1">
        <f>AC125+AD125</f>
        <v>0</v>
      </c>
      <c r="AC125" s="33">
        <v>0</v>
      </c>
      <c r="AD125" s="33">
        <v>0</v>
      </c>
      <c r="AE125" s="23">
        <f>S125+V125+Y125+AB126</f>
        <v>2736548.68</v>
      </c>
      <c r="AF125" s="34">
        <v>0</v>
      </c>
      <c r="AG125" s="26">
        <f t="shared" si="97"/>
        <v>2736548.68</v>
      </c>
      <c r="AH125" s="27" t="s">
        <v>585</v>
      </c>
      <c r="AI125" s="34"/>
      <c r="AJ125" s="23"/>
      <c r="AK125" s="23"/>
    </row>
    <row r="126" spans="1:37" ht="155.25" customHeight="1" x14ac:dyDescent="0.25">
      <c r="A126" s="14">
        <v>122</v>
      </c>
      <c r="B126" s="13">
        <v>128275</v>
      </c>
      <c r="C126" s="67">
        <v>636</v>
      </c>
      <c r="D126" s="13" t="s">
        <v>174</v>
      </c>
      <c r="E126" s="15" t="s">
        <v>968</v>
      </c>
      <c r="F126" s="16" t="s">
        <v>1417</v>
      </c>
      <c r="G126" s="68" t="s">
        <v>1467</v>
      </c>
      <c r="H126" s="30" t="s">
        <v>1465</v>
      </c>
      <c r="I126" s="9" t="s">
        <v>185</v>
      </c>
      <c r="J126" s="19" t="s">
        <v>1472</v>
      </c>
      <c r="K126" s="20">
        <v>43629</v>
      </c>
      <c r="L126" s="20">
        <v>44360</v>
      </c>
      <c r="M126" s="21">
        <f>S126/AE126*100</f>
        <v>85.000000189128897</v>
      </c>
      <c r="N126" s="69">
        <v>1</v>
      </c>
      <c r="O126" s="14" t="s">
        <v>817</v>
      </c>
      <c r="P126" s="14" t="s">
        <v>1470</v>
      </c>
      <c r="Q126" s="70" t="s">
        <v>212</v>
      </c>
      <c r="R126" s="14" t="s">
        <v>36</v>
      </c>
      <c r="S126" s="23">
        <f>T126+U126</f>
        <v>2247144.58</v>
      </c>
      <c r="T126" s="153">
        <v>0</v>
      </c>
      <c r="U126" s="23">
        <v>2247144.58</v>
      </c>
      <c r="V126" s="25">
        <f t="shared" ref="V126" si="175">W126+X126</f>
        <v>343680.93</v>
      </c>
      <c r="W126" s="1">
        <v>0</v>
      </c>
      <c r="X126" s="33">
        <v>343680.93</v>
      </c>
      <c r="Y126" s="1">
        <f t="shared" si="174"/>
        <v>52873.99</v>
      </c>
      <c r="Z126" s="1">
        <v>0</v>
      </c>
      <c r="AA126" s="1">
        <v>52873.99</v>
      </c>
      <c r="AB126" s="1">
        <f>AC126+AD126</f>
        <v>0</v>
      </c>
      <c r="AC126" s="102">
        <v>0</v>
      </c>
      <c r="AD126" s="102">
        <v>0</v>
      </c>
      <c r="AE126" s="23">
        <f>S126+V126+Y126+AB126</f>
        <v>2643699.5000000005</v>
      </c>
      <c r="AF126" s="37">
        <v>0</v>
      </c>
      <c r="AG126" s="26">
        <f t="shared" si="97"/>
        <v>2643699.5000000005</v>
      </c>
      <c r="AH126" s="99" t="s">
        <v>871</v>
      </c>
      <c r="AI126" s="28"/>
      <c r="AJ126" s="29"/>
      <c r="AK126" s="29"/>
    </row>
    <row r="127" spans="1:37" ht="270" customHeight="1" x14ac:dyDescent="0.25">
      <c r="A127" s="12">
        <v>123</v>
      </c>
      <c r="B127" s="18">
        <v>119895</v>
      </c>
      <c r="C127" s="18">
        <v>458</v>
      </c>
      <c r="D127" s="18" t="s">
        <v>1074</v>
      </c>
      <c r="E127" s="18" t="s">
        <v>1041</v>
      </c>
      <c r="F127" s="41" t="s">
        <v>841</v>
      </c>
      <c r="G127" s="156" t="s">
        <v>850</v>
      </c>
      <c r="H127" s="156" t="s">
        <v>851</v>
      </c>
      <c r="I127" s="9" t="s">
        <v>185</v>
      </c>
      <c r="J127" s="15" t="s">
        <v>852</v>
      </c>
      <c r="K127" s="20">
        <v>43312</v>
      </c>
      <c r="L127" s="32">
        <v>43677</v>
      </c>
      <c r="M127" s="21">
        <f t="shared" ref="M127:M128" si="176">S127/AE127*100</f>
        <v>79.999998251321642</v>
      </c>
      <c r="N127" s="18">
        <v>8</v>
      </c>
      <c r="O127" s="14" t="s">
        <v>853</v>
      </c>
      <c r="P127" s="14" t="s">
        <v>854</v>
      </c>
      <c r="Q127" s="14" t="s">
        <v>212</v>
      </c>
      <c r="R127" s="14" t="s">
        <v>36</v>
      </c>
      <c r="S127" s="23">
        <f>T127+U127</f>
        <v>457488.35</v>
      </c>
      <c r="T127" s="157">
        <v>0</v>
      </c>
      <c r="U127" s="158">
        <v>457488.35</v>
      </c>
      <c r="V127" s="25">
        <f t="shared" si="150"/>
        <v>102934.89</v>
      </c>
      <c r="W127" s="158">
        <v>0</v>
      </c>
      <c r="X127" s="159">
        <v>102934.89</v>
      </c>
      <c r="Y127" s="23">
        <f t="shared" si="174"/>
        <v>11437.21</v>
      </c>
      <c r="Z127" s="158">
        <v>0</v>
      </c>
      <c r="AA127" s="160">
        <v>11437.21</v>
      </c>
      <c r="AB127" s="23">
        <f t="shared" si="152"/>
        <v>0</v>
      </c>
      <c r="AC127" s="158">
        <v>0</v>
      </c>
      <c r="AD127" s="160">
        <v>0</v>
      </c>
      <c r="AE127" s="23">
        <f>S127+V127+Y127+AB127</f>
        <v>571860.44999999995</v>
      </c>
      <c r="AF127" s="23">
        <v>0</v>
      </c>
      <c r="AG127" s="26">
        <f t="shared" si="97"/>
        <v>571860.44999999995</v>
      </c>
      <c r="AH127" s="27" t="s">
        <v>585</v>
      </c>
      <c r="AI127" s="34"/>
      <c r="AJ127" s="26">
        <v>26798.799999999999</v>
      </c>
      <c r="AK127" s="23">
        <v>6029.73</v>
      </c>
    </row>
    <row r="128" spans="1:37" ht="142.5" customHeight="1" x14ac:dyDescent="0.25">
      <c r="A128" s="12">
        <v>124</v>
      </c>
      <c r="B128" s="35">
        <v>126391</v>
      </c>
      <c r="C128" s="18">
        <v>508</v>
      </c>
      <c r="D128" s="18" t="s">
        <v>843</v>
      </c>
      <c r="E128" s="18" t="s">
        <v>968</v>
      </c>
      <c r="F128" s="14" t="s">
        <v>1142</v>
      </c>
      <c r="G128" s="15" t="s">
        <v>1203</v>
      </c>
      <c r="H128" s="156" t="s">
        <v>851</v>
      </c>
      <c r="I128" s="9" t="s">
        <v>185</v>
      </c>
      <c r="J128" s="15" t="s">
        <v>1204</v>
      </c>
      <c r="K128" s="20">
        <v>43452</v>
      </c>
      <c r="L128" s="32">
        <v>44365</v>
      </c>
      <c r="M128" s="21">
        <f t="shared" si="176"/>
        <v>80.000000098352359</v>
      </c>
      <c r="N128" s="18">
        <v>8</v>
      </c>
      <c r="O128" s="14" t="s">
        <v>853</v>
      </c>
      <c r="P128" s="14" t="s">
        <v>854</v>
      </c>
      <c r="Q128" s="14" t="s">
        <v>212</v>
      </c>
      <c r="R128" s="14" t="s">
        <v>36</v>
      </c>
      <c r="S128" s="23">
        <f t="shared" ref="S128" si="177">T128+U128</f>
        <v>1626803.97</v>
      </c>
      <c r="T128" s="161">
        <v>0</v>
      </c>
      <c r="U128" s="1">
        <v>1626803.97</v>
      </c>
      <c r="V128" s="25">
        <f t="shared" si="150"/>
        <v>366030.89</v>
      </c>
      <c r="W128" s="161">
        <v>0</v>
      </c>
      <c r="X128" s="29">
        <v>366030.89</v>
      </c>
      <c r="Y128" s="29">
        <f t="shared" si="174"/>
        <v>40670.1</v>
      </c>
      <c r="Z128" s="162">
        <v>0</v>
      </c>
      <c r="AA128" s="161">
        <v>40670.1</v>
      </c>
      <c r="AB128" s="23">
        <f t="shared" si="152"/>
        <v>0</v>
      </c>
      <c r="AC128" s="162">
        <v>0</v>
      </c>
      <c r="AD128" s="161">
        <v>0</v>
      </c>
      <c r="AE128" s="23">
        <f>S128+V128+Y128+AB128</f>
        <v>2033504.96</v>
      </c>
      <c r="AF128" s="37">
        <v>485522.74</v>
      </c>
      <c r="AG128" s="26">
        <f t="shared" si="97"/>
        <v>2519027.7000000002</v>
      </c>
      <c r="AH128" s="27" t="s">
        <v>585</v>
      </c>
      <c r="AI128" s="34"/>
      <c r="AJ128" s="23">
        <v>0</v>
      </c>
      <c r="AK128" s="23">
        <v>0</v>
      </c>
    </row>
    <row r="129" spans="1:37" ht="150" customHeight="1" x14ac:dyDescent="0.25">
      <c r="A129" s="14">
        <v>125</v>
      </c>
      <c r="B129" s="13">
        <v>122738</v>
      </c>
      <c r="C129" s="8">
        <v>73</v>
      </c>
      <c r="D129" s="14" t="s">
        <v>684</v>
      </c>
      <c r="E129" s="15" t="s">
        <v>968</v>
      </c>
      <c r="F129" s="16" t="s">
        <v>331</v>
      </c>
      <c r="G129" s="163" t="s">
        <v>705</v>
      </c>
      <c r="H129" s="15" t="s">
        <v>706</v>
      </c>
      <c r="I129" s="9" t="s">
        <v>185</v>
      </c>
      <c r="J129" s="15" t="s">
        <v>1382</v>
      </c>
      <c r="K129" s="20">
        <v>43284</v>
      </c>
      <c r="L129" s="32">
        <v>43772</v>
      </c>
      <c r="M129" s="21">
        <f t="shared" ref="M129:M130" si="178">S129/AE129*100</f>
        <v>85.000002334434541</v>
      </c>
      <c r="N129" s="14">
        <v>6</v>
      </c>
      <c r="O129" s="14" t="s">
        <v>707</v>
      </c>
      <c r="P129" s="14" t="s">
        <v>708</v>
      </c>
      <c r="Q129" s="42" t="s">
        <v>212</v>
      </c>
      <c r="R129" s="14" t="s">
        <v>36</v>
      </c>
      <c r="S129" s="25">
        <f t="shared" ref="S129" si="179">T129+U129</f>
        <v>527965.13</v>
      </c>
      <c r="T129" s="158">
        <v>527965.13</v>
      </c>
      <c r="U129" s="23">
        <v>0</v>
      </c>
      <c r="V129" s="25">
        <f t="shared" ref="V129" si="180">W129+X129</f>
        <v>80747.570000000007</v>
      </c>
      <c r="W129" s="158">
        <v>80747.570000000007</v>
      </c>
      <c r="X129" s="23">
        <v>0</v>
      </c>
      <c r="Y129" s="25">
        <f t="shared" ref="Y129" si="181">Z129+AA129</f>
        <v>12422.73</v>
      </c>
      <c r="Z129" s="164">
        <v>12422.73</v>
      </c>
      <c r="AA129" s="23">
        <v>0</v>
      </c>
      <c r="AB129" s="23">
        <f t="shared" ref="AB129" si="182">AC129+AD129</f>
        <v>0</v>
      </c>
      <c r="AC129" s="23">
        <v>0</v>
      </c>
      <c r="AD129" s="23">
        <v>0</v>
      </c>
      <c r="AE129" s="23">
        <f t="shared" ref="AE129" si="183">S129+V129+Y129+AB129</f>
        <v>621135.42999999993</v>
      </c>
      <c r="AF129" s="23">
        <v>0</v>
      </c>
      <c r="AG129" s="26">
        <f t="shared" si="97"/>
        <v>621135.42999999993</v>
      </c>
      <c r="AH129" s="27" t="s">
        <v>585</v>
      </c>
      <c r="AI129" s="28"/>
      <c r="AJ129" s="26">
        <f>21406.41+58309.25+17499.8</f>
        <v>97215.46</v>
      </c>
      <c r="AK129" s="23">
        <f>3273.92+8917.89+2676.44</f>
        <v>14868.25</v>
      </c>
    </row>
    <row r="130" spans="1:37" ht="315" x14ac:dyDescent="0.25">
      <c r="A130" s="12">
        <v>126</v>
      </c>
      <c r="B130" s="35">
        <v>126337</v>
      </c>
      <c r="C130" s="8">
        <v>556</v>
      </c>
      <c r="D130" s="9" t="s">
        <v>1074</v>
      </c>
      <c r="E130" s="18" t="s">
        <v>968</v>
      </c>
      <c r="F130" s="16" t="s">
        <v>1135</v>
      </c>
      <c r="G130" s="15" t="s">
        <v>1381</v>
      </c>
      <c r="H130" s="15" t="s">
        <v>706</v>
      </c>
      <c r="I130" s="9" t="s">
        <v>185</v>
      </c>
      <c r="J130" s="15" t="s">
        <v>1383</v>
      </c>
      <c r="K130" s="20">
        <v>43577</v>
      </c>
      <c r="L130" s="32">
        <v>44491</v>
      </c>
      <c r="M130" s="21">
        <f t="shared" si="178"/>
        <v>85.000000442818262</v>
      </c>
      <c r="N130" s="14">
        <v>6</v>
      </c>
      <c r="O130" s="14" t="s">
        <v>707</v>
      </c>
      <c r="P130" s="14" t="s">
        <v>708</v>
      </c>
      <c r="Q130" s="42" t="s">
        <v>212</v>
      </c>
      <c r="R130" s="14" t="s">
        <v>36</v>
      </c>
      <c r="S130" s="23">
        <f t="shared" ref="S130" si="184">T130+U130</f>
        <v>3359165.89</v>
      </c>
      <c r="T130" s="158">
        <v>3359165.89</v>
      </c>
      <c r="U130" s="23">
        <v>0</v>
      </c>
      <c r="V130" s="25">
        <f t="shared" si="150"/>
        <v>513754.76</v>
      </c>
      <c r="W130" s="158">
        <v>513754.76</v>
      </c>
      <c r="X130" s="23">
        <v>0</v>
      </c>
      <c r="Y130" s="153">
        <f>Z130+AA130</f>
        <v>79039.199999999997</v>
      </c>
      <c r="Z130" s="164">
        <v>79039.199999999997</v>
      </c>
      <c r="AA130" s="23">
        <v>0</v>
      </c>
      <c r="AB130" s="23">
        <f t="shared" si="152"/>
        <v>0</v>
      </c>
      <c r="AC130" s="23">
        <v>0</v>
      </c>
      <c r="AD130" s="23">
        <v>0</v>
      </c>
      <c r="AE130" s="23">
        <f t="shared" si="128"/>
        <v>3951959.8500000006</v>
      </c>
      <c r="AF130" s="23">
        <v>15981.7</v>
      </c>
      <c r="AG130" s="26">
        <f t="shared" si="97"/>
        <v>3967941.5500000007</v>
      </c>
      <c r="AH130" s="27" t="s">
        <v>585</v>
      </c>
      <c r="AI130" s="34"/>
      <c r="AJ130" s="23">
        <v>0</v>
      </c>
      <c r="AK130" s="23">
        <v>0</v>
      </c>
    </row>
    <row r="131" spans="1:37" ht="283.5" x14ac:dyDescent="0.25">
      <c r="A131" s="12">
        <v>127</v>
      </c>
      <c r="B131" s="13">
        <v>110238</v>
      </c>
      <c r="C131" s="8">
        <v>120</v>
      </c>
      <c r="D131" s="14" t="s">
        <v>172</v>
      </c>
      <c r="E131" s="15" t="s">
        <v>968</v>
      </c>
      <c r="F131" s="16" t="s">
        <v>331</v>
      </c>
      <c r="G131" s="165" t="s">
        <v>292</v>
      </c>
      <c r="H131" s="17" t="s">
        <v>293</v>
      </c>
      <c r="I131" s="14" t="s">
        <v>185</v>
      </c>
      <c r="J131" s="19" t="s">
        <v>309</v>
      </c>
      <c r="K131" s="20">
        <v>43166</v>
      </c>
      <c r="L131" s="32">
        <v>43836</v>
      </c>
      <c r="M131" s="21">
        <f t="shared" ref="M131:M132" si="185">S131/AE131*100</f>
        <v>85.000000235397167</v>
      </c>
      <c r="N131" s="14">
        <v>4</v>
      </c>
      <c r="O131" s="14" t="s">
        <v>295</v>
      </c>
      <c r="P131" s="14" t="s">
        <v>294</v>
      </c>
      <c r="Q131" s="42" t="s">
        <v>212</v>
      </c>
      <c r="R131" s="14" t="s">
        <v>36</v>
      </c>
      <c r="S131" s="25">
        <f t="shared" ref="S131:S132" si="186">T131+U131</f>
        <v>361091.85</v>
      </c>
      <c r="T131" s="159">
        <v>361091.85</v>
      </c>
      <c r="U131" s="23">
        <v>0</v>
      </c>
      <c r="V131" s="25">
        <f t="shared" si="150"/>
        <v>55225.82</v>
      </c>
      <c r="W131" s="159">
        <v>55225.82</v>
      </c>
      <c r="X131" s="23">
        <v>0</v>
      </c>
      <c r="Y131" s="25">
        <f t="shared" ref="Y131" si="187">Z131+AA131</f>
        <v>8496.27</v>
      </c>
      <c r="Z131" s="166">
        <v>8496.27</v>
      </c>
      <c r="AA131" s="23">
        <v>0</v>
      </c>
      <c r="AB131" s="23">
        <f t="shared" si="152"/>
        <v>0</v>
      </c>
      <c r="AC131" s="23"/>
      <c r="AD131" s="23"/>
      <c r="AE131" s="23">
        <f t="shared" si="128"/>
        <v>424813.94</v>
      </c>
      <c r="AF131" s="23">
        <v>0</v>
      </c>
      <c r="AG131" s="26">
        <f t="shared" si="97"/>
        <v>424813.94</v>
      </c>
      <c r="AH131" s="27" t="s">
        <v>585</v>
      </c>
      <c r="AI131" s="28" t="s">
        <v>1403</v>
      </c>
      <c r="AJ131" s="26">
        <f>36851.39+107373.8</f>
        <v>144225.19</v>
      </c>
      <c r="AK131" s="23">
        <f>5630+16427.98</f>
        <v>22057.98</v>
      </c>
    </row>
    <row r="132" spans="1:37" ht="236.25" x14ac:dyDescent="0.25">
      <c r="A132" s="14">
        <v>128</v>
      </c>
      <c r="B132" s="13">
        <v>117741</v>
      </c>
      <c r="C132" s="18">
        <v>415</v>
      </c>
      <c r="D132" s="14" t="s">
        <v>175</v>
      </c>
      <c r="E132" s="15" t="s">
        <v>704</v>
      </c>
      <c r="F132" s="17" t="s">
        <v>610</v>
      </c>
      <c r="G132" s="17" t="s">
        <v>844</v>
      </c>
      <c r="H132" s="17" t="s">
        <v>845</v>
      </c>
      <c r="I132" s="14" t="s">
        <v>746</v>
      </c>
      <c r="J132" s="17" t="s">
        <v>846</v>
      </c>
      <c r="K132" s="20">
        <v>43311</v>
      </c>
      <c r="L132" s="32">
        <v>43676</v>
      </c>
      <c r="M132" s="21">
        <f t="shared" si="185"/>
        <v>84.15024511492409</v>
      </c>
      <c r="N132" s="14">
        <v>4</v>
      </c>
      <c r="O132" s="14" t="s">
        <v>295</v>
      </c>
      <c r="P132" s="14" t="s">
        <v>294</v>
      </c>
      <c r="Q132" s="14" t="s">
        <v>212</v>
      </c>
      <c r="R132" s="14" t="s">
        <v>36</v>
      </c>
      <c r="S132" s="25">
        <f t="shared" si="186"/>
        <v>242958.31</v>
      </c>
      <c r="T132" s="29">
        <v>242958.31</v>
      </c>
      <c r="U132" s="43">
        <v>0</v>
      </c>
      <c r="V132" s="25">
        <f t="shared" si="150"/>
        <v>39986.97</v>
      </c>
      <c r="W132" s="29">
        <v>39986.97</v>
      </c>
      <c r="X132" s="43">
        <v>0</v>
      </c>
      <c r="Y132" s="29">
        <f>Z132+AA132</f>
        <v>2888.03</v>
      </c>
      <c r="Z132" s="29">
        <v>2888.03</v>
      </c>
      <c r="AA132" s="29">
        <v>0</v>
      </c>
      <c r="AB132" s="23">
        <f t="shared" si="152"/>
        <v>2886.36</v>
      </c>
      <c r="AC132" s="29">
        <v>2886.36</v>
      </c>
      <c r="AD132" s="43">
        <v>0</v>
      </c>
      <c r="AE132" s="23">
        <f t="shared" si="128"/>
        <v>288719.67000000004</v>
      </c>
      <c r="AF132" s="99"/>
      <c r="AG132" s="26">
        <f t="shared" si="97"/>
        <v>288719.67000000004</v>
      </c>
      <c r="AH132" s="27" t="s">
        <v>585</v>
      </c>
      <c r="AI132" s="99"/>
      <c r="AJ132" s="23">
        <f>28871.96-265.54+15843.66+15843.66+10893.14+20357.69</f>
        <v>91544.57</v>
      </c>
      <c r="AK132" s="23">
        <f>4137.44+2795.94+2795.94+1922.32+3592.53</f>
        <v>15244.17</v>
      </c>
    </row>
    <row r="133" spans="1:37" ht="172.5" customHeight="1" x14ac:dyDescent="0.25">
      <c r="A133" s="12">
        <v>129</v>
      </c>
      <c r="B133" s="7">
        <v>126246</v>
      </c>
      <c r="C133" s="8">
        <v>537</v>
      </c>
      <c r="D133" s="9" t="s">
        <v>176</v>
      </c>
      <c r="E133" s="18" t="s">
        <v>968</v>
      </c>
      <c r="F133" s="16" t="s">
        <v>1135</v>
      </c>
      <c r="G133" s="17" t="s">
        <v>1304</v>
      </c>
      <c r="H133" s="17" t="s">
        <v>845</v>
      </c>
      <c r="I133" s="14" t="s">
        <v>597</v>
      </c>
      <c r="J133" s="19" t="s">
        <v>1305</v>
      </c>
      <c r="K133" s="20">
        <v>43532</v>
      </c>
      <c r="L133" s="32">
        <v>44447</v>
      </c>
      <c r="M133" s="21">
        <f t="shared" ref="M133" si="188">S133/AE133*100</f>
        <v>84.376572868603944</v>
      </c>
      <c r="N133" s="14">
        <v>4</v>
      </c>
      <c r="O133" s="14" t="s">
        <v>295</v>
      </c>
      <c r="P133" s="14" t="s">
        <v>294</v>
      </c>
      <c r="Q133" s="14" t="s">
        <v>212</v>
      </c>
      <c r="R133" s="14" t="s">
        <v>36</v>
      </c>
      <c r="S133" s="25">
        <f t="shared" ref="S133" si="189">T133+U133</f>
        <v>3134478.71</v>
      </c>
      <c r="T133" s="57">
        <v>3134478.71</v>
      </c>
      <c r="U133" s="33">
        <v>0</v>
      </c>
      <c r="V133" s="25">
        <f t="shared" ref="V133" si="190">W133+X133</f>
        <v>506092.39</v>
      </c>
      <c r="W133" s="57">
        <v>506092.39</v>
      </c>
      <c r="X133" s="33">
        <v>0</v>
      </c>
      <c r="Y133" s="29">
        <f>Z133+AA133</f>
        <v>47050.879999999997</v>
      </c>
      <c r="Z133" s="57">
        <v>47050.879999999997</v>
      </c>
      <c r="AA133" s="57">
        <v>0</v>
      </c>
      <c r="AB133" s="23">
        <f t="shared" ref="AB133" si="191">AC133+AD133</f>
        <v>27246.5</v>
      </c>
      <c r="AC133" s="57">
        <v>27246.5</v>
      </c>
      <c r="AD133" s="33">
        <v>0</v>
      </c>
      <c r="AE133" s="23">
        <f t="shared" si="128"/>
        <v>3714868.48</v>
      </c>
      <c r="AF133" s="34">
        <v>0</v>
      </c>
      <c r="AG133" s="26">
        <f t="shared" si="97"/>
        <v>3714868.48</v>
      </c>
      <c r="AH133" s="27" t="s">
        <v>585</v>
      </c>
      <c r="AI133" s="34"/>
      <c r="AJ133" s="54">
        <v>283028.44</v>
      </c>
      <c r="AK133" s="54">
        <v>0</v>
      </c>
    </row>
    <row r="134" spans="1:37" s="66" customFormat="1" ht="252" x14ac:dyDescent="0.25">
      <c r="A134" s="12">
        <v>130</v>
      </c>
      <c r="B134" s="13">
        <v>120531</v>
      </c>
      <c r="C134" s="8">
        <v>76</v>
      </c>
      <c r="D134" s="15" t="s">
        <v>843</v>
      </c>
      <c r="E134" s="15" t="s">
        <v>968</v>
      </c>
      <c r="F134" s="16" t="s">
        <v>331</v>
      </c>
      <c r="G134" s="62" t="s">
        <v>231</v>
      </c>
      <c r="H134" s="62" t="s">
        <v>232</v>
      </c>
      <c r="I134" s="18" t="s">
        <v>185</v>
      </c>
      <c r="J134" s="15" t="s">
        <v>233</v>
      </c>
      <c r="K134" s="20">
        <v>43129</v>
      </c>
      <c r="L134" s="32">
        <v>43798</v>
      </c>
      <c r="M134" s="21">
        <f t="shared" ref="M134:M137" si="192">S134/AE134*100</f>
        <v>85.000000405063261</v>
      </c>
      <c r="N134" s="18">
        <v>3</v>
      </c>
      <c r="O134" s="18" t="s">
        <v>235</v>
      </c>
      <c r="P134" s="18" t="s">
        <v>234</v>
      </c>
      <c r="Q134" s="22" t="s">
        <v>212</v>
      </c>
      <c r="R134" s="18" t="s">
        <v>36</v>
      </c>
      <c r="S134" s="23">
        <f t="shared" ref="S134:S137" si="193">T134+U134</f>
        <v>524609.42000000004</v>
      </c>
      <c r="T134" s="64">
        <v>524609.42000000004</v>
      </c>
      <c r="U134" s="26">
        <v>0</v>
      </c>
      <c r="V134" s="25">
        <f t="shared" si="150"/>
        <v>80234.38</v>
      </c>
      <c r="W134" s="64">
        <v>80234.38</v>
      </c>
      <c r="X134" s="26">
        <v>0</v>
      </c>
      <c r="Y134" s="23">
        <f t="shared" ref="Y134:Y137" si="194">Z134+AA134</f>
        <v>12343.75</v>
      </c>
      <c r="Z134" s="64">
        <v>12343.75</v>
      </c>
      <c r="AA134" s="26">
        <v>0</v>
      </c>
      <c r="AB134" s="23">
        <f t="shared" si="152"/>
        <v>0</v>
      </c>
      <c r="AC134" s="26"/>
      <c r="AD134" s="26"/>
      <c r="AE134" s="23">
        <f t="shared" si="128"/>
        <v>617187.55000000005</v>
      </c>
      <c r="AF134" s="26">
        <v>0</v>
      </c>
      <c r="AG134" s="26">
        <f t="shared" ref="AG134:AG197" si="195">AE134+AF134</f>
        <v>617187.55000000005</v>
      </c>
      <c r="AH134" s="27" t="s">
        <v>585</v>
      </c>
      <c r="AI134" s="53" t="s">
        <v>185</v>
      </c>
      <c r="AJ134" s="1">
        <f>40294.21+38633.5</f>
        <v>78927.709999999992</v>
      </c>
      <c r="AK134" s="1">
        <f>6162.64+5908.66</f>
        <v>12071.3</v>
      </c>
    </row>
    <row r="135" spans="1:37" s="169" customFormat="1" ht="236.25" x14ac:dyDescent="0.25">
      <c r="A135" s="14">
        <v>131</v>
      </c>
      <c r="B135" s="35">
        <v>119702</v>
      </c>
      <c r="C135" s="8">
        <v>462</v>
      </c>
      <c r="D135" s="15" t="s">
        <v>684</v>
      </c>
      <c r="E135" s="18" t="s">
        <v>1041</v>
      </c>
      <c r="F135" s="167" t="s">
        <v>542</v>
      </c>
      <c r="G135" s="15" t="s">
        <v>603</v>
      </c>
      <c r="H135" s="15" t="s">
        <v>232</v>
      </c>
      <c r="I135" s="18" t="s">
        <v>185</v>
      </c>
      <c r="J135" s="15" t="s">
        <v>605</v>
      </c>
      <c r="K135" s="20">
        <v>43269</v>
      </c>
      <c r="L135" s="32">
        <v>43756</v>
      </c>
      <c r="M135" s="45">
        <f t="shared" si="192"/>
        <v>85.000000000000014</v>
      </c>
      <c r="N135" s="18">
        <v>3</v>
      </c>
      <c r="O135" s="18" t="s">
        <v>235</v>
      </c>
      <c r="P135" s="18" t="s">
        <v>234</v>
      </c>
      <c r="Q135" s="18" t="s">
        <v>212</v>
      </c>
      <c r="R135" s="18" t="s">
        <v>546</v>
      </c>
      <c r="S135" s="26">
        <f t="shared" si="193"/>
        <v>289363.96999999997</v>
      </c>
      <c r="T135" s="1">
        <v>289363.96999999997</v>
      </c>
      <c r="U135" s="26">
        <v>0</v>
      </c>
      <c r="V135" s="25">
        <f t="shared" ref="V135" si="196">W135+X135</f>
        <v>44255.67</v>
      </c>
      <c r="W135" s="1">
        <v>44255.67</v>
      </c>
      <c r="X135" s="26">
        <v>0</v>
      </c>
      <c r="Y135" s="26">
        <f t="shared" si="194"/>
        <v>6808.5599999999995</v>
      </c>
      <c r="Z135" s="1">
        <v>6808.5599999999995</v>
      </c>
      <c r="AA135" s="26">
        <v>0</v>
      </c>
      <c r="AB135" s="26">
        <f t="shared" ref="AB135" si="197">AC135+AD135</f>
        <v>0</v>
      </c>
      <c r="AC135" s="26">
        <v>0</v>
      </c>
      <c r="AD135" s="26">
        <v>0</v>
      </c>
      <c r="AE135" s="26">
        <f>S135+V135+Y135+AB135</f>
        <v>340428.19999999995</v>
      </c>
      <c r="AF135" s="26">
        <v>0</v>
      </c>
      <c r="AG135" s="26">
        <f t="shared" si="195"/>
        <v>340428.19999999995</v>
      </c>
      <c r="AH135" s="27" t="s">
        <v>585</v>
      </c>
      <c r="AI135" s="168" t="s">
        <v>1377</v>
      </c>
      <c r="AJ135" s="1">
        <f>29938.25-3891.97+46974.03+87210</f>
        <v>160230.31</v>
      </c>
      <c r="AK135" s="1">
        <f>3891.97+7275.84+13338</f>
        <v>24505.809999999998</v>
      </c>
    </row>
    <row r="136" spans="1:37" s="170" customFormat="1" ht="362.25" x14ac:dyDescent="0.25">
      <c r="A136" s="12">
        <v>132</v>
      </c>
      <c r="B136" s="35">
        <v>117960</v>
      </c>
      <c r="C136" s="18">
        <v>418</v>
      </c>
      <c r="D136" s="18" t="s">
        <v>843</v>
      </c>
      <c r="E136" s="15" t="s">
        <v>704</v>
      </c>
      <c r="F136" s="15" t="s">
        <v>610</v>
      </c>
      <c r="G136" s="15" t="s">
        <v>893</v>
      </c>
      <c r="H136" s="15" t="s">
        <v>232</v>
      </c>
      <c r="I136" s="18" t="s">
        <v>185</v>
      </c>
      <c r="J136" s="15" t="s">
        <v>894</v>
      </c>
      <c r="K136" s="32">
        <v>43318</v>
      </c>
      <c r="L136" s="32">
        <v>43805</v>
      </c>
      <c r="M136" s="45">
        <f t="shared" si="192"/>
        <v>85</v>
      </c>
      <c r="N136" s="18">
        <v>3</v>
      </c>
      <c r="O136" s="18" t="s">
        <v>235</v>
      </c>
      <c r="P136" s="18" t="s">
        <v>234</v>
      </c>
      <c r="Q136" s="18" t="s">
        <v>212</v>
      </c>
      <c r="R136" s="18" t="s">
        <v>546</v>
      </c>
      <c r="S136" s="26">
        <f t="shared" si="193"/>
        <v>339865.02</v>
      </c>
      <c r="T136" s="1">
        <v>339865.02</v>
      </c>
      <c r="U136" s="102">
        <v>0</v>
      </c>
      <c r="V136" s="25">
        <f t="shared" si="150"/>
        <v>51979.35</v>
      </c>
      <c r="W136" s="1">
        <v>51979.35</v>
      </c>
      <c r="X136" s="102">
        <v>0</v>
      </c>
      <c r="Y136" s="26">
        <f t="shared" si="194"/>
        <v>7996.83</v>
      </c>
      <c r="Z136" s="1">
        <v>7996.83</v>
      </c>
      <c r="AA136" s="1">
        <v>0</v>
      </c>
      <c r="AB136" s="26">
        <f t="shared" si="152"/>
        <v>0</v>
      </c>
      <c r="AC136" s="102">
        <v>0</v>
      </c>
      <c r="AD136" s="102">
        <v>0</v>
      </c>
      <c r="AE136" s="26">
        <f t="shared" si="128"/>
        <v>399841.2</v>
      </c>
      <c r="AF136" s="1">
        <v>0</v>
      </c>
      <c r="AG136" s="26">
        <f t="shared" si="195"/>
        <v>399841.2</v>
      </c>
      <c r="AH136" s="27" t="s">
        <v>585</v>
      </c>
      <c r="AI136" s="27"/>
      <c r="AJ136" s="1">
        <v>16106.21</v>
      </c>
      <c r="AK136" s="1">
        <v>2463.3000000000002</v>
      </c>
    </row>
    <row r="137" spans="1:37" s="170" customFormat="1" ht="141.75" x14ac:dyDescent="0.25">
      <c r="A137" s="12">
        <v>133</v>
      </c>
      <c r="B137" s="35">
        <v>126286</v>
      </c>
      <c r="C137" s="18">
        <v>513</v>
      </c>
      <c r="D137" s="18" t="s">
        <v>176</v>
      </c>
      <c r="E137" s="15" t="s">
        <v>968</v>
      </c>
      <c r="F137" s="15" t="s">
        <v>1135</v>
      </c>
      <c r="G137" s="15" t="s">
        <v>1205</v>
      </c>
      <c r="H137" s="15" t="s">
        <v>1206</v>
      </c>
      <c r="I137" s="18" t="s">
        <v>185</v>
      </c>
      <c r="J137" s="15" t="s">
        <v>1207</v>
      </c>
      <c r="K137" s="32">
        <v>43451</v>
      </c>
      <c r="L137" s="32">
        <v>44182</v>
      </c>
      <c r="M137" s="45">
        <f t="shared" si="192"/>
        <v>85.000000627550136</v>
      </c>
      <c r="N137" s="18">
        <v>3</v>
      </c>
      <c r="O137" s="18" t="s">
        <v>235</v>
      </c>
      <c r="P137" s="18" t="s">
        <v>1208</v>
      </c>
      <c r="Q137" s="18" t="s">
        <v>212</v>
      </c>
      <c r="R137" s="18" t="s">
        <v>546</v>
      </c>
      <c r="S137" s="26">
        <f t="shared" si="193"/>
        <v>2370328.59</v>
      </c>
      <c r="T137" s="1">
        <v>2370328.59</v>
      </c>
      <c r="U137" s="102">
        <v>0</v>
      </c>
      <c r="V137" s="25">
        <f t="shared" ref="V137" si="198">W137+X137</f>
        <v>362520.82</v>
      </c>
      <c r="W137" s="1">
        <v>362520.82</v>
      </c>
      <c r="X137" s="102">
        <v>0</v>
      </c>
      <c r="Y137" s="26">
        <f t="shared" si="194"/>
        <v>55772.44</v>
      </c>
      <c r="Z137" s="1">
        <v>55772.44</v>
      </c>
      <c r="AA137" s="1">
        <v>0</v>
      </c>
      <c r="AB137" s="26">
        <f t="shared" ref="AB137" si="199">AC137+AD137</f>
        <v>0</v>
      </c>
      <c r="AC137" s="102">
        <v>0</v>
      </c>
      <c r="AD137" s="102">
        <v>0</v>
      </c>
      <c r="AE137" s="26">
        <f t="shared" ref="AE137" si="200">S137+V137+Y137+AB137</f>
        <v>2788621.8499999996</v>
      </c>
      <c r="AF137" s="1">
        <v>0</v>
      </c>
      <c r="AG137" s="26">
        <f t="shared" si="195"/>
        <v>2788621.8499999996</v>
      </c>
      <c r="AH137" s="27" t="s">
        <v>585</v>
      </c>
      <c r="AI137" s="27"/>
      <c r="AJ137" s="1">
        <f>82670-5225.55</f>
        <v>77444.45</v>
      </c>
      <c r="AK137" s="1">
        <v>5225.55</v>
      </c>
    </row>
    <row r="138" spans="1:37" ht="126" customHeight="1" x14ac:dyDescent="0.25">
      <c r="A138" s="14">
        <v>134</v>
      </c>
      <c r="B138" s="13">
        <v>119208</v>
      </c>
      <c r="C138" s="8">
        <v>489</v>
      </c>
      <c r="D138" s="14" t="s">
        <v>168</v>
      </c>
      <c r="E138" s="15" t="s">
        <v>1041</v>
      </c>
      <c r="F138" s="16" t="s">
        <v>542</v>
      </c>
      <c r="G138" s="14" t="s">
        <v>1107</v>
      </c>
      <c r="H138" s="14" t="s">
        <v>1108</v>
      </c>
      <c r="I138" s="14" t="s">
        <v>422</v>
      </c>
      <c r="J138" s="19" t="s">
        <v>1109</v>
      </c>
      <c r="K138" s="32">
        <v>43396</v>
      </c>
      <c r="L138" s="32">
        <v>43884</v>
      </c>
      <c r="M138" s="45">
        <v>85</v>
      </c>
      <c r="N138" s="14">
        <v>1</v>
      </c>
      <c r="O138" s="14" t="s">
        <v>1106</v>
      </c>
      <c r="P138" s="14" t="s">
        <v>1110</v>
      </c>
      <c r="Q138" s="22" t="s">
        <v>212</v>
      </c>
      <c r="R138" s="14" t="s">
        <v>36</v>
      </c>
      <c r="S138" s="26">
        <f>T138+U138</f>
        <v>529360.44999999995</v>
      </c>
      <c r="T138" s="23">
        <v>529360.44999999995</v>
      </c>
      <c r="U138" s="23">
        <v>0</v>
      </c>
      <c r="V138" s="25">
        <f>W138+X138</f>
        <v>80961.009999999995</v>
      </c>
      <c r="W138" s="23">
        <v>80961.009999999995</v>
      </c>
      <c r="X138" s="23">
        <v>0</v>
      </c>
      <c r="Y138" s="25">
        <f>Z138+AA138</f>
        <v>12455.54</v>
      </c>
      <c r="Z138" s="23">
        <v>12455.54</v>
      </c>
      <c r="AA138" s="23">
        <v>0</v>
      </c>
      <c r="AB138" s="23">
        <f>AC138+AD138</f>
        <v>0</v>
      </c>
      <c r="AC138" s="23">
        <v>0</v>
      </c>
      <c r="AD138" s="23">
        <v>0</v>
      </c>
      <c r="AE138" s="26">
        <f>S138+V138+Y138+AB138</f>
        <v>622777</v>
      </c>
      <c r="AF138" s="23"/>
      <c r="AG138" s="26">
        <f t="shared" si="195"/>
        <v>622777</v>
      </c>
      <c r="AH138" s="27" t="s">
        <v>871</v>
      </c>
      <c r="AI138" s="28"/>
      <c r="AJ138" s="1">
        <f>20646.5+51929.52</f>
        <v>72576.01999999999</v>
      </c>
      <c r="AK138" s="29">
        <f>3157.7+7942.16</f>
        <v>11099.86</v>
      </c>
    </row>
    <row r="139" spans="1:37" ht="236.25" x14ac:dyDescent="0.25">
      <c r="A139" s="12">
        <v>135</v>
      </c>
      <c r="B139" s="13">
        <v>122867</v>
      </c>
      <c r="C139" s="67">
        <v>105</v>
      </c>
      <c r="D139" s="13" t="s">
        <v>843</v>
      </c>
      <c r="E139" s="15" t="s">
        <v>968</v>
      </c>
      <c r="F139" s="16" t="s">
        <v>331</v>
      </c>
      <c r="G139" s="30" t="s">
        <v>981</v>
      </c>
      <c r="H139" s="30" t="s">
        <v>980</v>
      </c>
      <c r="I139" s="18" t="s">
        <v>982</v>
      </c>
      <c r="J139" s="31" t="s">
        <v>983</v>
      </c>
      <c r="K139" s="20">
        <v>43342</v>
      </c>
      <c r="L139" s="32">
        <v>43707</v>
      </c>
      <c r="M139" s="21">
        <f>S139/AE139*100</f>
        <v>84.194914940710191</v>
      </c>
      <c r="N139" s="14">
        <v>1</v>
      </c>
      <c r="O139" s="14" t="s">
        <v>984</v>
      </c>
      <c r="P139" s="14" t="s">
        <v>985</v>
      </c>
      <c r="Q139" s="22" t="s">
        <v>212</v>
      </c>
      <c r="R139" s="14" t="s">
        <v>36</v>
      </c>
      <c r="S139" s="23">
        <f>T139+U139</f>
        <v>351606.78</v>
      </c>
      <c r="T139" s="23">
        <v>351606.78</v>
      </c>
      <c r="U139" s="23">
        <v>0</v>
      </c>
      <c r="V139" s="23">
        <f>W139+X139</f>
        <v>57651.47</v>
      </c>
      <c r="W139" s="23">
        <v>57651.47</v>
      </c>
      <c r="X139" s="23">
        <v>0</v>
      </c>
      <c r="Y139" s="23">
        <f>Z139+AA139</f>
        <v>8352.2199999999993</v>
      </c>
      <c r="Z139" s="23">
        <v>8352.2199999999993</v>
      </c>
      <c r="AA139" s="23">
        <v>0</v>
      </c>
      <c r="AB139" s="23">
        <f>AC139+AD139</f>
        <v>0</v>
      </c>
      <c r="AC139" s="23"/>
      <c r="AD139" s="23"/>
      <c r="AE139" s="23">
        <f>S139+V139+Y139+AB139</f>
        <v>417610.47</v>
      </c>
      <c r="AF139" s="23"/>
      <c r="AG139" s="26">
        <f t="shared" si="195"/>
        <v>417610.47</v>
      </c>
      <c r="AH139" s="27" t="s">
        <v>585</v>
      </c>
      <c r="AI139" s="28" t="s">
        <v>349</v>
      </c>
      <c r="AJ139" s="29">
        <f>41760.02+3682.21+18068.95+21982.99+19777.03+31928.54+41760.02+8276.15+41760.02</f>
        <v>228995.92999999996</v>
      </c>
      <c r="AK139" s="29">
        <f>6030.95+4165.9+11886.5+8211.11</f>
        <v>30294.46</v>
      </c>
    </row>
    <row r="140" spans="1:37" ht="267.75" x14ac:dyDescent="0.25">
      <c r="A140" s="12">
        <v>136</v>
      </c>
      <c r="B140" s="13">
        <v>126260</v>
      </c>
      <c r="C140" s="8">
        <v>526</v>
      </c>
      <c r="D140" s="14" t="s">
        <v>177</v>
      </c>
      <c r="E140" s="15" t="s">
        <v>968</v>
      </c>
      <c r="F140" s="16" t="s">
        <v>1135</v>
      </c>
      <c r="G140" s="17" t="s">
        <v>1147</v>
      </c>
      <c r="H140" s="17" t="s">
        <v>1146</v>
      </c>
      <c r="I140" s="14" t="s">
        <v>185</v>
      </c>
      <c r="J140" s="19" t="s">
        <v>1148</v>
      </c>
      <c r="K140" s="20">
        <v>43433</v>
      </c>
      <c r="L140" s="32">
        <v>44164</v>
      </c>
      <c r="M140" s="45">
        <f t="shared" ref="M140" si="201">S140/AE140*100</f>
        <v>84.999999887651384</v>
      </c>
      <c r="N140" s="14">
        <v>1</v>
      </c>
      <c r="O140" s="14" t="s">
        <v>984</v>
      </c>
      <c r="P140" s="14" t="s">
        <v>985</v>
      </c>
      <c r="Q140" s="22" t="s">
        <v>212</v>
      </c>
      <c r="R140" s="14" t="s">
        <v>36</v>
      </c>
      <c r="S140" s="26">
        <f t="shared" ref="S140" si="202">T140+U140</f>
        <v>2269720.81</v>
      </c>
      <c r="T140" s="23">
        <v>2269720.81</v>
      </c>
      <c r="U140" s="23">
        <v>0</v>
      </c>
      <c r="V140" s="25">
        <f t="shared" ref="V140" si="203">W140+X140</f>
        <v>347133.77</v>
      </c>
      <c r="W140" s="23">
        <v>347133.77</v>
      </c>
      <c r="X140" s="23">
        <v>0</v>
      </c>
      <c r="Y140" s="25">
        <f t="shared" ref="Y140" si="204">Z140+AA140</f>
        <v>53405.2</v>
      </c>
      <c r="Z140" s="23">
        <v>53405.2</v>
      </c>
      <c r="AA140" s="23">
        <v>0</v>
      </c>
      <c r="AB140" s="23">
        <f t="shared" ref="AB140" si="205">AC140+AD140</f>
        <v>0</v>
      </c>
      <c r="AC140" s="23">
        <v>0</v>
      </c>
      <c r="AD140" s="23">
        <v>0</v>
      </c>
      <c r="AE140" s="26">
        <f t="shared" ref="AE140" si="206">S140+V140+Y140+AB140</f>
        <v>2670259.7800000003</v>
      </c>
      <c r="AF140" s="23">
        <v>57120</v>
      </c>
      <c r="AG140" s="26">
        <f t="shared" si="195"/>
        <v>2727379.7800000003</v>
      </c>
      <c r="AH140" s="27" t="s">
        <v>585</v>
      </c>
      <c r="AI140" s="28"/>
      <c r="AJ140" s="1">
        <v>62163.9</v>
      </c>
      <c r="AK140" s="29">
        <v>9507.42</v>
      </c>
    </row>
    <row r="141" spans="1:37" ht="409.5" x14ac:dyDescent="0.25">
      <c r="A141" s="14">
        <v>137</v>
      </c>
      <c r="B141" s="13">
        <v>120572</v>
      </c>
      <c r="C141" s="8">
        <v>82</v>
      </c>
      <c r="D141" s="14" t="s">
        <v>684</v>
      </c>
      <c r="E141" s="15" t="s">
        <v>968</v>
      </c>
      <c r="F141" s="16" t="s">
        <v>331</v>
      </c>
      <c r="G141" s="17" t="s">
        <v>318</v>
      </c>
      <c r="H141" s="17" t="s">
        <v>319</v>
      </c>
      <c r="I141" s="14" t="s">
        <v>185</v>
      </c>
      <c r="J141" s="19" t="s">
        <v>748</v>
      </c>
      <c r="K141" s="20">
        <v>43171</v>
      </c>
      <c r="L141" s="32">
        <v>43658</v>
      </c>
      <c r="M141" s="21">
        <f t="shared" ref="M141:M143" si="207">S141/AE141*100</f>
        <v>85.000000359311386</v>
      </c>
      <c r="N141" s="14">
        <v>4</v>
      </c>
      <c r="O141" s="14" t="s">
        <v>320</v>
      </c>
      <c r="P141" s="14" t="s">
        <v>321</v>
      </c>
      <c r="Q141" s="22" t="s">
        <v>212</v>
      </c>
      <c r="R141" s="14" t="s">
        <v>36</v>
      </c>
      <c r="S141" s="25">
        <f t="shared" ref="S141:S143" si="208">T141+U141</f>
        <v>354845.43</v>
      </c>
      <c r="T141" s="23">
        <v>354845.43</v>
      </c>
      <c r="U141" s="23">
        <v>0</v>
      </c>
      <c r="V141" s="25">
        <f t="shared" si="150"/>
        <v>54270.48</v>
      </c>
      <c r="W141" s="23">
        <v>54270.48</v>
      </c>
      <c r="X141" s="23">
        <v>0</v>
      </c>
      <c r="Y141" s="25">
        <f t="shared" ref="Y141:Y143" si="209">Z141+AA141</f>
        <v>8349.2999999999993</v>
      </c>
      <c r="Z141" s="23">
        <v>8349.2999999999993</v>
      </c>
      <c r="AA141" s="23">
        <v>0</v>
      </c>
      <c r="AB141" s="23">
        <f t="shared" si="152"/>
        <v>0</v>
      </c>
      <c r="AC141" s="23"/>
      <c r="AD141" s="23"/>
      <c r="AE141" s="23">
        <f t="shared" si="128"/>
        <v>417465.20999999996</v>
      </c>
      <c r="AF141" s="23">
        <v>0</v>
      </c>
      <c r="AG141" s="26">
        <f t="shared" si="195"/>
        <v>417465.20999999996</v>
      </c>
      <c r="AH141" s="27" t="s">
        <v>585</v>
      </c>
      <c r="AI141" s="28" t="s">
        <v>185</v>
      </c>
      <c r="AJ141" s="1">
        <f>14375+7002.3+6416.65+7759.57+9685.75+10731.25</f>
        <v>55970.52</v>
      </c>
      <c r="AK141" s="29">
        <f>2198.53+1070.94+981.37+1186.75+1481.35+1641.25</f>
        <v>8560.19</v>
      </c>
    </row>
    <row r="142" spans="1:37" ht="204.75" x14ac:dyDescent="0.25">
      <c r="A142" s="12">
        <v>138</v>
      </c>
      <c r="B142" s="13">
        <v>118183</v>
      </c>
      <c r="C142" s="18">
        <v>422</v>
      </c>
      <c r="D142" s="14" t="s">
        <v>170</v>
      </c>
      <c r="E142" s="15" t="s">
        <v>704</v>
      </c>
      <c r="F142" s="16" t="s">
        <v>610</v>
      </c>
      <c r="G142" s="17" t="s">
        <v>747</v>
      </c>
      <c r="H142" s="17" t="s">
        <v>319</v>
      </c>
      <c r="I142" s="14" t="s">
        <v>185</v>
      </c>
      <c r="J142" s="15" t="s">
        <v>749</v>
      </c>
      <c r="K142" s="20">
        <v>43290</v>
      </c>
      <c r="L142" s="32">
        <v>43778</v>
      </c>
      <c r="M142" s="21">
        <f t="shared" si="207"/>
        <v>85.000012009815109</v>
      </c>
      <c r="N142" s="14">
        <v>4</v>
      </c>
      <c r="O142" s="14" t="s">
        <v>320</v>
      </c>
      <c r="P142" s="14" t="s">
        <v>321</v>
      </c>
      <c r="Q142" s="22" t="s">
        <v>212</v>
      </c>
      <c r="R142" s="18" t="s">
        <v>750</v>
      </c>
      <c r="S142" s="25">
        <f t="shared" si="208"/>
        <v>247714.09</v>
      </c>
      <c r="T142" s="23">
        <v>247714.09</v>
      </c>
      <c r="U142" s="23">
        <v>0</v>
      </c>
      <c r="V142" s="25">
        <f t="shared" si="150"/>
        <v>37885.64</v>
      </c>
      <c r="W142" s="1">
        <v>37885.64</v>
      </c>
      <c r="X142" s="23">
        <v>0</v>
      </c>
      <c r="Y142" s="25">
        <f t="shared" si="209"/>
        <v>5828.57</v>
      </c>
      <c r="Z142" s="1">
        <v>5828.57</v>
      </c>
      <c r="AA142" s="23">
        <v>0</v>
      </c>
      <c r="AB142" s="23">
        <f t="shared" si="152"/>
        <v>0</v>
      </c>
      <c r="AC142" s="33"/>
      <c r="AD142" s="33"/>
      <c r="AE142" s="23">
        <f t="shared" si="128"/>
        <v>291428.3</v>
      </c>
      <c r="AF142" s="23">
        <v>0</v>
      </c>
      <c r="AG142" s="26">
        <f t="shared" si="195"/>
        <v>291428.3</v>
      </c>
      <c r="AH142" s="27" t="s">
        <v>585</v>
      </c>
      <c r="AI142" s="28" t="s">
        <v>1321</v>
      </c>
      <c r="AJ142" s="23">
        <f>31913.97+11281.2+7318.5+6479.55</f>
        <v>56993.22</v>
      </c>
      <c r="AK142" s="23">
        <f>5112.75+1725.36+1119.3+990.99</f>
        <v>8948.4</v>
      </c>
    </row>
    <row r="143" spans="1:37" ht="220.5" x14ac:dyDescent="0.25">
      <c r="A143" s="12">
        <v>139</v>
      </c>
      <c r="B143" s="13">
        <v>126174</v>
      </c>
      <c r="C143" s="18">
        <v>534</v>
      </c>
      <c r="D143" s="18" t="s">
        <v>174</v>
      </c>
      <c r="E143" s="15" t="s">
        <v>968</v>
      </c>
      <c r="F143" s="18" t="s">
        <v>1135</v>
      </c>
      <c r="G143" s="17" t="s">
        <v>1195</v>
      </c>
      <c r="H143" s="17" t="s">
        <v>1196</v>
      </c>
      <c r="I143" s="14" t="s">
        <v>185</v>
      </c>
      <c r="J143" s="19" t="s">
        <v>1197</v>
      </c>
      <c r="K143" s="20">
        <v>43447</v>
      </c>
      <c r="L143" s="32">
        <v>43995</v>
      </c>
      <c r="M143" s="21">
        <f t="shared" si="207"/>
        <v>85.000000333995757</v>
      </c>
      <c r="N143" s="14">
        <v>4</v>
      </c>
      <c r="O143" s="14" t="s">
        <v>320</v>
      </c>
      <c r="P143" s="14" t="s">
        <v>321</v>
      </c>
      <c r="Q143" s="22" t="s">
        <v>212</v>
      </c>
      <c r="R143" s="14" t="s">
        <v>36</v>
      </c>
      <c r="S143" s="25">
        <f t="shared" si="208"/>
        <v>2544942.5099999998</v>
      </c>
      <c r="T143" s="23">
        <v>2544942.5099999998</v>
      </c>
      <c r="U143" s="23">
        <v>0</v>
      </c>
      <c r="V143" s="25">
        <f t="shared" si="150"/>
        <v>389226.49</v>
      </c>
      <c r="W143" s="1">
        <v>389226.49</v>
      </c>
      <c r="X143" s="23">
        <v>0</v>
      </c>
      <c r="Y143" s="25">
        <f t="shared" si="209"/>
        <v>59881</v>
      </c>
      <c r="Z143" s="1">
        <v>59881</v>
      </c>
      <c r="AA143" s="23">
        <v>0</v>
      </c>
      <c r="AB143" s="23">
        <f t="shared" si="152"/>
        <v>0</v>
      </c>
      <c r="AC143" s="26">
        <v>0</v>
      </c>
      <c r="AD143" s="26">
        <v>0</v>
      </c>
      <c r="AE143" s="23">
        <f t="shared" si="128"/>
        <v>2994050</v>
      </c>
      <c r="AF143" s="23">
        <v>0</v>
      </c>
      <c r="AG143" s="26">
        <f t="shared" si="195"/>
        <v>2994050</v>
      </c>
      <c r="AH143" s="27" t="s">
        <v>585</v>
      </c>
      <c r="AI143" s="34"/>
      <c r="AJ143" s="23">
        <v>0</v>
      </c>
      <c r="AK143" s="23">
        <v>0</v>
      </c>
    </row>
    <row r="144" spans="1:37" ht="299.25" x14ac:dyDescent="0.25">
      <c r="A144" s="14">
        <v>140</v>
      </c>
      <c r="B144" s="13">
        <v>120801</v>
      </c>
      <c r="C144" s="8">
        <v>87</v>
      </c>
      <c r="D144" s="14" t="s">
        <v>175</v>
      </c>
      <c r="E144" s="15" t="s">
        <v>968</v>
      </c>
      <c r="F144" s="16" t="s">
        <v>331</v>
      </c>
      <c r="G144" s="17" t="s">
        <v>299</v>
      </c>
      <c r="H144" s="17" t="s">
        <v>300</v>
      </c>
      <c r="I144" s="14" t="s">
        <v>301</v>
      </c>
      <c r="J144" s="19" t="s">
        <v>302</v>
      </c>
      <c r="K144" s="20">
        <v>43166</v>
      </c>
      <c r="L144" s="32">
        <v>43653</v>
      </c>
      <c r="M144" s="21">
        <f t="shared" ref="M144:M152" si="210">S144/AE144*100</f>
        <v>84.168038598864953</v>
      </c>
      <c r="N144" s="14">
        <v>3</v>
      </c>
      <c r="O144" s="14" t="s">
        <v>303</v>
      </c>
      <c r="P144" s="14" t="s">
        <v>304</v>
      </c>
      <c r="Q144" s="42" t="s">
        <v>212</v>
      </c>
      <c r="R144" s="14" t="s">
        <v>36</v>
      </c>
      <c r="S144" s="25">
        <f t="shared" ref="S144:S148" si="211">T144+U144</f>
        <v>357481.33</v>
      </c>
      <c r="T144" s="23">
        <v>357481.33</v>
      </c>
      <c r="U144" s="23">
        <v>0</v>
      </c>
      <c r="V144" s="25">
        <f t="shared" si="150"/>
        <v>58747.57</v>
      </c>
      <c r="W144" s="23">
        <v>58747.57</v>
      </c>
      <c r="X144" s="23">
        <v>0</v>
      </c>
      <c r="Y144" s="25">
        <f t="shared" ref="Y144:Y148" si="212">Z144+AA144</f>
        <v>8494.4699999999993</v>
      </c>
      <c r="Z144" s="23">
        <v>8494.4699999999993</v>
      </c>
      <c r="AA144" s="23">
        <v>0</v>
      </c>
      <c r="AB144" s="23">
        <f t="shared" si="152"/>
        <v>0</v>
      </c>
      <c r="AC144" s="23"/>
      <c r="AD144" s="23"/>
      <c r="AE144" s="23">
        <f t="shared" si="128"/>
        <v>424723.37</v>
      </c>
      <c r="AF144" s="23">
        <v>0</v>
      </c>
      <c r="AG144" s="26">
        <f t="shared" si="195"/>
        <v>424723.37</v>
      </c>
      <c r="AH144" s="27" t="s">
        <v>585</v>
      </c>
      <c r="AI144" s="28" t="s">
        <v>185</v>
      </c>
      <c r="AJ144" s="1">
        <f>70082.64+38337.49-1246.56+48094.29</f>
        <v>155267.86000000002</v>
      </c>
      <c r="AK144" s="29">
        <f>4618.03+6264.08+1246.56+6443.69</f>
        <v>18572.36</v>
      </c>
    </row>
    <row r="145" spans="1:37" ht="346.5" x14ac:dyDescent="0.25">
      <c r="A145" s="12">
        <v>141</v>
      </c>
      <c r="B145" s="13">
        <v>119511</v>
      </c>
      <c r="C145" s="18">
        <v>464</v>
      </c>
      <c r="D145" s="14" t="s">
        <v>172</v>
      </c>
      <c r="E145" s="18" t="s">
        <v>1041</v>
      </c>
      <c r="F145" s="14" t="s">
        <v>542</v>
      </c>
      <c r="G145" s="17" t="s">
        <v>543</v>
      </c>
      <c r="H145" s="17" t="s">
        <v>544</v>
      </c>
      <c r="I145" s="14" t="s">
        <v>349</v>
      </c>
      <c r="J145" s="17" t="s">
        <v>545</v>
      </c>
      <c r="K145" s="20">
        <v>43257</v>
      </c>
      <c r="L145" s="32">
        <v>43744</v>
      </c>
      <c r="M145" s="21">
        <f t="shared" si="210"/>
        <v>85.000000259943448</v>
      </c>
      <c r="N145" s="9">
        <v>3</v>
      </c>
      <c r="O145" s="18" t="s">
        <v>429</v>
      </c>
      <c r="P145" s="18" t="s">
        <v>304</v>
      </c>
      <c r="Q145" s="18" t="s">
        <v>212</v>
      </c>
      <c r="R145" s="18" t="s">
        <v>546</v>
      </c>
      <c r="S145" s="25">
        <f t="shared" si="211"/>
        <v>490491.32</v>
      </c>
      <c r="T145" s="23">
        <v>490491.32</v>
      </c>
      <c r="U145" s="23">
        <v>0</v>
      </c>
      <c r="V145" s="25">
        <f t="shared" si="150"/>
        <v>75016.320000000007</v>
      </c>
      <c r="W145" s="23">
        <v>75016.320000000007</v>
      </c>
      <c r="X145" s="23">
        <v>0</v>
      </c>
      <c r="Y145" s="25">
        <f t="shared" si="212"/>
        <v>11540.97</v>
      </c>
      <c r="Z145" s="29">
        <v>11540.97</v>
      </c>
      <c r="AA145" s="29">
        <v>0</v>
      </c>
      <c r="AB145" s="23">
        <f t="shared" si="152"/>
        <v>0</v>
      </c>
      <c r="AC145" s="26">
        <v>0</v>
      </c>
      <c r="AD145" s="26">
        <v>0</v>
      </c>
      <c r="AE145" s="23">
        <f>S145+V145+Y145+AB145</f>
        <v>577048.61</v>
      </c>
      <c r="AF145" s="99">
        <v>0</v>
      </c>
      <c r="AG145" s="26">
        <f t="shared" si="195"/>
        <v>577048.61</v>
      </c>
      <c r="AH145" s="27" t="s">
        <v>585</v>
      </c>
      <c r="AI145" s="34" t="s">
        <v>1285</v>
      </c>
      <c r="AJ145" s="38">
        <f>57677.81+46119.33+94319.49+91972.76</f>
        <v>290089.39</v>
      </c>
      <c r="AK145" s="29">
        <f>8821.31+7053.55+14425.33+14066.43</f>
        <v>44366.62</v>
      </c>
    </row>
    <row r="146" spans="1:37" s="171" customFormat="1" ht="299.25" x14ac:dyDescent="0.25">
      <c r="A146" s="12">
        <v>142</v>
      </c>
      <c r="B146" s="35">
        <v>118799</v>
      </c>
      <c r="C146" s="18">
        <v>447</v>
      </c>
      <c r="D146" s="18" t="s">
        <v>843</v>
      </c>
      <c r="E146" s="15" t="s">
        <v>704</v>
      </c>
      <c r="F146" s="15" t="s">
        <v>610</v>
      </c>
      <c r="G146" s="15" t="s">
        <v>1132</v>
      </c>
      <c r="H146" s="17" t="s">
        <v>300</v>
      </c>
      <c r="I146" s="18" t="s">
        <v>1133</v>
      </c>
      <c r="J146" s="15" t="s">
        <v>1134</v>
      </c>
      <c r="K146" s="32">
        <v>43425</v>
      </c>
      <c r="L146" s="32">
        <v>43911</v>
      </c>
      <c r="M146" s="45">
        <f t="shared" si="210"/>
        <v>84.156465769886722</v>
      </c>
      <c r="N146" s="14">
        <v>3</v>
      </c>
      <c r="O146" s="14" t="s">
        <v>303</v>
      </c>
      <c r="P146" s="14" t="s">
        <v>304</v>
      </c>
      <c r="Q146" s="42" t="s">
        <v>212</v>
      </c>
      <c r="R146" s="14" t="s">
        <v>36</v>
      </c>
      <c r="S146" s="25">
        <f t="shared" si="211"/>
        <v>242273.69</v>
      </c>
      <c r="T146" s="26">
        <v>242273.69</v>
      </c>
      <c r="U146" s="26">
        <v>0</v>
      </c>
      <c r="V146" s="25">
        <f t="shared" si="150"/>
        <v>39853.42</v>
      </c>
      <c r="W146" s="26">
        <v>39853.42</v>
      </c>
      <c r="X146" s="26">
        <v>0</v>
      </c>
      <c r="Y146" s="25">
        <f t="shared" si="212"/>
        <v>2900.77</v>
      </c>
      <c r="Z146" s="1">
        <v>2900.77</v>
      </c>
      <c r="AA146" s="1">
        <v>0</v>
      </c>
      <c r="AB146" s="26">
        <f t="shared" si="152"/>
        <v>2856.94</v>
      </c>
      <c r="AC146" s="26">
        <v>2856.94</v>
      </c>
      <c r="AD146" s="26">
        <v>0</v>
      </c>
      <c r="AE146" s="26">
        <f t="shared" ref="AE146:AE148" si="213">S146+V146+Y146+AB146</f>
        <v>287884.82</v>
      </c>
      <c r="AF146" s="27">
        <v>0</v>
      </c>
      <c r="AG146" s="26">
        <f t="shared" si="195"/>
        <v>287884.82</v>
      </c>
      <c r="AH146" s="27" t="s">
        <v>585</v>
      </c>
      <c r="AI146" s="27"/>
      <c r="AJ146" s="38">
        <f>14394.24+4020.28+12528.17+14000</f>
        <v>44942.69</v>
      </c>
      <c r="AK146" s="29">
        <v>2871.93</v>
      </c>
    </row>
    <row r="147" spans="1:37" ht="255" customHeight="1" x14ac:dyDescent="0.25">
      <c r="A147" s="14">
        <v>143</v>
      </c>
      <c r="B147" s="13">
        <v>126115</v>
      </c>
      <c r="C147" s="18">
        <v>542</v>
      </c>
      <c r="D147" s="14" t="s">
        <v>175</v>
      </c>
      <c r="E147" s="15" t="s">
        <v>968</v>
      </c>
      <c r="F147" s="17" t="s">
        <v>1135</v>
      </c>
      <c r="G147" s="17" t="s">
        <v>1362</v>
      </c>
      <c r="H147" s="17" t="s">
        <v>544</v>
      </c>
      <c r="I147" s="14" t="s">
        <v>422</v>
      </c>
      <c r="J147" s="73" t="s">
        <v>1363</v>
      </c>
      <c r="K147" s="20">
        <v>43564</v>
      </c>
      <c r="L147" s="32">
        <v>44173</v>
      </c>
      <c r="M147" s="21">
        <f t="shared" si="210"/>
        <v>85.000000984188233</v>
      </c>
      <c r="N147" s="14">
        <v>3</v>
      </c>
      <c r="O147" s="14" t="s">
        <v>303</v>
      </c>
      <c r="P147" s="14" t="s">
        <v>544</v>
      </c>
      <c r="Q147" s="42" t="s">
        <v>212</v>
      </c>
      <c r="R147" s="14" t="s">
        <v>36</v>
      </c>
      <c r="S147" s="25">
        <f t="shared" si="211"/>
        <v>431827.97</v>
      </c>
      <c r="T147" s="23">
        <v>431827.97</v>
      </c>
      <c r="U147" s="23">
        <v>0</v>
      </c>
      <c r="V147" s="25">
        <f t="shared" si="150"/>
        <v>66044.27</v>
      </c>
      <c r="W147" s="23">
        <v>66044.27</v>
      </c>
      <c r="X147" s="23">
        <v>0</v>
      </c>
      <c r="Y147" s="25">
        <f t="shared" si="212"/>
        <v>10160.66</v>
      </c>
      <c r="Z147" s="29">
        <v>10160.66</v>
      </c>
      <c r="AA147" s="29">
        <v>0</v>
      </c>
      <c r="AB147" s="23">
        <f t="shared" si="152"/>
        <v>0</v>
      </c>
      <c r="AC147" s="172">
        <v>0</v>
      </c>
      <c r="AD147" s="172">
        <v>0</v>
      </c>
      <c r="AE147" s="23">
        <f t="shared" si="213"/>
        <v>508032.89999999997</v>
      </c>
      <c r="AF147" s="29">
        <v>0</v>
      </c>
      <c r="AG147" s="26">
        <f t="shared" si="195"/>
        <v>508032.89999999997</v>
      </c>
      <c r="AH147" s="27" t="s">
        <v>585</v>
      </c>
      <c r="AI147" s="34"/>
      <c r="AJ147" s="38">
        <v>0</v>
      </c>
      <c r="AK147" s="38">
        <v>0</v>
      </c>
    </row>
    <row r="148" spans="1:37" ht="141.75" x14ac:dyDescent="0.25">
      <c r="A148" s="12">
        <v>144</v>
      </c>
      <c r="B148" s="13">
        <v>129261</v>
      </c>
      <c r="C148" s="18">
        <v>648</v>
      </c>
      <c r="D148" s="14" t="s">
        <v>163</v>
      </c>
      <c r="E148" s="15" t="s">
        <v>968</v>
      </c>
      <c r="F148" s="17" t="s">
        <v>1417</v>
      </c>
      <c r="G148" s="56" t="s">
        <v>1507</v>
      </c>
      <c r="H148" s="17" t="s">
        <v>1506</v>
      </c>
      <c r="I148" s="14" t="s">
        <v>185</v>
      </c>
      <c r="J148" s="17" t="s">
        <v>1508</v>
      </c>
      <c r="K148" s="20">
        <v>43643</v>
      </c>
      <c r="L148" s="32">
        <v>44192</v>
      </c>
      <c r="M148" s="21">
        <f t="shared" si="210"/>
        <v>84.999999897463027</v>
      </c>
      <c r="N148" s="14">
        <v>3</v>
      </c>
      <c r="O148" s="14" t="s">
        <v>303</v>
      </c>
      <c r="P148" s="14" t="s">
        <v>544</v>
      </c>
      <c r="Q148" s="42" t="s">
        <v>212</v>
      </c>
      <c r="R148" s="14" t="s">
        <v>36</v>
      </c>
      <c r="S148" s="25">
        <f t="shared" si="211"/>
        <v>2486907.71</v>
      </c>
      <c r="T148" s="23">
        <v>2486907.71</v>
      </c>
      <c r="U148" s="23">
        <v>0</v>
      </c>
      <c r="V148" s="25">
        <f t="shared" si="150"/>
        <v>380350.59</v>
      </c>
      <c r="W148" s="23">
        <v>380350.59</v>
      </c>
      <c r="X148" s="23">
        <v>0</v>
      </c>
      <c r="Y148" s="25">
        <f t="shared" si="212"/>
        <v>58515.48</v>
      </c>
      <c r="Z148" s="29">
        <v>58515.48</v>
      </c>
      <c r="AA148" s="29">
        <v>0</v>
      </c>
      <c r="AB148" s="23">
        <f t="shared" si="152"/>
        <v>0</v>
      </c>
      <c r="AC148" s="172">
        <v>0</v>
      </c>
      <c r="AD148" s="172">
        <v>0</v>
      </c>
      <c r="AE148" s="23">
        <f t="shared" si="213"/>
        <v>2925773.78</v>
      </c>
      <c r="AF148" s="29">
        <v>0</v>
      </c>
      <c r="AG148" s="26">
        <f t="shared" si="195"/>
        <v>2925773.78</v>
      </c>
      <c r="AH148" s="27" t="s">
        <v>585</v>
      </c>
      <c r="AI148" s="34"/>
      <c r="AJ148" s="38"/>
      <c r="AK148" s="38"/>
    </row>
    <row r="149" spans="1:37" ht="220.5" x14ac:dyDescent="0.25">
      <c r="A149" s="12">
        <v>145</v>
      </c>
      <c r="B149" s="13">
        <v>118062</v>
      </c>
      <c r="C149" s="8">
        <v>421</v>
      </c>
      <c r="D149" s="9" t="s">
        <v>171</v>
      </c>
      <c r="E149" s="15" t="s">
        <v>704</v>
      </c>
      <c r="F149" s="16" t="s">
        <v>610</v>
      </c>
      <c r="G149" s="69" t="s">
        <v>1124</v>
      </c>
      <c r="H149" s="173" t="s">
        <v>1125</v>
      </c>
      <c r="I149" s="9" t="s">
        <v>940</v>
      </c>
      <c r="J149" s="17" t="s">
        <v>1127</v>
      </c>
      <c r="K149" s="20">
        <v>43412</v>
      </c>
      <c r="L149" s="32">
        <v>43807</v>
      </c>
      <c r="M149" s="9">
        <f t="shared" si="210"/>
        <v>85.000007860659679</v>
      </c>
      <c r="N149" s="9">
        <v>6</v>
      </c>
      <c r="O149" s="9" t="s">
        <v>430</v>
      </c>
      <c r="P149" s="9" t="s">
        <v>350</v>
      </c>
      <c r="Q149" s="174" t="s">
        <v>212</v>
      </c>
      <c r="R149" s="69" t="s">
        <v>36</v>
      </c>
      <c r="S149" s="25">
        <f>T149+U149</f>
        <v>308180.27</v>
      </c>
      <c r="T149" s="33">
        <v>308180.27</v>
      </c>
      <c r="U149" s="33">
        <v>0</v>
      </c>
      <c r="V149" s="25">
        <f t="shared" si="150"/>
        <v>47133.4</v>
      </c>
      <c r="W149" s="33">
        <v>47133.4</v>
      </c>
      <c r="X149" s="33">
        <v>0</v>
      </c>
      <c r="Y149" s="57">
        <f>Z149+AA149</f>
        <v>7251.32</v>
      </c>
      <c r="Z149" s="57">
        <v>7251.32</v>
      </c>
      <c r="AA149" s="57">
        <v>0</v>
      </c>
      <c r="AB149" s="23">
        <f t="shared" si="152"/>
        <v>0</v>
      </c>
      <c r="AC149" s="175">
        <v>0</v>
      </c>
      <c r="AD149" s="175">
        <v>0</v>
      </c>
      <c r="AE149" s="23">
        <f t="shared" ref="AE149:AE205" si="214">S149+V149+Y149+AB149</f>
        <v>362564.99000000005</v>
      </c>
      <c r="AF149" s="175">
        <v>0</v>
      </c>
      <c r="AG149" s="26">
        <f t="shared" si="195"/>
        <v>362564.99000000005</v>
      </c>
      <c r="AH149" s="27" t="s">
        <v>871</v>
      </c>
      <c r="AI149" s="34" t="s">
        <v>940</v>
      </c>
      <c r="AJ149" s="38">
        <v>6448.1</v>
      </c>
      <c r="AK149" s="1">
        <v>986.18</v>
      </c>
    </row>
    <row r="150" spans="1:37" ht="151.5" customHeight="1" x14ac:dyDescent="0.25">
      <c r="A150" s="14">
        <v>146</v>
      </c>
      <c r="B150" s="14">
        <v>126302</v>
      </c>
      <c r="C150" s="8">
        <v>521</v>
      </c>
      <c r="D150" s="9" t="s">
        <v>177</v>
      </c>
      <c r="E150" s="15" t="s">
        <v>968</v>
      </c>
      <c r="F150" s="17" t="s">
        <v>1135</v>
      </c>
      <c r="G150" s="71" t="s">
        <v>1186</v>
      </c>
      <c r="H150" s="71" t="s">
        <v>348</v>
      </c>
      <c r="I150" s="18" t="s">
        <v>185</v>
      </c>
      <c r="J150" s="19" t="s">
        <v>1187</v>
      </c>
      <c r="K150" s="20">
        <v>43447</v>
      </c>
      <c r="L150" s="32">
        <v>44360</v>
      </c>
      <c r="M150" s="21">
        <f>S150/AE150*100</f>
        <v>85.000000283587156</v>
      </c>
      <c r="N150" s="14">
        <v>6</v>
      </c>
      <c r="O150" s="9" t="s">
        <v>430</v>
      </c>
      <c r="P150" s="14" t="s">
        <v>350</v>
      </c>
      <c r="Q150" s="22" t="s">
        <v>212</v>
      </c>
      <c r="R150" s="14" t="s">
        <v>36</v>
      </c>
      <c r="S150" s="25">
        <f>T150+U150</f>
        <v>2697583.52</v>
      </c>
      <c r="T150" s="23">
        <v>2697583.52</v>
      </c>
      <c r="U150" s="23">
        <v>0</v>
      </c>
      <c r="V150" s="25">
        <f>W150+X150</f>
        <v>412571.59</v>
      </c>
      <c r="W150" s="23">
        <v>412571.59</v>
      </c>
      <c r="X150" s="23">
        <v>0</v>
      </c>
      <c r="Y150" s="25">
        <f>Z150+AA150</f>
        <v>63472.55</v>
      </c>
      <c r="Z150" s="23">
        <v>63472.55</v>
      </c>
      <c r="AA150" s="1">
        <v>0</v>
      </c>
      <c r="AB150" s="23">
        <f>AC150+AD150</f>
        <v>0</v>
      </c>
      <c r="AC150" s="23">
        <v>0</v>
      </c>
      <c r="AD150" s="23">
        <v>0</v>
      </c>
      <c r="AE150" s="23">
        <f>S150+V150+Y150+AB150</f>
        <v>3173627.6599999997</v>
      </c>
      <c r="AF150" s="23">
        <v>44744</v>
      </c>
      <c r="AG150" s="26">
        <f t="shared" si="195"/>
        <v>3218371.6599999997</v>
      </c>
      <c r="AH150" s="27" t="s">
        <v>585</v>
      </c>
      <c r="AI150" s="34"/>
      <c r="AJ150" s="38">
        <v>317362.76</v>
      </c>
      <c r="AK150" s="1">
        <v>0</v>
      </c>
    </row>
    <row r="151" spans="1:37" ht="409.5" x14ac:dyDescent="0.25">
      <c r="A151" s="12">
        <v>147</v>
      </c>
      <c r="B151" s="7">
        <v>126243</v>
      </c>
      <c r="C151" s="8">
        <v>549</v>
      </c>
      <c r="D151" s="9" t="s">
        <v>175</v>
      </c>
      <c r="E151" s="18" t="s">
        <v>968</v>
      </c>
      <c r="F151" s="14" t="s">
        <v>1135</v>
      </c>
      <c r="G151" s="71" t="s">
        <v>1348</v>
      </c>
      <c r="H151" s="71" t="s">
        <v>1125</v>
      </c>
      <c r="I151" s="18" t="s">
        <v>422</v>
      </c>
      <c r="J151" s="71" t="s">
        <v>1349</v>
      </c>
      <c r="K151" s="20">
        <v>43556</v>
      </c>
      <c r="L151" s="32">
        <v>44316</v>
      </c>
      <c r="M151" s="9">
        <f t="shared" si="210"/>
        <v>84.9999995883324</v>
      </c>
      <c r="N151" s="9">
        <v>6</v>
      </c>
      <c r="O151" s="9" t="s">
        <v>430</v>
      </c>
      <c r="P151" s="9" t="s">
        <v>354</v>
      </c>
      <c r="Q151" s="9" t="s">
        <v>212</v>
      </c>
      <c r="R151" s="14" t="s">
        <v>1158</v>
      </c>
      <c r="S151" s="25">
        <f>T151+U151</f>
        <v>2477727.14</v>
      </c>
      <c r="T151" s="23">
        <v>2477727.14</v>
      </c>
      <c r="U151" s="23">
        <v>0</v>
      </c>
      <c r="V151" s="25">
        <f t="shared" si="150"/>
        <v>378946.5</v>
      </c>
      <c r="W151" s="23">
        <v>378946.5</v>
      </c>
      <c r="X151" s="23">
        <v>0</v>
      </c>
      <c r="Y151" s="25">
        <f>Z151+AA151</f>
        <v>58299.48</v>
      </c>
      <c r="Z151" s="23">
        <v>58299.48</v>
      </c>
      <c r="AA151" s="23">
        <v>0</v>
      </c>
      <c r="AB151" s="23">
        <f t="shared" si="152"/>
        <v>0</v>
      </c>
      <c r="AC151" s="23">
        <v>0</v>
      </c>
      <c r="AD151" s="23">
        <v>0</v>
      </c>
      <c r="AE151" s="23">
        <f t="shared" si="214"/>
        <v>2914973.12</v>
      </c>
      <c r="AF151" s="23">
        <v>16660</v>
      </c>
      <c r="AG151" s="26">
        <f t="shared" si="195"/>
        <v>2931633.12</v>
      </c>
      <c r="AH151" s="27" t="s">
        <v>585</v>
      </c>
      <c r="AI151" s="34"/>
      <c r="AJ151" s="1">
        <v>0</v>
      </c>
      <c r="AK151" s="1">
        <v>0</v>
      </c>
    </row>
    <row r="152" spans="1:37" ht="220.5" x14ac:dyDescent="0.25">
      <c r="A152" s="12">
        <v>148</v>
      </c>
      <c r="B152" s="13">
        <v>119377</v>
      </c>
      <c r="C152" s="8">
        <v>463</v>
      </c>
      <c r="D152" s="9" t="s">
        <v>171</v>
      </c>
      <c r="E152" s="18" t="s">
        <v>1041</v>
      </c>
      <c r="F152" s="14" t="s">
        <v>542</v>
      </c>
      <c r="G152" s="69" t="s">
        <v>945</v>
      </c>
      <c r="H152" s="176" t="s">
        <v>942</v>
      </c>
      <c r="I152" s="9" t="s">
        <v>940</v>
      </c>
      <c r="J152" s="17" t="s">
        <v>943</v>
      </c>
      <c r="K152" s="20">
        <v>43332</v>
      </c>
      <c r="L152" s="32">
        <v>43819</v>
      </c>
      <c r="M152" s="18">
        <f t="shared" si="210"/>
        <v>85.000001900439869</v>
      </c>
      <c r="N152" s="18">
        <v>6</v>
      </c>
      <c r="O152" s="18" t="s">
        <v>431</v>
      </c>
      <c r="P152" s="18" t="s">
        <v>944</v>
      </c>
      <c r="Q152" s="18" t="s">
        <v>212</v>
      </c>
      <c r="R152" s="69" t="s">
        <v>36</v>
      </c>
      <c r="S152" s="25">
        <f t="shared" ref="S152" si="215">T152+U152</f>
        <v>313085.42</v>
      </c>
      <c r="T152" s="23">
        <v>313085.42</v>
      </c>
      <c r="U152" s="23">
        <v>0</v>
      </c>
      <c r="V152" s="25">
        <f t="shared" si="150"/>
        <v>47883.64</v>
      </c>
      <c r="W152" s="23">
        <v>47883.64</v>
      </c>
      <c r="X152" s="23">
        <v>0</v>
      </c>
      <c r="Y152" s="29">
        <f>Z152+AA152</f>
        <v>7366.72</v>
      </c>
      <c r="Z152" s="29">
        <v>7366.72</v>
      </c>
      <c r="AA152" s="29">
        <v>0</v>
      </c>
      <c r="AB152" s="23">
        <f t="shared" si="152"/>
        <v>0</v>
      </c>
      <c r="AC152" s="37">
        <v>0</v>
      </c>
      <c r="AD152" s="37">
        <v>0</v>
      </c>
      <c r="AE152" s="23">
        <f t="shared" si="214"/>
        <v>368335.77999999997</v>
      </c>
      <c r="AF152" s="57">
        <v>4938.5</v>
      </c>
      <c r="AG152" s="26">
        <f t="shared" si="195"/>
        <v>373274.27999999997</v>
      </c>
      <c r="AH152" s="27" t="s">
        <v>871</v>
      </c>
      <c r="AI152" s="34" t="s">
        <v>185</v>
      </c>
      <c r="AJ152" s="29">
        <f>21878.75+1547.93</f>
        <v>23426.68</v>
      </c>
      <c r="AK152" s="29">
        <f>3346.16+236.74</f>
        <v>3582.8999999999996</v>
      </c>
    </row>
    <row r="153" spans="1:37" ht="252" x14ac:dyDescent="0.25">
      <c r="A153" s="14">
        <v>149</v>
      </c>
      <c r="B153" s="13">
        <v>126124</v>
      </c>
      <c r="C153" s="8">
        <v>532</v>
      </c>
      <c r="D153" s="9" t="s">
        <v>174</v>
      </c>
      <c r="E153" s="18" t="s">
        <v>968</v>
      </c>
      <c r="F153" s="14" t="s">
        <v>1135</v>
      </c>
      <c r="G153" s="69" t="s">
        <v>1216</v>
      </c>
      <c r="H153" s="176" t="s">
        <v>942</v>
      </c>
      <c r="I153" s="9" t="s">
        <v>940</v>
      </c>
      <c r="J153" s="17" t="s">
        <v>1217</v>
      </c>
      <c r="K153" s="20">
        <v>43462</v>
      </c>
      <c r="L153" s="32">
        <v>44375</v>
      </c>
      <c r="M153" s="18">
        <f t="shared" ref="M153" si="216">S153/AE153*100</f>
        <v>84.999999694403598</v>
      </c>
      <c r="N153" s="18">
        <v>6</v>
      </c>
      <c r="O153" s="18" t="s">
        <v>431</v>
      </c>
      <c r="P153" s="18" t="s">
        <v>944</v>
      </c>
      <c r="Q153" s="18" t="s">
        <v>212</v>
      </c>
      <c r="R153" s="69" t="s">
        <v>36</v>
      </c>
      <c r="S153" s="25">
        <f t="shared" ref="S153" si="217">T153+U153</f>
        <v>2086084.74</v>
      </c>
      <c r="T153" s="23">
        <v>2086084.74</v>
      </c>
      <c r="U153" s="23">
        <v>0</v>
      </c>
      <c r="V153" s="25">
        <f t="shared" ref="V153" si="218">W153+X153</f>
        <v>319048.28000000003</v>
      </c>
      <c r="W153" s="23">
        <v>319048.28000000003</v>
      </c>
      <c r="X153" s="23">
        <v>0</v>
      </c>
      <c r="Y153" s="29">
        <f>Z153+AA153</f>
        <v>49084.33</v>
      </c>
      <c r="Z153" s="29">
        <v>49084.33</v>
      </c>
      <c r="AA153" s="29">
        <v>0</v>
      </c>
      <c r="AB153" s="23">
        <f t="shared" ref="AB153" si="219">AC153+AD153</f>
        <v>0</v>
      </c>
      <c r="AC153" s="37">
        <v>0</v>
      </c>
      <c r="AD153" s="37">
        <v>0</v>
      </c>
      <c r="AE153" s="23">
        <f t="shared" ref="AE153" si="220">S153+V153+Y153+AB153</f>
        <v>2454217.35</v>
      </c>
      <c r="AF153" s="57">
        <v>0</v>
      </c>
      <c r="AG153" s="26">
        <f t="shared" si="195"/>
        <v>2454217.35</v>
      </c>
      <c r="AH153" s="27" t="s">
        <v>871</v>
      </c>
      <c r="AI153" s="34" t="s">
        <v>185</v>
      </c>
      <c r="AJ153" s="29">
        <v>0</v>
      </c>
      <c r="AK153" s="29">
        <v>0</v>
      </c>
    </row>
    <row r="154" spans="1:37" ht="150.75" customHeight="1" x14ac:dyDescent="0.25">
      <c r="A154" s="12">
        <v>150</v>
      </c>
      <c r="B154" s="14">
        <v>118759</v>
      </c>
      <c r="C154" s="8">
        <v>439</v>
      </c>
      <c r="D154" s="9" t="s">
        <v>1320</v>
      </c>
      <c r="E154" s="15" t="s">
        <v>704</v>
      </c>
      <c r="F154" s="15" t="s">
        <v>610</v>
      </c>
      <c r="G154" s="69" t="s">
        <v>805</v>
      </c>
      <c r="H154" s="17" t="s">
        <v>806</v>
      </c>
      <c r="I154" s="14" t="s">
        <v>807</v>
      </c>
      <c r="J154" s="17" t="s">
        <v>808</v>
      </c>
      <c r="K154" s="20">
        <v>43304</v>
      </c>
      <c r="L154" s="32">
        <v>43792</v>
      </c>
      <c r="M154" s="21">
        <f>S154/AE154*100</f>
        <v>84.213980856539493</v>
      </c>
      <c r="N154" s="69">
        <v>7</v>
      </c>
      <c r="O154" s="69" t="s">
        <v>809</v>
      </c>
      <c r="P154" s="69" t="s">
        <v>809</v>
      </c>
      <c r="Q154" s="69" t="s">
        <v>212</v>
      </c>
      <c r="R154" s="69" t="s">
        <v>36</v>
      </c>
      <c r="S154" s="25">
        <f t="shared" ref="S154" si="221">T154+U154</f>
        <v>288260.65000000002</v>
      </c>
      <c r="T154" s="177">
        <v>288260.65000000002</v>
      </c>
      <c r="U154" s="122">
        <v>0</v>
      </c>
      <c r="V154" s="25">
        <v>47188.93</v>
      </c>
      <c r="W154" s="122">
        <v>47188.93</v>
      </c>
      <c r="X154" s="122" t="s">
        <v>812</v>
      </c>
      <c r="Y154" s="25">
        <v>6845.9</v>
      </c>
      <c r="Z154" s="122">
        <v>6845.9</v>
      </c>
      <c r="AA154" s="122" t="s">
        <v>812</v>
      </c>
      <c r="AB154" s="23">
        <f t="shared" ref="AB154:AB201" si="222">AC154+AD154</f>
        <v>0</v>
      </c>
      <c r="AC154" s="37"/>
      <c r="AD154" s="37"/>
      <c r="AE154" s="23">
        <f>S154+V154+Y154+AB154</f>
        <v>342295.48000000004</v>
      </c>
      <c r="AF154" s="34"/>
      <c r="AG154" s="26">
        <f t="shared" si="195"/>
        <v>342295.48000000004</v>
      </c>
      <c r="AH154" s="27" t="s">
        <v>585</v>
      </c>
      <c r="AI154" s="28" t="s">
        <v>185</v>
      </c>
      <c r="AJ154" s="29">
        <f>34229.54+12542.88+12551.87+33546.82</f>
        <v>92871.11</v>
      </c>
      <c r="AK154" s="29">
        <f>2950.38+2215.05+10126.08</f>
        <v>15291.51</v>
      </c>
    </row>
    <row r="155" spans="1:37" ht="139.5" customHeight="1" x14ac:dyDescent="0.25">
      <c r="A155" s="12">
        <v>151</v>
      </c>
      <c r="B155" s="7">
        <v>119841</v>
      </c>
      <c r="C155" s="8">
        <v>477</v>
      </c>
      <c r="D155" s="9" t="s">
        <v>843</v>
      </c>
      <c r="E155" s="18" t="s">
        <v>1041</v>
      </c>
      <c r="F155" s="15" t="s">
        <v>542</v>
      </c>
      <c r="G155" s="15" t="s">
        <v>826</v>
      </c>
      <c r="H155" s="17" t="s">
        <v>806</v>
      </c>
      <c r="I155" s="14" t="s">
        <v>807</v>
      </c>
      <c r="J155" s="15" t="s">
        <v>827</v>
      </c>
      <c r="K155" s="20">
        <v>43304</v>
      </c>
      <c r="L155" s="32">
        <v>43792</v>
      </c>
      <c r="M155" s="21">
        <f>S155/AE155*100</f>
        <v>84.227561665534452</v>
      </c>
      <c r="N155" s="69">
        <v>7</v>
      </c>
      <c r="O155" s="69" t="s">
        <v>809</v>
      </c>
      <c r="P155" s="69" t="s">
        <v>809</v>
      </c>
      <c r="Q155" s="69" t="s">
        <v>212</v>
      </c>
      <c r="R155" s="14" t="s">
        <v>36</v>
      </c>
      <c r="S155" s="25">
        <f>T155+U155</f>
        <v>486941.45</v>
      </c>
      <c r="T155" s="1">
        <v>486941.45</v>
      </c>
      <c r="U155" s="64">
        <v>0</v>
      </c>
      <c r="V155" s="25">
        <f t="shared" ref="V155:V181" si="223">W155+X155</f>
        <v>79622</v>
      </c>
      <c r="W155" s="99">
        <v>79622</v>
      </c>
      <c r="X155" s="64">
        <v>0</v>
      </c>
      <c r="Y155" s="25">
        <v>11562.57</v>
      </c>
      <c r="Z155" s="29">
        <v>11562.57</v>
      </c>
      <c r="AA155" s="64">
        <v>0</v>
      </c>
      <c r="AB155" s="23">
        <f t="shared" si="222"/>
        <v>0</v>
      </c>
      <c r="AC155" s="37">
        <v>0</v>
      </c>
      <c r="AD155" s="37">
        <v>0</v>
      </c>
      <c r="AE155" s="23">
        <f t="shared" si="214"/>
        <v>578126.0199999999</v>
      </c>
      <c r="AF155" s="34"/>
      <c r="AG155" s="26">
        <f t="shared" si="195"/>
        <v>578126.0199999999</v>
      </c>
      <c r="AH155" s="27" t="s">
        <v>585</v>
      </c>
      <c r="AI155" s="28" t="s">
        <v>185</v>
      </c>
      <c r="AJ155" s="1">
        <f>55280.09+14628.07+12852.81+21538.21-3653.49+43635.51</f>
        <v>144281.19999999998</v>
      </c>
      <c r="AK155" s="29">
        <f>2532.51+2255.31+2268.14+3800.86+3653.49+5711.67</f>
        <v>20221.98</v>
      </c>
    </row>
    <row r="156" spans="1:37" ht="288.75" customHeight="1" x14ac:dyDescent="0.25">
      <c r="A156" s="14">
        <v>152</v>
      </c>
      <c r="B156" s="7">
        <v>126267</v>
      </c>
      <c r="C156" s="8">
        <v>540</v>
      </c>
      <c r="D156" s="9" t="s">
        <v>171</v>
      </c>
      <c r="E156" s="18" t="s">
        <v>968</v>
      </c>
      <c r="F156" s="14" t="s">
        <v>1135</v>
      </c>
      <c r="G156" s="15" t="s">
        <v>1313</v>
      </c>
      <c r="H156" s="17" t="s">
        <v>1314</v>
      </c>
      <c r="I156" s="14" t="s">
        <v>185</v>
      </c>
      <c r="J156" s="17" t="s">
        <v>1315</v>
      </c>
      <c r="K156" s="20">
        <v>43544</v>
      </c>
      <c r="L156" s="32">
        <v>44459</v>
      </c>
      <c r="M156" s="21">
        <f>S156/AE156*100</f>
        <v>85.000000823943722</v>
      </c>
      <c r="N156" s="69">
        <v>7</v>
      </c>
      <c r="O156" s="69" t="s">
        <v>809</v>
      </c>
      <c r="P156" s="69" t="s">
        <v>809</v>
      </c>
      <c r="Q156" s="69" t="s">
        <v>212</v>
      </c>
      <c r="R156" s="14" t="s">
        <v>36</v>
      </c>
      <c r="S156" s="25">
        <f>T156+U156</f>
        <v>2630640.86</v>
      </c>
      <c r="T156" s="1">
        <v>2630640.86</v>
      </c>
      <c r="U156" s="64">
        <v>0</v>
      </c>
      <c r="V156" s="25">
        <f t="shared" si="223"/>
        <v>402333.28</v>
      </c>
      <c r="W156" s="29">
        <v>402333.28</v>
      </c>
      <c r="X156" s="64">
        <v>0</v>
      </c>
      <c r="Y156" s="25">
        <f>Z156+AA156</f>
        <v>61897.43</v>
      </c>
      <c r="Z156" s="29">
        <v>61897.43</v>
      </c>
      <c r="AA156" s="64">
        <v>0</v>
      </c>
      <c r="AB156" s="23">
        <f t="shared" si="222"/>
        <v>0</v>
      </c>
      <c r="AC156" s="37">
        <v>0</v>
      </c>
      <c r="AD156" s="37">
        <v>0</v>
      </c>
      <c r="AE156" s="23">
        <f t="shared" si="214"/>
        <v>3094871.57</v>
      </c>
      <c r="AF156" s="23">
        <v>7140</v>
      </c>
      <c r="AG156" s="26">
        <f t="shared" si="195"/>
        <v>3102011.57</v>
      </c>
      <c r="AH156" s="27" t="s">
        <v>585</v>
      </c>
      <c r="AI156" s="28" t="s">
        <v>185</v>
      </c>
      <c r="AJ156" s="38">
        <v>0</v>
      </c>
      <c r="AK156" s="29">
        <v>0</v>
      </c>
    </row>
    <row r="157" spans="1:37" ht="262.5" customHeight="1" x14ac:dyDescent="0.25">
      <c r="A157" s="12">
        <v>153</v>
      </c>
      <c r="B157" s="7">
        <v>126475</v>
      </c>
      <c r="C157" s="8">
        <v>563</v>
      </c>
      <c r="D157" s="9" t="s">
        <v>176</v>
      </c>
      <c r="E157" s="18" t="s">
        <v>968</v>
      </c>
      <c r="F157" s="14" t="s">
        <v>1135</v>
      </c>
      <c r="G157" s="15" t="s">
        <v>1317</v>
      </c>
      <c r="H157" s="17" t="s">
        <v>1316</v>
      </c>
      <c r="I157" s="14" t="s">
        <v>807</v>
      </c>
      <c r="J157" s="15" t="s">
        <v>1318</v>
      </c>
      <c r="K157" s="20">
        <v>43546</v>
      </c>
      <c r="L157" s="32">
        <v>44277</v>
      </c>
      <c r="M157" s="21">
        <f>S157/AE157*100</f>
        <v>84.852694687750144</v>
      </c>
      <c r="N157" s="69">
        <v>7</v>
      </c>
      <c r="O157" s="69" t="s">
        <v>809</v>
      </c>
      <c r="P157" s="69" t="s">
        <v>809</v>
      </c>
      <c r="Q157" s="69" t="s">
        <v>212</v>
      </c>
      <c r="R157" s="14" t="s">
        <v>36</v>
      </c>
      <c r="S157" s="25">
        <f>T157+U157</f>
        <v>3141080.48</v>
      </c>
      <c r="T157" s="1">
        <v>3141080.48</v>
      </c>
      <c r="U157" s="64">
        <v>0</v>
      </c>
      <c r="V157" s="25">
        <f t="shared" si="223"/>
        <v>486687.45</v>
      </c>
      <c r="W157" s="99">
        <v>486687.45</v>
      </c>
      <c r="X157" s="64">
        <v>0</v>
      </c>
      <c r="Y157" s="25">
        <f>Z157+AA157</f>
        <v>67620.820000000007</v>
      </c>
      <c r="Z157" s="29">
        <v>67620.820000000007</v>
      </c>
      <c r="AA157" s="64">
        <v>0</v>
      </c>
      <c r="AB157" s="23">
        <f>AC157+AD157</f>
        <v>6415.29</v>
      </c>
      <c r="AC157" s="37">
        <v>6415.29</v>
      </c>
      <c r="AD157" s="37">
        <v>0</v>
      </c>
      <c r="AE157" s="23">
        <f t="shared" si="214"/>
        <v>3701804.04</v>
      </c>
      <c r="AF157" s="34">
        <v>0</v>
      </c>
      <c r="AG157" s="26">
        <f t="shared" si="195"/>
        <v>3701804.04</v>
      </c>
      <c r="AH157" s="27" t="s">
        <v>585</v>
      </c>
      <c r="AI157" s="28" t="s">
        <v>185</v>
      </c>
      <c r="AJ157" s="38">
        <v>32076</v>
      </c>
      <c r="AK157" s="29">
        <v>0</v>
      </c>
    </row>
    <row r="158" spans="1:37" ht="120" x14ac:dyDescent="0.25">
      <c r="A158" s="12">
        <v>154</v>
      </c>
      <c r="B158" s="13">
        <v>117764</v>
      </c>
      <c r="C158" s="18">
        <v>416</v>
      </c>
      <c r="D158" s="14" t="s">
        <v>684</v>
      </c>
      <c r="E158" s="15" t="s">
        <v>704</v>
      </c>
      <c r="F158" s="17" t="s">
        <v>610</v>
      </c>
      <c r="G158" s="17" t="s">
        <v>918</v>
      </c>
      <c r="H158" s="14" t="s">
        <v>919</v>
      </c>
      <c r="I158" s="14" t="s">
        <v>185</v>
      </c>
      <c r="J158" s="14"/>
      <c r="K158" s="20">
        <v>43326</v>
      </c>
      <c r="L158" s="32">
        <v>43813</v>
      </c>
      <c r="M158" s="14">
        <f t="shared" ref="M158" si="224">S158/AE158*100</f>
        <v>85.000000298812211</v>
      </c>
      <c r="N158" s="14">
        <v>1</v>
      </c>
      <c r="O158" s="14" t="s">
        <v>490</v>
      </c>
      <c r="P158" s="14" t="s">
        <v>490</v>
      </c>
      <c r="Q158" s="14" t="s">
        <v>212</v>
      </c>
      <c r="R158" s="69" t="s">
        <v>36</v>
      </c>
      <c r="S158" s="25">
        <f t="shared" ref="S158" si="225">T158+U158</f>
        <v>284459.59000000003</v>
      </c>
      <c r="T158" s="29">
        <v>284459.59000000003</v>
      </c>
      <c r="U158" s="64">
        <v>0</v>
      </c>
      <c r="V158" s="25">
        <f t="shared" si="223"/>
        <v>43505.58</v>
      </c>
      <c r="W158" s="29">
        <v>43505.58</v>
      </c>
      <c r="X158" s="64">
        <v>0</v>
      </c>
      <c r="Y158" s="29">
        <f>Z158+AA158</f>
        <v>6693.17</v>
      </c>
      <c r="Z158" s="29">
        <v>6693.17</v>
      </c>
      <c r="AA158" s="64">
        <v>0</v>
      </c>
      <c r="AB158" s="23">
        <f t="shared" si="222"/>
        <v>0</v>
      </c>
      <c r="AC158" s="43">
        <v>0</v>
      </c>
      <c r="AD158" s="43">
        <v>0</v>
      </c>
      <c r="AE158" s="23">
        <f t="shared" si="214"/>
        <v>334658.34000000003</v>
      </c>
      <c r="AF158" s="99">
        <v>0</v>
      </c>
      <c r="AG158" s="26">
        <f t="shared" si="195"/>
        <v>334658.34000000003</v>
      </c>
      <c r="AH158" s="27" t="s">
        <v>585</v>
      </c>
      <c r="AI158" s="99" t="s">
        <v>185</v>
      </c>
      <c r="AJ158" s="23">
        <f>33465.83-3352.6-821.73</f>
        <v>29291.500000000004</v>
      </c>
      <c r="AK158" s="23">
        <f>3352.6+821.73</f>
        <v>4174.33</v>
      </c>
    </row>
    <row r="159" spans="1:37" ht="159" customHeight="1" x14ac:dyDescent="0.25">
      <c r="A159" s="14">
        <v>155</v>
      </c>
      <c r="B159" s="13">
        <v>110909</v>
      </c>
      <c r="C159" s="8">
        <v>115</v>
      </c>
      <c r="D159" s="14" t="s">
        <v>168</v>
      </c>
      <c r="E159" s="15" t="s">
        <v>968</v>
      </c>
      <c r="F159" s="75" t="s">
        <v>331</v>
      </c>
      <c r="G159" s="69" t="s">
        <v>415</v>
      </c>
      <c r="H159" s="30" t="s">
        <v>414</v>
      </c>
      <c r="I159" s="18" t="s">
        <v>185</v>
      </c>
      <c r="J159" s="19" t="s">
        <v>416</v>
      </c>
      <c r="K159" s="20">
        <v>43214</v>
      </c>
      <c r="L159" s="32">
        <v>43701</v>
      </c>
      <c r="M159" s="21">
        <f t="shared" ref="M159:M160" si="226">S159/AE159*100</f>
        <v>85.000000000000014</v>
      </c>
      <c r="N159" s="14">
        <v>3</v>
      </c>
      <c r="O159" s="14" t="s">
        <v>417</v>
      </c>
      <c r="P159" s="14" t="s">
        <v>426</v>
      </c>
      <c r="Q159" s="22" t="s">
        <v>212</v>
      </c>
      <c r="R159" s="18" t="s">
        <v>36</v>
      </c>
      <c r="S159" s="25">
        <f t="shared" ref="S159:S161" si="227">T159+U159</f>
        <v>349633.9</v>
      </c>
      <c r="T159" s="178">
        <v>349633.9</v>
      </c>
      <c r="U159" s="64">
        <v>0</v>
      </c>
      <c r="V159" s="25">
        <f t="shared" si="223"/>
        <v>53473.42</v>
      </c>
      <c r="W159" s="179">
        <v>53473.42</v>
      </c>
      <c r="X159" s="64">
        <v>0</v>
      </c>
      <c r="Y159" s="25">
        <f t="shared" ref="Y159:Y161" si="228">Z159+AA159</f>
        <v>8226.68</v>
      </c>
      <c r="Z159" s="179">
        <v>8226.68</v>
      </c>
      <c r="AA159" s="64">
        <v>0</v>
      </c>
      <c r="AB159" s="23">
        <f t="shared" si="222"/>
        <v>0</v>
      </c>
      <c r="AC159" s="180">
        <v>0</v>
      </c>
      <c r="AD159" s="180">
        <v>0</v>
      </c>
      <c r="AE159" s="23">
        <f t="shared" si="214"/>
        <v>411334</v>
      </c>
      <c r="AF159" s="23">
        <v>0</v>
      </c>
      <c r="AG159" s="26">
        <f t="shared" si="195"/>
        <v>411334</v>
      </c>
      <c r="AH159" s="27" t="s">
        <v>585</v>
      </c>
      <c r="AI159" s="28" t="s">
        <v>185</v>
      </c>
      <c r="AJ159" s="1">
        <f>41133.4+12089.93+41133.4-2141.81-1436.89</f>
        <v>90778.030000000013</v>
      </c>
      <c r="AK159" s="29">
        <f>8140.04+2141.81+1436.89</f>
        <v>11718.74</v>
      </c>
    </row>
    <row r="160" spans="1:37" ht="315" x14ac:dyDescent="0.25">
      <c r="A160" s="12">
        <v>156</v>
      </c>
      <c r="B160" s="13">
        <v>126118</v>
      </c>
      <c r="C160" s="8">
        <v>530</v>
      </c>
      <c r="D160" s="14" t="s">
        <v>175</v>
      </c>
      <c r="E160" s="15" t="s">
        <v>1188</v>
      </c>
      <c r="F160" s="75" t="s">
        <v>1135</v>
      </c>
      <c r="G160" s="69" t="s">
        <v>1189</v>
      </c>
      <c r="H160" s="69" t="s">
        <v>1190</v>
      </c>
      <c r="I160" s="18" t="s">
        <v>422</v>
      </c>
      <c r="J160" s="19" t="s">
        <v>1191</v>
      </c>
      <c r="K160" s="20">
        <v>43447</v>
      </c>
      <c r="L160" s="32">
        <v>44116</v>
      </c>
      <c r="M160" s="21">
        <f t="shared" si="226"/>
        <v>85.000000836129914</v>
      </c>
      <c r="N160" s="9">
        <v>3</v>
      </c>
      <c r="O160" s="14" t="s">
        <v>417</v>
      </c>
      <c r="P160" s="14" t="s">
        <v>417</v>
      </c>
      <c r="Q160" s="22" t="s">
        <v>212</v>
      </c>
      <c r="R160" s="18" t="s">
        <v>36</v>
      </c>
      <c r="S160" s="25">
        <f t="shared" si="227"/>
        <v>813270.76</v>
      </c>
      <c r="T160" s="178">
        <v>813270.76</v>
      </c>
      <c r="U160" s="64">
        <v>0</v>
      </c>
      <c r="V160" s="25">
        <f t="shared" si="223"/>
        <v>124382.58</v>
      </c>
      <c r="W160" s="179">
        <v>124382.58</v>
      </c>
      <c r="X160" s="179">
        <v>0</v>
      </c>
      <c r="Y160" s="25">
        <f t="shared" si="228"/>
        <v>19135.78</v>
      </c>
      <c r="Z160" s="179">
        <v>19135.78</v>
      </c>
      <c r="AA160" s="179">
        <v>0</v>
      </c>
      <c r="AB160" s="23">
        <f t="shared" si="222"/>
        <v>0</v>
      </c>
      <c r="AC160" s="26">
        <v>0</v>
      </c>
      <c r="AD160" s="26">
        <v>0</v>
      </c>
      <c r="AE160" s="23">
        <f t="shared" si="214"/>
        <v>956789.12</v>
      </c>
      <c r="AF160" s="34"/>
      <c r="AG160" s="26">
        <f t="shared" si="195"/>
        <v>956789.12</v>
      </c>
      <c r="AH160" s="27" t="s">
        <v>871</v>
      </c>
      <c r="AI160" s="34"/>
      <c r="AJ160" s="1">
        <v>39091.35</v>
      </c>
      <c r="AK160" s="1">
        <v>5978.68</v>
      </c>
    </row>
    <row r="161" spans="1:37" ht="362.25" x14ac:dyDescent="0.25">
      <c r="A161" s="12">
        <v>157</v>
      </c>
      <c r="B161" s="13">
        <v>129759</v>
      </c>
      <c r="C161" s="8">
        <v>675</v>
      </c>
      <c r="D161" s="14" t="s">
        <v>177</v>
      </c>
      <c r="E161" s="15" t="s">
        <v>1188</v>
      </c>
      <c r="F161" s="75" t="s">
        <v>1417</v>
      </c>
      <c r="G161" s="181" t="s">
        <v>1462</v>
      </c>
      <c r="H161" s="69" t="s">
        <v>1478</v>
      </c>
      <c r="I161" s="18" t="s">
        <v>422</v>
      </c>
      <c r="J161" s="19" t="s">
        <v>1463</v>
      </c>
      <c r="K161" s="20">
        <v>43622</v>
      </c>
      <c r="L161" s="32">
        <v>44261</v>
      </c>
      <c r="M161" s="21">
        <f t="shared" ref="M161" si="229">S161/AE161*100</f>
        <v>85.000000231937065</v>
      </c>
      <c r="N161" s="9">
        <v>3</v>
      </c>
      <c r="O161" s="14" t="s">
        <v>417</v>
      </c>
      <c r="P161" s="14" t="s">
        <v>417</v>
      </c>
      <c r="Q161" s="22" t="s">
        <v>212</v>
      </c>
      <c r="R161" s="18" t="s">
        <v>1158</v>
      </c>
      <c r="S161" s="25">
        <f t="shared" si="227"/>
        <v>3298308.61</v>
      </c>
      <c r="T161" s="178">
        <v>3298308.61</v>
      </c>
      <c r="U161" s="64">
        <v>0</v>
      </c>
      <c r="V161" s="25">
        <f t="shared" si="223"/>
        <v>504447.19</v>
      </c>
      <c r="W161" s="179">
        <v>504447.19</v>
      </c>
      <c r="X161" s="179">
        <v>0</v>
      </c>
      <c r="Y161" s="25">
        <f t="shared" si="228"/>
        <v>77607.259999999995</v>
      </c>
      <c r="Z161" s="179">
        <v>77607.259999999995</v>
      </c>
      <c r="AA161" s="179">
        <v>0</v>
      </c>
      <c r="AB161" s="23">
        <f t="shared" si="222"/>
        <v>0</v>
      </c>
      <c r="AC161" s="26">
        <v>0</v>
      </c>
      <c r="AD161" s="26">
        <v>0</v>
      </c>
      <c r="AE161" s="23">
        <f t="shared" si="214"/>
        <v>3880363.0599999996</v>
      </c>
      <c r="AF161" s="34"/>
      <c r="AG161" s="26">
        <f t="shared" si="195"/>
        <v>3880363.0599999996</v>
      </c>
      <c r="AH161" s="27" t="s">
        <v>871</v>
      </c>
      <c r="AI161" s="34"/>
      <c r="AJ161" s="1"/>
      <c r="AK161" s="1"/>
    </row>
    <row r="162" spans="1:37" ht="267.75" x14ac:dyDescent="0.25">
      <c r="A162" s="14">
        <v>158</v>
      </c>
      <c r="B162" s="13">
        <v>129754</v>
      </c>
      <c r="C162" s="8">
        <v>674</v>
      </c>
      <c r="D162" s="14" t="s">
        <v>174</v>
      </c>
      <c r="E162" s="15" t="s">
        <v>1188</v>
      </c>
      <c r="F162" s="75" t="s">
        <v>1417</v>
      </c>
      <c r="G162" s="181" t="s">
        <v>1476</v>
      </c>
      <c r="H162" s="69" t="s">
        <v>1190</v>
      </c>
      <c r="I162" s="18" t="s">
        <v>422</v>
      </c>
      <c r="J162" s="19" t="s">
        <v>1477</v>
      </c>
      <c r="K162" s="20">
        <v>43634</v>
      </c>
      <c r="L162" s="32">
        <v>44245</v>
      </c>
      <c r="M162" s="21">
        <f t="shared" ref="M162:M167" si="230">S162/AE162*100</f>
        <v>85.000000138264667</v>
      </c>
      <c r="N162" s="9">
        <v>3</v>
      </c>
      <c r="O162" s="14" t="s">
        <v>417</v>
      </c>
      <c r="P162" s="14" t="s">
        <v>417</v>
      </c>
      <c r="Q162" s="22" t="s">
        <v>212</v>
      </c>
      <c r="R162" s="18" t="s">
        <v>1158</v>
      </c>
      <c r="S162" s="25">
        <f t="shared" ref="S162" si="231">T162+U162</f>
        <v>2459052.1800000002</v>
      </c>
      <c r="T162" s="178">
        <v>2459052.1800000002</v>
      </c>
      <c r="U162" s="64">
        <v>0</v>
      </c>
      <c r="V162" s="25">
        <f t="shared" ref="V162" si="232">W162+X162</f>
        <v>376090.33</v>
      </c>
      <c r="W162" s="179">
        <v>376090.33</v>
      </c>
      <c r="X162" s="179">
        <v>0</v>
      </c>
      <c r="Y162" s="25">
        <f t="shared" ref="Y162" si="233">Z162+AA162</f>
        <v>57860.05</v>
      </c>
      <c r="Z162" s="179">
        <v>57860.05</v>
      </c>
      <c r="AA162" s="179">
        <v>0</v>
      </c>
      <c r="AB162" s="23">
        <f t="shared" ref="AB162" si="234">AC162+AD162</f>
        <v>0</v>
      </c>
      <c r="AC162" s="26">
        <v>0</v>
      </c>
      <c r="AD162" s="26">
        <v>0</v>
      </c>
      <c r="AE162" s="23">
        <f t="shared" ref="AE162" si="235">S162+V162+Y162+AB162</f>
        <v>2893002.56</v>
      </c>
      <c r="AF162" s="34">
        <v>0</v>
      </c>
      <c r="AG162" s="26">
        <f t="shared" si="195"/>
        <v>2893002.56</v>
      </c>
      <c r="AH162" s="27" t="s">
        <v>871</v>
      </c>
      <c r="AI162" s="34"/>
      <c r="AJ162" s="1"/>
      <c r="AK162" s="1"/>
    </row>
    <row r="163" spans="1:37" ht="283.5" x14ac:dyDescent="0.25">
      <c r="A163" s="12">
        <v>159</v>
      </c>
      <c r="B163" s="7">
        <v>119235</v>
      </c>
      <c r="C163" s="8">
        <v>479</v>
      </c>
      <c r="D163" s="9" t="s">
        <v>171</v>
      </c>
      <c r="E163" s="18" t="s">
        <v>1041</v>
      </c>
      <c r="F163" s="17" t="s">
        <v>542</v>
      </c>
      <c r="G163" s="17" t="s">
        <v>647</v>
      </c>
      <c r="H163" s="94" t="s">
        <v>648</v>
      </c>
      <c r="I163" s="14" t="s">
        <v>185</v>
      </c>
      <c r="J163" s="17" t="s">
        <v>649</v>
      </c>
      <c r="K163" s="32">
        <v>43276</v>
      </c>
      <c r="L163" s="32">
        <v>43702</v>
      </c>
      <c r="M163" s="45">
        <f t="shared" si="230"/>
        <v>84.999999139224727</v>
      </c>
      <c r="N163" s="69">
        <v>5</v>
      </c>
      <c r="O163" s="69" t="s">
        <v>650</v>
      </c>
      <c r="P163" s="69" t="s">
        <v>651</v>
      </c>
      <c r="Q163" s="69" t="s">
        <v>212</v>
      </c>
      <c r="R163" s="69" t="s">
        <v>546</v>
      </c>
      <c r="S163" s="25">
        <f>T163+U163</f>
        <v>246870.47</v>
      </c>
      <c r="T163" s="29">
        <v>246870.47</v>
      </c>
      <c r="U163" s="64">
        <v>0</v>
      </c>
      <c r="V163" s="25">
        <f>W163+X163</f>
        <v>37756.660000000003</v>
      </c>
      <c r="W163" s="99">
        <v>37756.660000000003</v>
      </c>
      <c r="X163" s="64">
        <v>0</v>
      </c>
      <c r="Y163" s="25">
        <f>Z163+AA163</f>
        <v>5808.72</v>
      </c>
      <c r="Z163" s="29">
        <v>5808.72</v>
      </c>
      <c r="AA163" s="64">
        <v>0</v>
      </c>
      <c r="AB163" s="23">
        <f>AC163+AD163</f>
        <v>0</v>
      </c>
      <c r="AC163" s="182">
        <v>0</v>
      </c>
      <c r="AD163" s="182">
        <v>0</v>
      </c>
      <c r="AE163" s="23">
        <f>S163+V163+Y163+AB163</f>
        <v>290435.84999999998</v>
      </c>
      <c r="AF163" s="34"/>
      <c r="AG163" s="26">
        <f t="shared" si="195"/>
        <v>290435.84999999998</v>
      </c>
      <c r="AH163" s="27" t="s">
        <v>585</v>
      </c>
      <c r="AI163" s="86"/>
      <c r="AJ163" s="1">
        <f>28682+46411.17+11794.6</f>
        <v>86887.77</v>
      </c>
      <c r="AK163" s="29">
        <f>11484.84+1803.88</f>
        <v>13288.720000000001</v>
      </c>
    </row>
    <row r="164" spans="1:37" ht="141.75" x14ac:dyDescent="0.25">
      <c r="A164" s="12">
        <v>160</v>
      </c>
      <c r="B164" s="7">
        <v>119160</v>
      </c>
      <c r="C164" s="8">
        <v>482</v>
      </c>
      <c r="D164" s="9" t="s">
        <v>843</v>
      </c>
      <c r="E164" s="18" t="s">
        <v>1041</v>
      </c>
      <c r="F164" s="17" t="s">
        <v>542</v>
      </c>
      <c r="G164" s="15" t="s">
        <v>818</v>
      </c>
      <c r="H164" s="15" t="s">
        <v>819</v>
      </c>
      <c r="I164" s="14" t="s">
        <v>185</v>
      </c>
      <c r="J164" s="15" t="s">
        <v>820</v>
      </c>
      <c r="K164" s="32">
        <v>43304</v>
      </c>
      <c r="L164" s="32">
        <v>43792</v>
      </c>
      <c r="M164" s="45">
        <f t="shared" si="230"/>
        <v>84.99999840000666</v>
      </c>
      <c r="N164" s="69">
        <v>5</v>
      </c>
      <c r="O164" s="69" t="s">
        <v>650</v>
      </c>
      <c r="P164" s="69" t="s">
        <v>821</v>
      </c>
      <c r="Q164" s="69" t="s">
        <v>212</v>
      </c>
      <c r="R164" s="14" t="s">
        <v>36</v>
      </c>
      <c r="S164" s="25">
        <f>T164+U164</f>
        <v>212500.88</v>
      </c>
      <c r="T164" s="29">
        <v>212500.88</v>
      </c>
      <c r="U164" s="64">
        <v>0</v>
      </c>
      <c r="V164" s="25">
        <f>W164+X164</f>
        <v>32500.1</v>
      </c>
      <c r="W164" s="99">
        <v>32500.1</v>
      </c>
      <c r="X164" s="64">
        <v>0</v>
      </c>
      <c r="Y164" s="25">
        <f>Z164+AA164</f>
        <v>5000.0600000000004</v>
      </c>
      <c r="Z164" s="29">
        <v>5000.0600000000004</v>
      </c>
      <c r="AA164" s="64">
        <v>0</v>
      </c>
      <c r="AB164" s="23">
        <f>AC164+AD164</f>
        <v>0</v>
      </c>
      <c r="AC164" s="37">
        <v>0</v>
      </c>
      <c r="AD164" s="37"/>
      <c r="AE164" s="23">
        <f>S164+V164+Y164+AB164</f>
        <v>250001.04</v>
      </c>
      <c r="AF164" s="34"/>
      <c r="AG164" s="26">
        <f t="shared" si="195"/>
        <v>250001.04</v>
      </c>
      <c r="AH164" s="27" t="s">
        <v>585</v>
      </c>
      <c r="AI164" s="86"/>
      <c r="AJ164" s="1">
        <v>30115.11</v>
      </c>
      <c r="AK164" s="29">
        <v>4605.84</v>
      </c>
    </row>
    <row r="165" spans="1:37" ht="252" x14ac:dyDescent="0.25">
      <c r="A165" s="14">
        <v>161</v>
      </c>
      <c r="B165" s="13">
        <v>117063</v>
      </c>
      <c r="C165" s="18">
        <v>411</v>
      </c>
      <c r="D165" s="14" t="s">
        <v>684</v>
      </c>
      <c r="E165" s="15" t="s">
        <v>704</v>
      </c>
      <c r="F165" s="14" t="s">
        <v>610</v>
      </c>
      <c r="G165" s="15" t="s">
        <v>876</v>
      </c>
      <c r="H165" s="18" t="s">
        <v>819</v>
      </c>
      <c r="I165" s="9" t="s">
        <v>185</v>
      </c>
      <c r="J165" s="15" t="s">
        <v>877</v>
      </c>
      <c r="K165" s="32">
        <v>43313</v>
      </c>
      <c r="L165" s="32">
        <v>43677</v>
      </c>
      <c r="M165" s="45">
        <f t="shared" si="230"/>
        <v>85</v>
      </c>
      <c r="N165" s="18">
        <v>5</v>
      </c>
      <c r="O165" s="18" t="s">
        <v>650</v>
      </c>
      <c r="P165" s="18" t="s">
        <v>821</v>
      </c>
      <c r="Q165" s="18" t="s">
        <v>212</v>
      </c>
      <c r="R165" s="14" t="s">
        <v>546</v>
      </c>
      <c r="S165" s="25">
        <f t="shared" ref="S165:S166" si="236">T165+U165</f>
        <v>213015.1</v>
      </c>
      <c r="T165" s="33">
        <v>213015.1</v>
      </c>
      <c r="U165" s="33">
        <v>0</v>
      </c>
      <c r="V165" s="25">
        <f t="shared" si="223"/>
        <v>32578.78</v>
      </c>
      <c r="W165" s="33">
        <v>32578.78</v>
      </c>
      <c r="X165" s="64">
        <v>0</v>
      </c>
      <c r="Y165" s="25">
        <f t="shared" ref="Y165:Y166" si="237">Z165+AA165</f>
        <v>5012.12</v>
      </c>
      <c r="Z165" s="57">
        <v>5012.12</v>
      </c>
      <c r="AA165" s="57">
        <v>0</v>
      </c>
      <c r="AB165" s="23">
        <f t="shared" si="222"/>
        <v>0</v>
      </c>
      <c r="AC165" s="23">
        <v>0</v>
      </c>
      <c r="AD165" s="23">
        <v>0</v>
      </c>
      <c r="AE165" s="23">
        <f t="shared" si="214"/>
        <v>250606</v>
      </c>
      <c r="AF165" s="34"/>
      <c r="AG165" s="26">
        <f t="shared" si="195"/>
        <v>250606</v>
      </c>
      <c r="AH165" s="27" t="s">
        <v>585</v>
      </c>
      <c r="AI165" s="34"/>
      <c r="AJ165" s="38">
        <v>38751.5</v>
      </c>
      <c r="AK165" s="38">
        <v>5926.7</v>
      </c>
    </row>
    <row r="166" spans="1:37" ht="299.25" x14ac:dyDescent="0.3">
      <c r="A166" s="12">
        <v>162</v>
      </c>
      <c r="B166" s="13">
        <v>126522</v>
      </c>
      <c r="C166" s="18">
        <v>554</v>
      </c>
      <c r="D166" s="14" t="s">
        <v>177</v>
      </c>
      <c r="E166" s="15" t="s">
        <v>1188</v>
      </c>
      <c r="F166" s="75" t="s">
        <v>1135</v>
      </c>
      <c r="G166" s="111" t="s">
        <v>1345</v>
      </c>
      <c r="H166" s="18" t="s">
        <v>1346</v>
      </c>
      <c r="I166" s="9" t="s">
        <v>185</v>
      </c>
      <c r="J166" s="15" t="s">
        <v>1347</v>
      </c>
      <c r="K166" s="32">
        <v>43556</v>
      </c>
      <c r="L166" s="32">
        <v>44440</v>
      </c>
      <c r="M166" s="45">
        <f t="shared" si="230"/>
        <v>85.0000001266326</v>
      </c>
      <c r="N166" s="18">
        <v>5</v>
      </c>
      <c r="O166" s="18" t="s">
        <v>650</v>
      </c>
      <c r="P166" s="18" t="s">
        <v>651</v>
      </c>
      <c r="Q166" s="18" t="s">
        <v>212</v>
      </c>
      <c r="R166" s="14" t="s">
        <v>546</v>
      </c>
      <c r="S166" s="25">
        <f t="shared" si="236"/>
        <v>3356165.93</v>
      </c>
      <c r="T166" s="33">
        <v>3356165.93</v>
      </c>
      <c r="U166" s="33">
        <v>0</v>
      </c>
      <c r="V166" s="25">
        <f t="shared" si="223"/>
        <v>513295.96</v>
      </c>
      <c r="W166" s="33">
        <v>513295.96</v>
      </c>
      <c r="X166" s="64">
        <v>0</v>
      </c>
      <c r="Y166" s="25">
        <f t="shared" si="237"/>
        <v>78968.61</v>
      </c>
      <c r="Z166" s="57">
        <v>78968.61</v>
      </c>
      <c r="AA166" s="57">
        <v>0</v>
      </c>
      <c r="AB166" s="23">
        <v>0</v>
      </c>
      <c r="AC166" s="23">
        <v>0</v>
      </c>
      <c r="AD166" s="23">
        <v>0</v>
      </c>
      <c r="AE166" s="23">
        <f t="shared" si="214"/>
        <v>3948430.5</v>
      </c>
      <c r="AF166" s="34"/>
      <c r="AG166" s="26">
        <f t="shared" si="195"/>
        <v>3948430.5</v>
      </c>
      <c r="AH166" s="27" t="s">
        <v>585</v>
      </c>
      <c r="AI166" s="34"/>
      <c r="AJ166" s="38">
        <v>0</v>
      </c>
      <c r="AK166" s="38">
        <v>0</v>
      </c>
    </row>
    <row r="167" spans="1:37" ht="315" x14ac:dyDescent="0.25">
      <c r="A167" s="12">
        <v>163</v>
      </c>
      <c r="B167" s="13">
        <v>119289</v>
      </c>
      <c r="C167" s="18">
        <v>484</v>
      </c>
      <c r="D167" s="14" t="s">
        <v>684</v>
      </c>
      <c r="E167" s="18" t="s">
        <v>1041</v>
      </c>
      <c r="F167" s="14" t="s">
        <v>542</v>
      </c>
      <c r="G167" s="17" t="s">
        <v>624</v>
      </c>
      <c r="H167" s="17" t="s">
        <v>625</v>
      </c>
      <c r="I167" s="14" t="s">
        <v>349</v>
      </c>
      <c r="J167" s="48" t="s">
        <v>626</v>
      </c>
      <c r="K167" s="20">
        <v>43271</v>
      </c>
      <c r="L167" s="32">
        <v>43758</v>
      </c>
      <c r="M167" s="21">
        <f t="shared" si="230"/>
        <v>85.000003319296809</v>
      </c>
      <c r="N167" s="9">
        <v>3</v>
      </c>
      <c r="O167" s="14" t="s">
        <v>432</v>
      </c>
      <c r="P167" s="14" t="s">
        <v>584</v>
      </c>
      <c r="Q167" s="14" t="s">
        <v>212</v>
      </c>
      <c r="R167" s="14" t="s">
        <v>546</v>
      </c>
      <c r="S167" s="25">
        <f>T167+U167</f>
        <v>332901.85000000009</v>
      </c>
      <c r="T167" s="37">
        <v>332901.85000000009</v>
      </c>
      <c r="U167" s="37">
        <v>0</v>
      </c>
      <c r="V167" s="25">
        <f>W167+X167</f>
        <v>50914.380000000005</v>
      </c>
      <c r="W167" s="37">
        <v>50914.380000000005</v>
      </c>
      <c r="X167" s="37">
        <v>0</v>
      </c>
      <c r="Y167" s="25">
        <f>Z167+AA167</f>
        <v>7832.9900000000016</v>
      </c>
      <c r="Z167" s="29">
        <v>7832.9900000000016</v>
      </c>
      <c r="AA167" s="29">
        <v>0</v>
      </c>
      <c r="AB167" s="23">
        <f>AC167+AD167</f>
        <v>0</v>
      </c>
      <c r="AC167" s="43">
        <v>0</v>
      </c>
      <c r="AD167" s="43">
        <v>0</v>
      </c>
      <c r="AE167" s="23">
        <f>S167+V167+Y167+AB167</f>
        <v>391649.22000000009</v>
      </c>
      <c r="AF167" s="37">
        <v>0</v>
      </c>
      <c r="AG167" s="26">
        <f t="shared" si="195"/>
        <v>391649.22000000009</v>
      </c>
      <c r="AH167" s="27" t="s">
        <v>585</v>
      </c>
      <c r="AI167" s="34"/>
      <c r="AJ167" s="38">
        <f>38381.62-1141.39+34311.47</f>
        <v>71551.700000000012</v>
      </c>
      <c r="AK167" s="29">
        <f>5695.57+5247.64</f>
        <v>10943.21</v>
      </c>
    </row>
    <row r="168" spans="1:37" ht="409.5" x14ac:dyDescent="0.25">
      <c r="A168" s="14">
        <v>164</v>
      </c>
      <c r="B168" s="7">
        <v>118717</v>
      </c>
      <c r="C168" s="8">
        <v>435</v>
      </c>
      <c r="D168" s="9" t="s">
        <v>684</v>
      </c>
      <c r="E168" s="15" t="s">
        <v>704</v>
      </c>
      <c r="F168" s="16" t="s">
        <v>610</v>
      </c>
      <c r="G168" s="17" t="s">
        <v>961</v>
      </c>
      <c r="H168" s="14" t="s">
        <v>625</v>
      </c>
      <c r="I168" s="14" t="s">
        <v>349</v>
      </c>
      <c r="J168" s="19" t="s">
        <v>962</v>
      </c>
      <c r="K168" s="20">
        <v>43333</v>
      </c>
      <c r="L168" s="32">
        <v>43790</v>
      </c>
      <c r="M168" s="21">
        <f t="shared" ref="M168:M169" si="238">S168/AE168*100</f>
        <v>84.999995136543049</v>
      </c>
      <c r="N168" s="18">
        <v>3</v>
      </c>
      <c r="O168" s="14" t="s">
        <v>432</v>
      </c>
      <c r="P168" s="14" t="s">
        <v>584</v>
      </c>
      <c r="Q168" s="14" t="s">
        <v>212</v>
      </c>
      <c r="R168" s="14" t="s">
        <v>546</v>
      </c>
      <c r="S168" s="25">
        <f t="shared" ref="S168:S169" si="239">T168+U168</f>
        <v>227204.63</v>
      </c>
      <c r="T168" s="33">
        <v>227204.63</v>
      </c>
      <c r="U168" s="37">
        <v>0</v>
      </c>
      <c r="V168" s="25">
        <f t="shared" si="223"/>
        <v>34748.959999999999</v>
      </c>
      <c r="W168" s="33">
        <v>34748.959999999999</v>
      </c>
      <c r="X168" s="64">
        <v>0</v>
      </c>
      <c r="Y168" s="25">
        <f t="shared" ref="Y168:Y169" si="240">Z168+AA168</f>
        <v>5345.99</v>
      </c>
      <c r="Z168" s="57">
        <v>5345.99</v>
      </c>
      <c r="AA168" s="57">
        <v>0</v>
      </c>
      <c r="AB168" s="23">
        <f t="shared" si="222"/>
        <v>0</v>
      </c>
      <c r="AC168" s="33"/>
      <c r="AD168" s="33"/>
      <c r="AE168" s="23">
        <f t="shared" si="214"/>
        <v>267299.58</v>
      </c>
      <c r="AF168" s="34">
        <v>37391</v>
      </c>
      <c r="AG168" s="26">
        <f t="shared" si="195"/>
        <v>304690.58</v>
      </c>
      <c r="AH168" s="27" t="s">
        <v>585</v>
      </c>
      <c r="AI168" s="27" t="s">
        <v>1192</v>
      </c>
      <c r="AJ168" s="38">
        <f>26729+12123.33+40308.88</f>
        <v>79161.209999999992</v>
      </c>
      <c r="AK168" s="38">
        <f>5942.12+6164.89</f>
        <v>12107.01</v>
      </c>
    </row>
    <row r="169" spans="1:37" ht="409.5" x14ac:dyDescent="0.25">
      <c r="A169" s="12">
        <v>165</v>
      </c>
      <c r="B169" s="7">
        <v>129688</v>
      </c>
      <c r="C169" s="8">
        <v>686</v>
      </c>
      <c r="D169" s="9" t="s">
        <v>163</v>
      </c>
      <c r="E169" s="15" t="s">
        <v>968</v>
      </c>
      <c r="F169" s="9" t="s">
        <v>1417</v>
      </c>
      <c r="G169" s="17" t="s">
        <v>1433</v>
      </c>
      <c r="H169" s="14" t="s">
        <v>1434</v>
      </c>
      <c r="I169" s="14" t="s">
        <v>349</v>
      </c>
      <c r="J169" s="19" t="s">
        <v>1435</v>
      </c>
      <c r="K169" s="20">
        <v>43614</v>
      </c>
      <c r="L169" s="32">
        <v>44345</v>
      </c>
      <c r="M169" s="21">
        <f t="shared" si="238"/>
        <v>84.999999952929599</v>
      </c>
      <c r="N169" s="18">
        <v>3</v>
      </c>
      <c r="O169" s="14" t="s">
        <v>432</v>
      </c>
      <c r="P169" s="14" t="s">
        <v>584</v>
      </c>
      <c r="Q169" s="14" t="s">
        <v>212</v>
      </c>
      <c r="R169" s="14" t="s">
        <v>546</v>
      </c>
      <c r="S169" s="25">
        <f t="shared" si="239"/>
        <v>2708708.76</v>
      </c>
      <c r="T169" s="33">
        <v>2708708.76</v>
      </c>
      <c r="U169" s="37">
        <v>0</v>
      </c>
      <c r="V169" s="25">
        <f t="shared" si="223"/>
        <v>414273.1</v>
      </c>
      <c r="W169" s="33">
        <v>414273.1</v>
      </c>
      <c r="X169" s="64">
        <v>0</v>
      </c>
      <c r="Y169" s="25">
        <f t="shared" si="240"/>
        <v>63734.33</v>
      </c>
      <c r="Z169" s="57">
        <v>63734.33</v>
      </c>
      <c r="AA169" s="57">
        <v>0</v>
      </c>
      <c r="AB169" s="23">
        <f t="shared" si="222"/>
        <v>0</v>
      </c>
      <c r="AC169" s="57">
        <v>0</v>
      </c>
      <c r="AD169" s="57">
        <v>0</v>
      </c>
      <c r="AE169" s="23">
        <f t="shared" si="214"/>
        <v>3186716.19</v>
      </c>
      <c r="AF169" s="34">
        <v>0</v>
      </c>
      <c r="AG169" s="26">
        <f t="shared" si="195"/>
        <v>3186716.19</v>
      </c>
      <c r="AH169" s="27" t="s">
        <v>585</v>
      </c>
      <c r="AI169" s="34"/>
      <c r="AJ169" s="183"/>
      <c r="AK169" s="34"/>
    </row>
    <row r="170" spans="1:37" ht="362.25" x14ac:dyDescent="0.25">
      <c r="A170" s="12">
        <v>166</v>
      </c>
      <c r="B170" s="13">
        <v>119720</v>
      </c>
      <c r="C170" s="18">
        <v>481</v>
      </c>
      <c r="D170" s="14" t="s">
        <v>684</v>
      </c>
      <c r="E170" s="18" t="s">
        <v>1041</v>
      </c>
      <c r="F170" s="14" t="s">
        <v>542</v>
      </c>
      <c r="G170" s="17" t="s">
        <v>586</v>
      </c>
      <c r="H170" s="17" t="s">
        <v>587</v>
      </c>
      <c r="I170" s="14" t="s">
        <v>349</v>
      </c>
      <c r="J170" s="48" t="s">
        <v>589</v>
      </c>
      <c r="K170" s="20">
        <v>43264</v>
      </c>
      <c r="L170" s="32">
        <v>43903</v>
      </c>
      <c r="M170" s="21">
        <f>S170/AE170*100</f>
        <v>85.00000159999999</v>
      </c>
      <c r="N170" s="9">
        <v>3</v>
      </c>
      <c r="O170" s="14" t="s">
        <v>433</v>
      </c>
      <c r="P170" s="14" t="s">
        <v>588</v>
      </c>
      <c r="Q170" s="14" t="s">
        <v>212</v>
      </c>
      <c r="R170" s="14" t="s">
        <v>546</v>
      </c>
      <c r="S170" s="25">
        <f>T170+U170</f>
        <v>531250.01</v>
      </c>
      <c r="T170" s="37">
        <v>531250.01</v>
      </c>
      <c r="U170" s="37">
        <v>0</v>
      </c>
      <c r="V170" s="25">
        <f>W170+X170</f>
        <v>81249.989999999991</v>
      </c>
      <c r="W170" s="37">
        <v>81249.989999999991</v>
      </c>
      <c r="X170" s="37">
        <v>0</v>
      </c>
      <c r="Y170" s="25">
        <f>Z170+AA170</f>
        <v>12500</v>
      </c>
      <c r="Z170" s="29">
        <v>12500</v>
      </c>
      <c r="AA170" s="29">
        <v>0</v>
      </c>
      <c r="AB170" s="23">
        <f>AC170+AD170</f>
        <v>0</v>
      </c>
      <c r="AC170" s="43">
        <v>0</v>
      </c>
      <c r="AD170" s="43">
        <v>0</v>
      </c>
      <c r="AE170" s="23">
        <f>S170+V170+Y170+AB170</f>
        <v>625000</v>
      </c>
      <c r="AF170" s="37">
        <v>19813.5</v>
      </c>
      <c r="AG170" s="26">
        <f t="shared" si="195"/>
        <v>644813.5</v>
      </c>
      <c r="AH170" s="27" t="s">
        <v>585</v>
      </c>
      <c r="AI170" s="34" t="s">
        <v>1373</v>
      </c>
      <c r="AJ170" s="38">
        <f>37222.35+21641</f>
        <v>58863.35</v>
      </c>
      <c r="AK170" s="29">
        <f>5692.83+3309.8</f>
        <v>9002.630000000001</v>
      </c>
    </row>
    <row r="171" spans="1:37" s="170" customFormat="1" ht="307.5" customHeight="1" x14ac:dyDescent="0.25">
      <c r="A171" s="14">
        <v>167</v>
      </c>
      <c r="B171" s="35">
        <v>118770</v>
      </c>
      <c r="C171" s="18">
        <v>440</v>
      </c>
      <c r="D171" s="18" t="s">
        <v>175</v>
      </c>
      <c r="E171" s="15" t="s">
        <v>704</v>
      </c>
      <c r="F171" s="15" t="s">
        <v>610</v>
      </c>
      <c r="G171" s="15" t="s">
        <v>895</v>
      </c>
      <c r="H171" s="18" t="s">
        <v>896</v>
      </c>
      <c r="I171" s="18" t="s">
        <v>185</v>
      </c>
      <c r="J171" s="15" t="s">
        <v>898</v>
      </c>
      <c r="K171" s="32">
        <v>43318</v>
      </c>
      <c r="L171" s="32">
        <v>43683</v>
      </c>
      <c r="M171" s="45">
        <f t="shared" ref="M171:M173" si="241">S171/AE171*100</f>
        <v>85</v>
      </c>
      <c r="N171" s="18">
        <v>3</v>
      </c>
      <c r="O171" s="18" t="s">
        <v>433</v>
      </c>
      <c r="P171" s="18" t="s">
        <v>897</v>
      </c>
      <c r="Q171" s="18" t="s">
        <v>212</v>
      </c>
      <c r="R171" s="18" t="s">
        <v>546</v>
      </c>
      <c r="S171" s="25">
        <f t="shared" ref="S171:S173" si="242">T171+U171</f>
        <v>254981.3</v>
      </c>
      <c r="T171" s="1">
        <v>254981.3</v>
      </c>
      <c r="U171" s="46">
        <v>0</v>
      </c>
      <c r="V171" s="25">
        <f t="shared" si="223"/>
        <v>38997.14</v>
      </c>
      <c r="W171" s="1">
        <v>38997.14</v>
      </c>
      <c r="X171" s="46">
        <v>0</v>
      </c>
      <c r="Y171" s="25">
        <f t="shared" ref="Y171:Y173" si="243">Z171+AA171</f>
        <v>5999.56</v>
      </c>
      <c r="Z171" s="1">
        <v>5999.56</v>
      </c>
      <c r="AA171" s="1">
        <v>0</v>
      </c>
      <c r="AB171" s="26">
        <f t="shared" si="222"/>
        <v>0</v>
      </c>
      <c r="AC171" s="46">
        <v>0</v>
      </c>
      <c r="AD171" s="46">
        <v>0</v>
      </c>
      <c r="AE171" s="26">
        <f t="shared" si="214"/>
        <v>299978</v>
      </c>
      <c r="AF171" s="27">
        <v>0</v>
      </c>
      <c r="AG171" s="26">
        <f t="shared" si="195"/>
        <v>299978</v>
      </c>
      <c r="AH171" s="27" t="s">
        <v>585</v>
      </c>
      <c r="AI171" s="27" t="s">
        <v>1286</v>
      </c>
      <c r="AJ171" s="38">
        <f>29900+23800.54+29900+16017.04+29900</f>
        <v>129517.58000000002</v>
      </c>
      <c r="AK171" s="38">
        <f>8213.02+7022.61</f>
        <v>15235.630000000001</v>
      </c>
    </row>
    <row r="172" spans="1:37" s="170" customFormat="1" ht="378" x14ac:dyDescent="0.25">
      <c r="A172" s="12">
        <v>168</v>
      </c>
      <c r="B172" s="35">
        <v>126498</v>
      </c>
      <c r="C172" s="18">
        <v>572</v>
      </c>
      <c r="D172" s="18" t="s">
        <v>174</v>
      </c>
      <c r="E172" s="15" t="s">
        <v>968</v>
      </c>
      <c r="F172" s="15" t="s">
        <v>1135</v>
      </c>
      <c r="G172" s="15" t="s">
        <v>1329</v>
      </c>
      <c r="H172" s="18" t="s">
        <v>896</v>
      </c>
      <c r="I172" s="18" t="s">
        <v>185</v>
      </c>
      <c r="J172" s="15" t="s">
        <v>1330</v>
      </c>
      <c r="K172" s="32">
        <v>43552</v>
      </c>
      <c r="L172" s="32">
        <v>44467</v>
      </c>
      <c r="M172" s="45">
        <f t="shared" ref="M172" si="244">S172/AE172*100</f>
        <v>85.000000127055301</v>
      </c>
      <c r="N172" s="18">
        <v>3</v>
      </c>
      <c r="O172" s="18" t="s">
        <v>433</v>
      </c>
      <c r="P172" s="18" t="s">
        <v>897</v>
      </c>
      <c r="Q172" s="18" t="s">
        <v>212</v>
      </c>
      <c r="R172" s="18" t="s">
        <v>546</v>
      </c>
      <c r="S172" s="25">
        <f t="shared" ref="S172" si="245">T172+U172</f>
        <v>3345000.16</v>
      </c>
      <c r="T172" s="1">
        <v>3345000.16</v>
      </c>
      <c r="U172" s="46">
        <v>0</v>
      </c>
      <c r="V172" s="25">
        <f t="shared" ref="V172" si="246">W172+X172</f>
        <v>516462.97</v>
      </c>
      <c r="W172" s="1">
        <v>516462.97</v>
      </c>
      <c r="X172" s="46">
        <v>0</v>
      </c>
      <c r="Y172" s="25">
        <f t="shared" ref="Y172" si="247">Z172+AA172</f>
        <v>73831.17</v>
      </c>
      <c r="Z172" s="1">
        <v>73831.17</v>
      </c>
      <c r="AA172" s="1">
        <v>0</v>
      </c>
      <c r="AB172" s="26">
        <f t="shared" ref="AB172" si="248">AC172+AD172</f>
        <v>0</v>
      </c>
      <c r="AC172" s="46">
        <v>0</v>
      </c>
      <c r="AD172" s="46">
        <v>0</v>
      </c>
      <c r="AE172" s="26">
        <f t="shared" ref="AE172" si="249">S172+V172+Y172+AB172</f>
        <v>3935294.3</v>
      </c>
      <c r="AF172" s="27">
        <v>4974.2</v>
      </c>
      <c r="AG172" s="26">
        <f t="shared" si="195"/>
        <v>3940268.5</v>
      </c>
      <c r="AH172" s="27" t="s">
        <v>585</v>
      </c>
      <c r="AI172" s="27" t="s">
        <v>1286</v>
      </c>
      <c r="AJ172" s="38">
        <v>0</v>
      </c>
      <c r="AK172" s="38">
        <v>0</v>
      </c>
    </row>
    <row r="173" spans="1:37" ht="265.5" customHeight="1" x14ac:dyDescent="0.25">
      <c r="A173" s="12">
        <v>169</v>
      </c>
      <c r="B173" s="35">
        <v>126289</v>
      </c>
      <c r="C173" s="18">
        <v>492</v>
      </c>
      <c r="D173" s="18" t="s">
        <v>175</v>
      </c>
      <c r="E173" s="15" t="s">
        <v>968</v>
      </c>
      <c r="F173" s="15" t="s">
        <v>1135</v>
      </c>
      <c r="G173" s="15" t="s">
        <v>1358</v>
      </c>
      <c r="H173" s="18" t="s">
        <v>1359</v>
      </c>
      <c r="I173" s="18" t="s">
        <v>422</v>
      </c>
      <c r="J173" s="15" t="s">
        <v>1360</v>
      </c>
      <c r="K173" s="20">
        <v>43563</v>
      </c>
      <c r="L173" s="32">
        <v>44476</v>
      </c>
      <c r="M173" s="21">
        <f t="shared" si="241"/>
        <v>85.000000203645214</v>
      </c>
      <c r="N173" s="9">
        <v>3</v>
      </c>
      <c r="O173" s="18" t="s">
        <v>433</v>
      </c>
      <c r="P173" s="18" t="s">
        <v>588</v>
      </c>
      <c r="Q173" s="18" t="s">
        <v>212</v>
      </c>
      <c r="R173" s="18" t="s">
        <v>1361</v>
      </c>
      <c r="S173" s="25">
        <f t="shared" si="242"/>
        <v>2504355.21</v>
      </c>
      <c r="T173" s="23">
        <v>2504355.21</v>
      </c>
      <c r="U173" s="23">
        <v>0</v>
      </c>
      <c r="V173" s="25">
        <f t="shared" si="223"/>
        <v>383019.03</v>
      </c>
      <c r="W173" s="23">
        <v>383019.03</v>
      </c>
      <c r="X173" s="23">
        <v>0</v>
      </c>
      <c r="Y173" s="25">
        <f t="shared" si="243"/>
        <v>58926</v>
      </c>
      <c r="Z173" s="23">
        <v>58926</v>
      </c>
      <c r="AA173" s="23">
        <v>0</v>
      </c>
      <c r="AB173" s="23">
        <f t="shared" si="222"/>
        <v>0</v>
      </c>
      <c r="AC173" s="33"/>
      <c r="AD173" s="33"/>
      <c r="AE173" s="23">
        <f t="shared" si="214"/>
        <v>2946300.24</v>
      </c>
      <c r="AF173" s="23">
        <v>3255.78</v>
      </c>
      <c r="AG173" s="26">
        <f t="shared" si="195"/>
        <v>2949556.02</v>
      </c>
      <c r="AH173" s="27" t="s">
        <v>585</v>
      </c>
      <c r="AI173" s="34"/>
      <c r="AJ173" s="38">
        <v>0</v>
      </c>
      <c r="AK173" s="38">
        <v>0</v>
      </c>
    </row>
    <row r="174" spans="1:37" ht="299.25" x14ac:dyDescent="0.25">
      <c r="A174" s="14">
        <v>170</v>
      </c>
      <c r="B174" s="13">
        <v>120582</v>
      </c>
      <c r="C174" s="8">
        <v>109</v>
      </c>
      <c r="D174" s="14" t="s">
        <v>684</v>
      </c>
      <c r="E174" s="15" t="s">
        <v>968</v>
      </c>
      <c r="F174" s="16" t="s">
        <v>331</v>
      </c>
      <c r="G174" s="17" t="s">
        <v>215</v>
      </c>
      <c r="H174" s="17" t="s">
        <v>218</v>
      </c>
      <c r="I174" s="14" t="s">
        <v>185</v>
      </c>
      <c r="J174" s="48" t="s">
        <v>221</v>
      </c>
      <c r="K174" s="20">
        <v>43129</v>
      </c>
      <c r="L174" s="32">
        <v>43675</v>
      </c>
      <c r="M174" s="21">
        <f t="shared" ref="M174:M182" si="250">S174/AE174*100</f>
        <v>85.000000819683009</v>
      </c>
      <c r="N174" s="14">
        <v>1</v>
      </c>
      <c r="O174" s="14" t="s">
        <v>225</v>
      </c>
      <c r="P174" s="14" t="s">
        <v>225</v>
      </c>
      <c r="Q174" s="42" t="s">
        <v>212</v>
      </c>
      <c r="R174" s="14" t="s">
        <v>36</v>
      </c>
      <c r="S174" s="23">
        <f>T174+U174</f>
        <v>518493.12</v>
      </c>
      <c r="T174" s="23">
        <v>518493.12</v>
      </c>
      <c r="U174" s="23">
        <v>0</v>
      </c>
      <c r="V174" s="25">
        <f t="shared" si="223"/>
        <v>79298.94</v>
      </c>
      <c r="W174" s="23">
        <v>79298.94</v>
      </c>
      <c r="X174" s="23">
        <v>0</v>
      </c>
      <c r="Y174" s="23">
        <f>Z174+AA174</f>
        <v>12199.84</v>
      </c>
      <c r="Z174" s="23">
        <v>12199.84</v>
      </c>
      <c r="AA174" s="23">
        <v>0</v>
      </c>
      <c r="AB174" s="23">
        <f t="shared" si="222"/>
        <v>0</v>
      </c>
      <c r="AC174" s="23"/>
      <c r="AD174" s="23"/>
      <c r="AE174" s="23">
        <f t="shared" si="214"/>
        <v>609991.9</v>
      </c>
      <c r="AF174" s="23">
        <v>0</v>
      </c>
      <c r="AG174" s="26">
        <f t="shared" si="195"/>
        <v>609991.9</v>
      </c>
      <c r="AH174" s="27" t="s">
        <v>585</v>
      </c>
      <c r="AI174" s="28" t="s">
        <v>1375</v>
      </c>
      <c r="AJ174" s="1">
        <f>120214.04+104774.33+39837.96</f>
        <v>264826.33</v>
      </c>
      <c r="AK174" s="49">
        <f>18385.68+16024.31+6092.87</f>
        <v>40502.86</v>
      </c>
    </row>
    <row r="175" spans="1:37" ht="299.25" x14ac:dyDescent="0.25">
      <c r="A175" s="12">
        <v>171</v>
      </c>
      <c r="B175" s="13">
        <v>120630</v>
      </c>
      <c r="C175" s="8">
        <v>101</v>
      </c>
      <c r="D175" s="14" t="s">
        <v>684</v>
      </c>
      <c r="E175" s="15" t="s">
        <v>968</v>
      </c>
      <c r="F175" s="16" t="s">
        <v>331</v>
      </c>
      <c r="G175" s="17" t="s">
        <v>281</v>
      </c>
      <c r="H175" s="17" t="s">
        <v>284</v>
      </c>
      <c r="I175" s="14" t="s">
        <v>185</v>
      </c>
      <c r="J175" s="19" t="s">
        <v>290</v>
      </c>
      <c r="K175" s="20">
        <v>43145</v>
      </c>
      <c r="L175" s="32">
        <v>43630</v>
      </c>
      <c r="M175" s="21">
        <f t="shared" si="250"/>
        <v>85.000000236289679</v>
      </c>
      <c r="N175" s="14">
        <v>1</v>
      </c>
      <c r="O175" s="14" t="s">
        <v>225</v>
      </c>
      <c r="P175" s="14" t="s">
        <v>289</v>
      </c>
      <c r="Q175" s="42" t="s">
        <v>212</v>
      </c>
      <c r="R175" s="14" t="s">
        <v>36</v>
      </c>
      <c r="S175" s="23">
        <f t="shared" ref="S175:S181" si="251">T175+U175</f>
        <v>359727.94</v>
      </c>
      <c r="T175" s="23">
        <v>359727.94</v>
      </c>
      <c r="U175" s="23">
        <v>0</v>
      </c>
      <c r="V175" s="25">
        <f t="shared" si="223"/>
        <v>55017.21</v>
      </c>
      <c r="W175" s="23">
        <v>55017.21</v>
      </c>
      <c r="X175" s="23">
        <v>0</v>
      </c>
      <c r="Y175" s="23">
        <f t="shared" ref="Y175:Y181" si="252">Z175+AA175</f>
        <v>8464.19</v>
      </c>
      <c r="Z175" s="23">
        <v>8464.19</v>
      </c>
      <c r="AA175" s="23">
        <v>0</v>
      </c>
      <c r="AB175" s="23">
        <f t="shared" si="222"/>
        <v>0</v>
      </c>
      <c r="AC175" s="23"/>
      <c r="AD175" s="23"/>
      <c r="AE175" s="23">
        <f t="shared" si="214"/>
        <v>423209.34</v>
      </c>
      <c r="AF175" s="23">
        <v>0</v>
      </c>
      <c r="AG175" s="26">
        <f t="shared" si="195"/>
        <v>423209.34</v>
      </c>
      <c r="AH175" s="27" t="s">
        <v>585</v>
      </c>
      <c r="AI175" s="28"/>
      <c r="AJ175" s="1">
        <f>172923.58+1813.03+21160-1356.83+11126.5-1232.65+26252.82+7940.28+37890.56</f>
        <v>276517.29000000004</v>
      </c>
      <c r="AK175" s="29">
        <f>21665.98+2851.77+1356.83+1701.7+1232.65+1214.39+5795.03</f>
        <v>35818.350000000006</v>
      </c>
    </row>
    <row r="176" spans="1:37" ht="283.5" x14ac:dyDescent="0.25">
      <c r="A176" s="12">
        <v>172</v>
      </c>
      <c r="B176" s="13">
        <v>120672</v>
      </c>
      <c r="C176" s="8">
        <v>106</v>
      </c>
      <c r="D176" s="14" t="s">
        <v>684</v>
      </c>
      <c r="E176" s="15" t="s">
        <v>968</v>
      </c>
      <c r="F176" s="16" t="s">
        <v>331</v>
      </c>
      <c r="G176" s="17" t="s">
        <v>282</v>
      </c>
      <c r="H176" s="17" t="s">
        <v>285</v>
      </c>
      <c r="I176" s="14" t="s">
        <v>185</v>
      </c>
      <c r="J176" s="19" t="s">
        <v>291</v>
      </c>
      <c r="K176" s="20">
        <v>43145</v>
      </c>
      <c r="L176" s="32">
        <v>43630</v>
      </c>
      <c r="M176" s="21">
        <f t="shared" si="250"/>
        <v>84.999999174149096</v>
      </c>
      <c r="N176" s="14">
        <v>1</v>
      </c>
      <c r="O176" s="14" t="s">
        <v>225</v>
      </c>
      <c r="P176" s="14" t="s">
        <v>225</v>
      </c>
      <c r="Q176" s="42" t="s">
        <v>212</v>
      </c>
      <c r="R176" s="14" t="s">
        <v>36</v>
      </c>
      <c r="S176" s="23">
        <f t="shared" si="251"/>
        <v>360234.51</v>
      </c>
      <c r="T176" s="4">
        <v>360234.51</v>
      </c>
      <c r="U176" s="23">
        <v>0</v>
      </c>
      <c r="V176" s="25">
        <f t="shared" si="223"/>
        <v>55094.69</v>
      </c>
      <c r="W176" s="184">
        <v>55094.69</v>
      </c>
      <c r="X176" s="23">
        <v>0</v>
      </c>
      <c r="Y176" s="141">
        <f t="shared" si="252"/>
        <v>8476.11</v>
      </c>
      <c r="Z176" s="37">
        <v>8476.11</v>
      </c>
      <c r="AA176" s="141">
        <v>0</v>
      </c>
      <c r="AB176" s="141">
        <f t="shared" si="222"/>
        <v>0</v>
      </c>
      <c r="AC176" s="23"/>
      <c r="AD176" s="23"/>
      <c r="AE176" s="23">
        <f t="shared" si="214"/>
        <v>423805.31</v>
      </c>
      <c r="AF176" s="23">
        <v>0</v>
      </c>
      <c r="AG176" s="26">
        <f t="shared" si="195"/>
        <v>423805.31</v>
      </c>
      <c r="AH176" s="27" t="s">
        <v>585</v>
      </c>
      <c r="AI176" s="28"/>
      <c r="AJ176" s="1">
        <f>63226.44+99468.28</f>
        <v>162694.72</v>
      </c>
      <c r="AK176" s="29">
        <f>9669.93+15212.79</f>
        <v>24882.720000000001</v>
      </c>
    </row>
    <row r="177" spans="1:37" ht="173.25" x14ac:dyDescent="0.25">
      <c r="A177" s="14">
        <v>173</v>
      </c>
      <c r="B177" s="13">
        <v>118196</v>
      </c>
      <c r="C177" s="9">
        <v>425</v>
      </c>
      <c r="D177" s="14" t="s">
        <v>684</v>
      </c>
      <c r="E177" s="15" t="s">
        <v>704</v>
      </c>
      <c r="F177" s="16" t="s">
        <v>610</v>
      </c>
      <c r="G177" s="17" t="s">
        <v>601</v>
      </c>
      <c r="H177" s="17" t="s">
        <v>604</v>
      </c>
      <c r="I177" s="14" t="s">
        <v>422</v>
      </c>
      <c r="J177" s="19" t="s">
        <v>602</v>
      </c>
      <c r="K177" s="20">
        <v>43269</v>
      </c>
      <c r="L177" s="20">
        <v>43756</v>
      </c>
      <c r="M177" s="21">
        <f t="shared" si="250"/>
        <v>85</v>
      </c>
      <c r="N177" s="14">
        <v>1</v>
      </c>
      <c r="O177" s="14" t="s">
        <v>225</v>
      </c>
      <c r="P177" s="14" t="s">
        <v>225</v>
      </c>
      <c r="Q177" s="42" t="s">
        <v>212</v>
      </c>
      <c r="R177" s="14" t="s">
        <v>36</v>
      </c>
      <c r="S177" s="37">
        <f>T177+U177</f>
        <v>339668.5</v>
      </c>
      <c r="T177" s="37">
        <v>339668.5</v>
      </c>
      <c r="U177" s="37">
        <v>0</v>
      </c>
      <c r="V177" s="25">
        <f t="shared" si="223"/>
        <v>51949.3</v>
      </c>
      <c r="W177" s="37">
        <v>51949.3</v>
      </c>
      <c r="X177" s="37">
        <v>0</v>
      </c>
      <c r="Y177" s="141">
        <f t="shared" si="252"/>
        <v>7992.2</v>
      </c>
      <c r="Z177" s="37">
        <v>7992.2</v>
      </c>
      <c r="AA177" s="37">
        <v>0</v>
      </c>
      <c r="AB177" s="23">
        <f>AC177+AD177</f>
        <v>0</v>
      </c>
      <c r="AC177" s="37"/>
      <c r="AD177" s="37"/>
      <c r="AE177" s="23">
        <f>S177+V177+Y177+AB177</f>
        <v>399610</v>
      </c>
      <c r="AF177" s="37">
        <v>0</v>
      </c>
      <c r="AG177" s="26">
        <f t="shared" si="195"/>
        <v>399610</v>
      </c>
      <c r="AH177" s="27" t="s">
        <v>585</v>
      </c>
      <c r="AI177" s="28"/>
      <c r="AJ177" s="29">
        <f>16507.97+46617.76+57150.6</f>
        <v>120276.33</v>
      </c>
      <c r="AK177" s="29">
        <f>2524.75+7129.77+8740.68</f>
        <v>18395.2</v>
      </c>
    </row>
    <row r="178" spans="1:37" ht="141.75" x14ac:dyDescent="0.25">
      <c r="A178" s="12">
        <v>174</v>
      </c>
      <c r="B178" s="13">
        <v>126155</v>
      </c>
      <c r="C178" s="9">
        <v>544</v>
      </c>
      <c r="D178" s="14" t="s">
        <v>176</v>
      </c>
      <c r="E178" s="15" t="s">
        <v>968</v>
      </c>
      <c r="F178" s="16" t="s">
        <v>1135</v>
      </c>
      <c r="G178" s="17" t="s">
        <v>1151</v>
      </c>
      <c r="H178" s="17" t="s">
        <v>1152</v>
      </c>
      <c r="I178" s="14" t="s">
        <v>422</v>
      </c>
      <c r="J178" s="19" t="s">
        <v>1153</v>
      </c>
      <c r="K178" s="20">
        <v>43437</v>
      </c>
      <c r="L178" s="32">
        <v>44411</v>
      </c>
      <c r="M178" s="21">
        <f t="shared" si="250"/>
        <v>85.000000318097122</v>
      </c>
      <c r="N178" s="14">
        <v>1</v>
      </c>
      <c r="O178" s="14" t="s">
        <v>225</v>
      </c>
      <c r="P178" s="14" t="s">
        <v>225</v>
      </c>
      <c r="Q178" s="42" t="s">
        <v>212</v>
      </c>
      <c r="R178" s="14" t="s">
        <v>36</v>
      </c>
      <c r="S178" s="37">
        <f t="shared" ref="S178:S180" si="253">T178+U178</f>
        <v>2672139.91</v>
      </c>
      <c r="T178" s="37">
        <v>2672139.91</v>
      </c>
      <c r="U178" s="37">
        <v>0</v>
      </c>
      <c r="V178" s="25">
        <f t="shared" si="223"/>
        <v>408680.21</v>
      </c>
      <c r="W178" s="37">
        <v>408680.21</v>
      </c>
      <c r="X178" s="37">
        <v>0</v>
      </c>
      <c r="Y178" s="141">
        <f t="shared" si="252"/>
        <v>62873.88</v>
      </c>
      <c r="Z178" s="37">
        <v>62873.88</v>
      </c>
      <c r="AA178" s="37">
        <v>0</v>
      </c>
      <c r="AB178" s="23">
        <f t="shared" ref="AB178:AB180" si="254">AC178+AD178</f>
        <v>0</v>
      </c>
      <c r="AC178" s="26">
        <v>0</v>
      </c>
      <c r="AD178" s="26">
        <v>0</v>
      </c>
      <c r="AE178" s="23">
        <f t="shared" ref="AE178:AE180" si="255">S178+V178+Y178+AB178</f>
        <v>3143694</v>
      </c>
      <c r="AF178" s="37">
        <v>0</v>
      </c>
      <c r="AG178" s="26">
        <f t="shared" si="195"/>
        <v>3143694</v>
      </c>
      <c r="AH178" s="27" t="s">
        <v>585</v>
      </c>
      <c r="AI178" s="28"/>
      <c r="AJ178" s="29">
        <v>0</v>
      </c>
      <c r="AK178" s="29">
        <v>0</v>
      </c>
    </row>
    <row r="179" spans="1:37" ht="138" customHeight="1" x14ac:dyDescent="0.25">
      <c r="A179" s="12">
        <v>175</v>
      </c>
      <c r="B179" s="13">
        <v>125900</v>
      </c>
      <c r="C179" s="9">
        <v>518</v>
      </c>
      <c r="D179" s="14" t="s">
        <v>1074</v>
      </c>
      <c r="E179" s="15" t="s">
        <v>968</v>
      </c>
      <c r="F179" s="16" t="s">
        <v>1135</v>
      </c>
      <c r="G179" s="17" t="s">
        <v>1159</v>
      </c>
      <c r="H179" s="17" t="s">
        <v>1160</v>
      </c>
      <c r="I179" s="14" t="s">
        <v>422</v>
      </c>
      <c r="J179" s="19" t="s">
        <v>1161</v>
      </c>
      <c r="K179" s="20">
        <v>43439</v>
      </c>
      <c r="L179" s="32">
        <v>43987</v>
      </c>
      <c r="M179" s="21">
        <f t="shared" si="250"/>
        <v>85.000001224772731</v>
      </c>
      <c r="N179" s="14">
        <v>1</v>
      </c>
      <c r="O179" s="14" t="s">
        <v>225</v>
      </c>
      <c r="P179" s="14" t="s">
        <v>225</v>
      </c>
      <c r="Q179" s="42" t="s">
        <v>212</v>
      </c>
      <c r="R179" s="14" t="s">
        <v>36</v>
      </c>
      <c r="S179" s="37">
        <f t="shared" si="253"/>
        <v>694006.31</v>
      </c>
      <c r="T179" s="37">
        <v>694006.31</v>
      </c>
      <c r="U179" s="37">
        <v>0</v>
      </c>
      <c r="V179" s="25">
        <f t="shared" si="223"/>
        <v>106142.13</v>
      </c>
      <c r="W179" s="37">
        <v>106142.13</v>
      </c>
      <c r="X179" s="37">
        <v>0</v>
      </c>
      <c r="Y179" s="141">
        <f t="shared" si="252"/>
        <v>16329.56</v>
      </c>
      <c r="Z179" s="37">
        <v>16329.56</v>
      </c>
      <c r="AA179" s="37">
        <v>0</v>
      </c>
      <c r="AB179" s="23">
        <f t="shared" si="254"/>
        <v>0</v>
      </c>
      <c r="AC179" s="37">
        <v>0</v>
      </c>
      <c r="AD179" s="37">
        <v>0</v>
      </c>
      <c r="AE179" s="23">
        <f t="shared" si="255"/>
        <v>816478.00000000012</v>
      </c>
      <c r="AF179" s="37">
        <v>0</v>
      </c>
      <c r="AG179" s="26">
        <f t="shared" si="195"/>
        <v>816478.00000000012</v>
      </c>
      <c r="AH179" s="27" t="s">
        <v>585</v>
      </c>
      <c r="AI179" s="28"/>
      <c r="AJ179" s="29">
        <v>22112.75</v>
      </c>
      <c r="AK179" s="29">
        <v>3381.95</v>
      </c>
    </row>
    <row r="180" spans="1:37" ht="252" x14ac:dyDescent="0.25">
      <c r="A180" s="14">
        <v>176</v>
      </c>
      <c r="B180" s="13">
        <v>126350</v>
      </c>
      <c r="C180" s="9">
        <v>570</v>
      </c>
      <c r="D180" s="14" t="s">
        <v>175</v>
      </c>
      <c r="E180" s="15" t="s">
        <v>968</v>
      </c>
      <c r="F180" s="16" t="s">
        <v>1135</v>
      </c>
      <c r="G180" s="17" t="s">
        <v>1366</v>
      </c>
      <c r="H180" s="17" t="s">
        <v>1160</v>
      </c>
      <c r="I180" s="14" t="s">
        <v>422</v>
      </c>
      <c r="J180" s="19" t="s">
        <v>1367</v>
      </c>
      <c r="K180" s="20">
        <v>43564</v>
      </c>
      <c r="L180" s="32">
        <v>44386</v>
      </c>
      <c r="M180" s="21">
        <f t="shared" si="250"/>
        <v>84.999999916591278</v>
      </c>
      <c r="N180" s="14">
        <v>1</v>
      </c>
      <c r="O180" s="14" t="s">
        <v>225</v>
      </c>
      <c r="P180" s="14" t="s">
        <v>225</v>
      </c>
      <c r="Q180" s="42" t="s">
        <v>212</v>
      </c>
      <c r="R180" s="14" t="s">
        <v>1368</v>
      </c>
      <c r="S180" s="37">
        <f t="shared" si="253"/>
        <v>2038156.45</v>
      </c>
      <c r="T180" s="37">
        <v>2038156.45</v>
      </c>
      <c r="U180" s="37">
        <v>0</v>
      </c>
      <c r="V180" s="25">
        <f t="shared" si="223"/>
        <v>311718.05</v>
      </c>
      <c r="W180" s="37">
        <v>311718.05</v>
      </c>
      <c r="X180" s="37"/>
      <c r="Y180" s="141">
        <f t="shared" si="252"/>
        <v>47956.62</v>
      </c>
      <c r="Z180" s="37">
        <v>47956.62</v>
      </c>
      <c r="AA180" s="37">
        <v>0</v>
      </c>
      <c r="AB180" s="23">
        <f t="shared" si="254"/>
        <v>0</v>
      </c>
      <c r="AC180" s="37"/>
      <c r="AD180" s="37"/>
      <c r="AE180" s="23">
        <f t="shared" si="255"/>
        <v>2397831.12</v>
      </c>
      <c r="AF180" s="37">
        <v>35700</v>
      </c>
      <c r="AG180" s="26">
        <f t="shared" si="195"/>
        <v>2433531.12</v>
      </c>
      <c r="AH180" s="27" t="s">
        <v>585</v>
      </c>
      <c r="AI180" s="28"/>
      <c r="AJ180" s="29">
        <v>0</v>
      </c>
      <c r="AK180" s="29">
        <v>0</v>
      </c>
    </row>
    <row r="181" spans="1:37" ht="252" x14ac:dyDescent="0.25">
      <c r="A181" s="12">
        <v>177</v>
      </c>
      <c r="B181" s="13">
        <v>128787</v>
      </c>
      <c r="C181" s="9">
        <v>631</v>
      </c>
      <c r="D181" s="14" t="s">
        <v>173</v>
      </c>
      <c r="E181" s="15" t="s">
        <v>968</v>
      </c>
      <c r="F181" s="16" t="s">
        <v>1417</v>
      </c>
      <c r="G181" s="17" t="s">
        <v>1450</v>
      </c>
      <c r="H181" s="17" t="s">
        <v>1520</v>
      </c>
      <c r="I181" s="14" t="s">
        <v>422</v>
      </c>
      <c r="J181" s="19" t="s">
        <v>1451</v>
      </c>
      <c r="K181" s="20">
        <v>43622</v>
      </c>
      <c r="L181" s="32">
        <v>44536</v>
      </c>
      <c r="M181" s="21">
        <f t="shared" si="250"/>
        <v>84.999999929965156</v>
      </c>
      <c r="N181" s="14">
        <v>1</v>
      </c>
      <c r="O181" s="14" t="s">
        <v>225</v>
      </c>
      <c r="P181" s="14" t="s">
        <v>289</v>
      </c>
      <c r="Q181" s="42" t="s">
        <v>212</v>
      </c>
      <c r="R181" s="14" t="s">
        <v>1368</v>
      </c>
      <c r="S181" s="37">
        <f t="shared" si="251"/>
        <v>3034203.56</v>
      </c>
      <c r="T181" s="37">
        <v>3034203.56</v>
      </c>
      <c r="U181" s="37">
        <v>0</v>
      </c>
      <c r="V181" s="37">
        <f t="shared" si="223"/>
        <v>464054.66</v>
      </c>
      <c r="W181" s="37">
        <v>464054.66</v>
      </c>
      <c r="X181" s="37">
        <v>0</v>
      </c>
      <c r="Y181" s="185">
        <f t="shared" si="252"/>
        <v>71393.03</v>
      </c>
      <c r="Z181" s="186">
        <v>71393.03</v>
      </c>
      <c r="AA181" s="37">
        <v>0</v>
      </c>
      <c r="AB181" s="23">
        <f t="shared" si="222"/>
        <v>0</v>
      </c>
      <c r="AC181" s="37">
        <v>0</v>
      </c>
      <c r="AD181" s="37">
        <v>0</v>
      </c>
      <c r="AE181" s="23">
        <f t="shared" si="214"/>
        <v>3569651.25</v>
      </c>
      <c r="AF181" s="37">
        <v>0</v>
      </c>
      <c r="AG181" s="26">
        <f t="shared" si="195"/>
        <v>3569651.25</v>
      </c>
      <c r="AH181" s="27" t="s">
        <v>585</v>
      </c>
      <c r="AI181" s="28"/>
      <c r="AJ181" s="29"/>
      <c r="AK181" s="29"/>
    </row>
    <row r="182" spans="1:37" ht="409.5" x14ac:dyDescent="0.25">
      <c r="A182" s="12">
        <v>178</v>
      </c>
      <c r="B182" s="13">
        <v>118788</v>
      </c>
      <c r="C182" s="18">
        <v>445</v>
      </c>
      <c r="D182" s="14" t="s">
        <v>843</v>
      </c>
      <c r="E182" s="15" t="s">
        <v>704</v>
      </c>
      <c r="F182" s="17" t="s">
        <v>610</v>
      </c>
      <c r="G182" s="17" t="s">
        <v>914</v>
      </c>
      <c r="H182" s="14" t="s">
        <v>915</v>
      </c>
      <c r="I182" s="14" t="s">
        <v>185</v>
      </c>
      <c r="J182" s="17" t="s">
        <v>916</v>
      </c>
      <c r="K182" s="20">
        <v>43325</v>
      </c>
      <c r="L182" s="32">
        <v>43690</v>
      </c>
      <c r="M182" s="14">
        <f t="shared" si="250"/>
        <v>85.000001253240569</v>
      </c>
      <c r="N182" s="14">
        <v>2</v>
      </c>
      <c r="O182" s="14" t="s">
        <v>434</v>
      </c>
      <c r="P182" s="14" t="s">
        <v>917</v>
      </c>
      <c r="Q182" s="14" t="s">
        <v>212</v>
      </c>
      <c r="R182" s="14" t="s">
        <v>36</v>
      </c>
      <c r="S182" s="29">
        <f>T182+U182</f>
        <v>339120.85</v>
      </c>
      <c r="T182" s="29">
        <v>339120.85</v>
      </c>
      <c r="U182" s="43">
        <v>0</v>
      </c>
      <c r="V182" s="29">
        <f>W182+X182</f>
        <v>51865.54</v>
      </c>
      <c r="W182" s="29">
        <v>51865.54</v>
      </c>
      <c r="X182" s="43">
        <v>0</v>
      </c>
      <c r="Y182" s="29">
        <f>Z182+AA182</f>
        <v>7979.31</v>
      </c>
      <c r="Z182" s="29">
        <v>7979.31</v>
      </c>
      <c r="AA182" s="29">
        <v>0</v>
      </c>
      <c r="AB182" s="23">
        <f>AC182+AD182</f>
        <v>0</v>
      </c>
      <c r="AC182" s="43"/>
      <c r="AD182" s="43"/>
      <c r="AE182" s="23">
        <f t="shared" si="214"/>
        <v>398965.69999999995</v>
      </c>
      <c r="AF182" s="99"/>
      <c r="AG182" s="26">
        <f t="shared" si="195"/>
        <v>398965.69999999995</v>
      </c>
      <c r="AH182" s="27" t="s">
        <v>585</v>
      </c>
      <c r="AI182" s="99" t="s">
        <v>185</v>
      </c>
      <c r="AJ182" s="29">
        <f>74317.96+82151.06</f>
        <v>156469.02000000002</v>
      </c>
      <c r="AK182" s="29">
        <f>11366.28+12564.27</f>
        <v>23930.550000000003</v>
      </c>
    </row>
    <row r="183" spans="1:37" ht="409.5" x14ac:dyDescent="0.25">
      <c r="A183" s="14">
        <v>179</v>
      </c>
      <c r="B183" s="13">
        <v>125665</v>
      </c>
      <c r="C183" s="18">
        <v>557</v>
      </c>
      <c r="D183" s="14" t="s">
        <v>174</v>
      </c>
      <c r="E183" s="15" t="s">
        <v>968</v>
      </c>
      <c r="F183" s="17" t="s">
        <v>1135</v>
      </c>
      <c r="G183" s="17" t="s">
        <v>1136</v>
      </c>
      <c r="H183" s="14" t="s">
        <v>915</v>
      </c>
      <c r="I183" s="14" t="s">
        <v>185</v>
      </c>
      <c r="J183" s="17" t="s">
        <v>1137</v>
      </c>
      <c r="K183" s="20">
        <v>43425</v>
      </c>
      <c r="L183" s="32">
        <v>44248</v>
      </c>
      <c r="M183" s="14">
        <f t="shared" ref="M183" si="256">S183/AE183*100</f>
        <v>84.999999890649349</v>
      </c>
      <c r="N183" s="14">
        <v>2</v>
      </c>
      <c r="O183" s="14" t="s">
        <v>434</v>
      </c>
      <c r="P183" s="14" t="s">
        <v>917</v>
      </c>
      <c r="Q183" s="14" t="s">
        <v>212</v>
      </c>
      <c r="R183" s="14" t="s">
        <v>36</v>
      </c>
      <c r="S183" s="29">
        <f>T183+U183</f>
        <v>3497921.5</v>
      </c>
      <c r="T183" s="29">
        <v>3497921.5</v>
      </c>
      <c r="U183" s="43">
        <v>0</v>
      </c>
      <c r="V183" s="29">
        <f>W183+X183</f>
        <v>534976.2300000001</v>
      </c>
      <c r="W183" s="29">
        <v>534976.2300000001</v>
      </c>
      <c r="X183" s="43">
        <v>0</v>
      </c>
      <c r="Y183" s="29">
        <f>Z183+AA183</f>
        <v>82304.039999999994</v>
      </c>
      <c r="Z183" s="29">
        <v>82304.039999999994</v>
      </c>
      <c r="AA183" s="29">
        <v>0</v>
      </c>
      <c r="AB183" s="23">
        <f>AC183+AD183</f>
        <v>0</v>
      </c>
      <c r="AC183" s="26">
        <v>0</v>
      </c>
      <c r="AD183" s="26">
        <v>0</v>
      </c>
      <c r="AE183" s="23">
        <f t="shared" ref="AE183" si="257">S183+V183+Y183+AB183</f>
        <v>4115201.77</v>
      </c>
      <c r="AF183" s="99">
        <v>114240</v>
      </c>
      <c r="AG183" s="26">
        <f t="shared" si="195"/>
        <v>4229441.7699999996</v>
      </c>
      <c r="AH183" s="27" t="s">
        <v>585</v>
      </c>
      <c r="AI183" s="99" t="s">
        <v>185</v>
      </c>
      <c r="AJ183" s="29">
        <v>0</v>
      </c>
      <c r="AK183" s="29">
        <v>0</v>
      </c>
    </row>
    <row r="184" spans="1:37" ht="409.5" x14ac:dyDescent="0.25">
      <c r="A184" s="12">
        <v>180</v>
      </c>
      <c r="B184" s="13">
        <v>126354</v>
      </c>
      <c r="C184" s="18">
        <v>491</v>
      </c>
      <c r="D184" s="14" t="s">
        <v>170</v>
      </c>
      <c r="E184" s="15" t="s">
        <v>1269</v>
      </c>
      <c r="F184" s="17" t="s">
        <v>1268</v>
      </c>
      <c r="G184" s="17" t="s">
        <v>1267</v>
      </c>
      <c r="H184" s="14" t="s">
        <v>1266</v>
      </c>
      <c r="I184" s="14" t="s">
        <v>185</v>
      </c>
      <c r="J184" s="17" t="s">
        <v>1270</v>
      </c>
      <c r="K184" s="20">
        <v>43515</v>
      </c>
      <c r="L184" s="32">
        <v>44246</v>
      </c>
      <c r="M184" s="14">
        <f t="shared" ref="M184:M192" si="258">S184/AE184*100</f>
        <v>83.300000282457262</v>
      </c>
      <c r="N184" s="14" t="s">
        <v>1278</v>
      </c>
      <c r="O184" s="14" t="s">
        <v>1277</v>
      </c>
      <c r="P184" s="14" t="s">
        <v>1277</v>
      </c>
      <c r="Q184" s="14" t="s">
        <v>326</v>
      </c>
      <c r="R184" s="14" t="s">
        <v>36</v>
      </c>
      <c r="S184" s="29">
        <f>T184+U184</f>
        <v>2064383.09</v>
      </c>
      <c r="T184" s="29">
        <v>2064383.09</v>
      </c>
      <c r="U184" s="43">
        <v>0</v>
      </c>
      <c r="V184" s="29">
        <f>W184+X184</f>
        <v>364302.89</v>
      </c>
      <c r="W184" s="29">
        <v>364302.89</v>
      </c>
      <c r="X184" s="43">
        <v>0</v>
      </c>
      <c r="Y184" s="29">
        <f>Z184+AA184</f>
        <v>0</v>
      </c>
      <c r="Z184" s="29">
        <v>0</v>
      </c>
      <c r="AA184" s="29">
        <v>0</v>
      </c>
      <c r="AB184" s="23">
        <f>AC184+AD184</f>
        <v>49565.02</v>
      </c>
      <c r="AC184" s="26">
        <v>49565.02</v>
      </c>
      <c r="AD184" s="26">
        <v>0</v>
      </c>
      <c r="AE184" s="23">
        <f t="shared" ref="AE184:AE192" si="259">S184+V184+Y184+AB184</f>
        <v>2478251</v>
      </c>
      <c r="AF184" s="23">
        <v>0</v>
      </c>
      <c r="AG184" s="26">
        <f t="shared" si="195"/>
        <v>2478251</v>
      </c>
      <c r="AH184" s="27" t="s">
        <v>585</v>
      </c>
      <c r="AI184" s="99" t="s">
        <v>185</v>
      </c>
      <c r="AJ184" s="29">
        <v>247825</v>
      </c>
      <c r="AK184" s="29">
        <v>0</v>
      </c>
    </row>
    <row r="185" spans="1:37" s="154" customFormat="1" ht="393.75" x14ac:dyDescent="0.25">
      <c r="A185" s="12">
        <v>181</v>
      </c>
      <c r="B185" s="13">
        <v>126532</v>
      </c>
      <c r="C185" s="18">
        <v>500</v>
      </c>
      <c r="D185" s="14" t="s">
        <v>170</v>
      </c>
      <c r="E185" s="15" t="s">
        <v>1269</v>
      </c>
      <c r="F185" s="17" t="s">
        <v>1268</v>
      </c>
      <c r="G185" s="17" t="s">
        <v>1273</v>
      </c>
      <c r="H185" s="14" t="s">
        <v>1272</v>
      </c>
      <c r="I185" s="14" t="s">
        <v>185</v>
      </c>
      <c r="J185" s="48" t="s">
        <v>1274</v>
      </c>
      <c r="K185" s="20">
        <v>43516</v>
      </c>
      <c r="L185" s="32">
        <v>44247</v>
      </c>
      <c r="M185" s="14">
        <f t="shared" si="258"/>
        <v>83.299999838210468</v>
      </c>
      <c r="N185" s="14" t="s">
        <v>1275</v>
      </c>
      <c r="O185" s="18" t="s">
        <v>1276</v>
      </c>
      <c r="P185" s="18" t="s">
        <v>1276</v>
      </c>
      <c r="Q185" s="14" t="s">
        <v>326</v>
      </c>
      <c r="R185" s="14" t="s">
        <v>36</v>
      </c>
      <c r="S185" s="29">
        <f>T185+U185</f>
        <v>2059465.88</v>
      </c>
      <c r="T185" s="23">
        <v>2059465.88</v>
      </c>
      <c r="U185" s="23">
        <v>0</v>
      </c>
      <c r="V185" s="29">
        <f>W185+X185</f>
        <v>363435.16</v>
      </c>
      <c r="W185" s="23">
        <v>363435.16</v>
      </c>
      <c r="X185" s="23">
        <v>0</v>
      </c>
      <c r="Y185" s="29">
        <f t="shared" ref="Y185:Y192" si="260">Z185+AA185</f>
        <v>0</v>
      </c>
      <c r="Z185" s="23">
        <v>0</v>
      </c>
      <c r="AA185" s="23">
        <v>0</v>
      </c>
      <c r="AB185" s="23">
        <f t="shared" ref="AB185:AB192" si="261">AC185+AD185</f>
        <v>49446.96</v>
      </c>
      <c r="AC185" s="23">
        <v>49446.96</v>
      </c>
      <c r="AD185" s="23">
        <v>0</v>
      </c>
      <c r="AE185" s="23">
        <f t="shared" si="259"/>
        <v>2472348</v>
      </c>
      <c r="AF185" s="23">
        <v>0</v>
      </c>
      <c r="AG185" s="26">
        <f t="shared" si="195"/>
        <v>2472348</v>
      </c>
      <c r="AH185" s="27" t="s">
        <v>871</v>
      </c>
      <c r="AI185" s="28" t="s">
        <v>185</v>
      </c>
      <c r="AJ185" s="54">
        <v>247230</v>
      </c>
      <c r="AK185" s="29">
        <v>0</v>
      </c>
    </row>
    <row r="186" spans="1:37" s="154" customFormat="1" ht="330.75" x14ac:dyDescent="0.25">
      <c r="A186" s="14">
        <v>182</v>
      </c>
      <c r="B186" s="13">
        <v>125435</v>
      </c>
      <c r="C186" s="18">
        <v>493</v>
      </c>
      <c r="D186" s="14" t="s">
        <v>170</v>
      </c>
      <c r="E186" s="15" t="s">
        <v>1269</v>
      </c>
      <c r="F186" s="17" t="s">
        <v>1268</v>
      </c>
      <c r="G186" s="17" t="s">
        <v>1295</v>
      </c>
      <c r="H186" s="14" t="s">
        <v>1296</v>
      </c>
      <c r="I186" s="14" t="s">
        <v>185</v>
      </c>
      <c r="J186" s="48" t="s">
        <v>1297</v>
      </c>
      <c r="K186" s="20">
        <v>43531</v>
      </c>
      <c r="L186" s="32">
        <v>44507</v>
      </c>
      <c r="M186" s="14">
        <f>S186/AE186*100</f>
        <v>83.30000027566841</v>
      </c>
      <c r="N186" s="14" t="s">
        <v>1298</v>
      </c>
      <c r="O186" s="18" t="s">
        <v>1299</v>
      </c>
      <c r="P186" s="18" t="s">
        <v>1299</v>
      </c>
      <c r="Q186" s="14" t="s">
        <v>326</v>
      </c>
      <c r="R186" s="14" t="s">
        <v>36</v>
      </c>
      <c r="S186" s="29">
        <f t="shared" ref="S186:S187" si="262">T186+U186</f>
        <v>1813047.83</v>
      </c>
      <c r="T186" s="23">
        <v>1813047.83</v>
      </c>
      <c r="U186" s="23">
        <v>0</v>
      </c>
      <c r="V186" s="29">
        <f t="shared" ref="V186:V187" si="263">W186+X186</f>
        <v>319949.61</v>
      </c>
      <c r="W186" s="23">
        <v>319949.61</v>
      </c>
      <c r="X186" s="23">
        <v>0</v>
      </c>
      <c r="Y186" s="29">
        <f t="shared" si="260"/>
        <v>0</v>
      </c>
      <c r="Z186" s="23">
        <v>0</v>
      </c>
      <c r="AA186" s="23">
        <v>0</v>
      </c>
      <c r="AB186" s="23">
        <f t="shared" si="261"/>
        <v>43530.559999999998</v>
      </c>
      <c r="AC186" s="23">
        <v>43530.559999999998</v>
      </c>
      <c r="AD186" s="23">
        <v>0</v>
      </c>
      <c r="AE186" s="23">
        <f t="shared" si="259"/>
        <v>2176528</v>
      </c>
      <c r="AF186" s="23">
        <v>0</v>
      </c>
      <c r="AG186" s="26">
        <f t="shared" si="195"/>
        <v>2176528</v>
      </c>
      <c r="AH186" s="27" t="s">
        <v>871</v>
      </c>
      <c r="AI186" s="28" t="s">
        <v>185</v>
      </c>
      <c r="AJ186" s="54">
        <v>181814</v>
      </c>
      <c r="AK186" s="29">
        <v>0</v>
      </c>
    </row>
    <row r="187" spans="1:37" s="154" customFormat="1" ht="236.25" x14ac:dyDescent="0.25">
      <c r="A187" s="12">
        <v>183</v>
      </c>
      <c r="B187" s="13">
        <v>126388</v>
      </c>
      <c r="C187" s="18">
        <v>494</v>
      </c>
      <c r="D187" s="14" t="s">
        <v>171</v>
      </c>
      <c r="E187" s="15" t="s">
        <v>1269</v>
      </c>
      <c r="F187" s="17" t="s">
        <v>1268</v>
      </c>
      <c r="G187" s="17" t="s">
        <v>1300</v>
      </c>
      <c r="H187" s="14" t="s">
        <v>1301</v>
      </c>
      <c r="I187" s="14" t="s">
        <v>185</v>
      </c>
      <c r="J187" s="48" t="s">
        <v>1302</v>
      </c>
      <c r="K187" s="20">
        <v>43531</v>
      </c>
      <c r="L187" s="32">
        <v>44262</v>
      </c>
      <c r="M187" s="14">
        <f>S187/AE187*100</f>
        <v>83.300001414159638</v>
      </c>
      <c r="N187" s="14">
        <v>3</v>
      </c>
      <c r="O187" s="18" t="s">
        <v>1303</v>
      </c>
      <c r="P187" s="18" t="s">
        <v>1303</v>
      </c>
      <c r="Q187" s="14" t="s">
        <v>326</v>
      </c>
      <c r="R187" s="14" t="s">
        <v>36</v>
      </c>
      <c r="S187" s="29">
        <f t="shared" si="262"/>
        <v>2043977.2</v>
      </c>
      <c r="T187" s="23">
        <v>2043977.2</v>
      </c>
      <c r="U187" s="23">
        <v>0</v>
      </c>
      <c r="V187" s="29">
        <f t="shared" si="263"/>
        <v>360701.81</v>
      </c>
      <c r="W187" s="23">
        <v>360701.81</v>
      </c>
      <c r="X187" s="23">
        <v>0</v>
      </c>
      <c r="Y187" s="29">
        <f t="shared" si="260"/>
        <v>0</v>
      </c>
      <c r="Z187" s="23">
        <v>0</v>
      </c>
      <c r="AA187" s="23">
        <v>0</v>
      </c>
      <c r="AB187" s="23">
        <f t="shared" si="261"/>
        <v>49075.09</v>
      </c>
      <c r="AC187" s="23">
        <v>49075.09</v>
      </c>
      <c r="AD187" s="23">
        <v>0</v>
      </c>
      <c r="AE187" s="23">
        <f t="shared" si="259"/>
        <v>2453754.0999999996</v>
      </c>
      <c r="AF187" s="23">
        <v>0</v>
      </c>
      <c r="AG187" s="26">
        <f t="shared" si="195"/>
        <v>2453754.0999999996</v>
      </c>
      <c r="AH187" s="27" t="s">
        <v>871</v>
      </c>
      <c r="AI187" s="28" t="s">
        <v>185</v>
      </c>
      <c r="AJ187" s="54">
        <v>240400</v>
      </c>
      <c r="AK187" s="29">
        <v>0</v>
      </c>
    </row>
    <row r="188" spans="1:37" s="154" customFormat="1" ht="409.5" x14ac:dyDescent="0.25">
      <c r="A188" s="12">
        <v>184</v>
      </c>
      <c r="B188" s="13">
        <v>126511</v>
      </c>
      <c r="C188" s="18">
        <v>499</v>
      </c>
      <c r="D188" s="14" t="s">
        <v>170</v>
      </c>
      <c r="E188" s="15" t="s">
        <v>1269</v>
      </c>
      <c r="F188" s="17" t="s">
        <v>1268</v>
      </c>
      <c r="G188" s="17" t="s">
        <v>1306</v>
      </c>
      <c r="H188" s="17" t="s">
        <v>1307</v>
      </c>
      <c r="I188" s="14" t="s">
        <v>185</v>
      </c>
      <c r="J188" s="48" t="s">
        <v>1310</v>
      </c>
      <c r="K188" s="20">
        <v>43535</v>
      </c>
      <c r="L188" s="32">
        <v>44266</v>
      </c>
      <c r="M188" s="14">
        <f t="shared" si="258"/>
        <v>83.300000000000011</v>
      </c>
      <c r="N188" s="14" t="s">
        <v>1309</v>
      </c>
      <c r="O188" s="14" t="s">
        <v>1308</v>
      </c>
      <c r="P188" s="14" t="s">
        <v>1308</v>
      </c>
      <c r="Q188" s="14" t="s">
        <v>326</v>
      </c>
      <c r="R188" s="14" t="s">
        <v>36</v>
      </c>
      <c r="S188" s="29">
        <f t="shared" ref="S188:S192" si="264">T188+U188</f>
        <v>2060383.85</v>
      </c>
      <c r="T188" s="23">
        <v>2060383.85</v>
      </c>
      <c r="U188" s="23">
        <v>0</v>
      </c>
      <c r="V188" s="29">
        <f t="shared" ref="V188:V192" si="265">W188+X188</f>
        <v>363597.15</v>
      </c>
      <c r="W188" s="23">
        <v>363597.15</v>
      </c>
      <c r="X188" s="23">
        <v>0</v>
      </c>
      <c r="Y188" s="29">
        <f t="shared" si="260"/>
        <v>0</v>
      </c>
      <c r="Z188" s="23">
        <v>0</v>
      </c>
      <c r="AA188" s="23">
        <v>0</v>
      </c>
      <c r="AB188" s="23">
        <f t="shared" si="261"/>
        <v>49469</v>
      </c>
      <c r="AC188" s="23">
        <v>49469</v>
      </c>
      <c r="AD188" s="23">
        <v>0</v>
      </c>
      <c r="AE188" s="23">
        <f t="shared" si="259"/>
        <v>2473450</v>
      </c>
      <c r="AF188" s="23">
        <v>0</v>
      </c>
      <c r="AG188" s="26">
        <f t="shared" si="195"/>
        <v>2473450</v>
      </c>
      <c r="AH188" s="27" t="s">
        <v>871</v>
      </c>
      <c r="AI188" s="28" t="s">
        <v>185</v>
      </c>
      <c r="AJ188" s="54">
        <v>247345</v>
      </c>
      <c r="AK188" s="29">
        <v>0</v>
      </c>
    </row>
    <row r="189" spans="1:37" ht="409.5" x14ac:dyDescent="0.25">
      <c r="A189" s="14">
        <v>185</v>
      </c>
      <c r="B189" s="7">
        <v>126528</v>
      </c>
      <c r="C189" s="8">
        <v>496</v>
      </c>
      <c r="D189" s="14" t="s">
        <v>170</v>
      </c>
      <c r="E189" s="15" t="s">
        <v>1269</v>
      </c>
      <c r="F189" s="17" t="s">
        <v>1268</v>
      </c>
      <c r="G189" s="15" t="s">
        <v>1332</v>
      </c>
      <c r="H189" s="15" t="s">
        <v>1331</v>
      </c>
      <c r="I189" s="14" t="s">
        <v>1338</v>
      </c>
      <c r="J189" s="187" t="s">
        <v>1335</v>
      </c>
      <c r="K189" s="20">
        <v>43552</v>
      </c>
      <c r="L189" s="32">
        <v>44283</v>
      </c>
      <c r="M189" s="14">
        <f t="shared" si="258"/>
        <v>83.538686217523377</v>
      </c>
      <c r="N189" s="18" t="s">
        <v>1333</v>
      </c>
      <c r="O189" s="18" t="s">
        <v>1334</v>
      </c>
      <c r="P189" s="18" t="s">
        <v>1334</v>
      </c>
      <c r="Q189" s="14" t="s">
        <v>326</v>
      </c>
      <c r="R189" s="14" t="s">
        <v>36</v>
      </c>
      <c r="S189" s="29">
        <f t="shared" si="264"/>
        <v>1949308.98</v>
      </c>
      <c r="T189" s="123">
        <v>1949308.98</v>
      </c>
      <c r="U189" s="102">
        <v>0</v>
      </c>
      <c r="V189" s="29">
        <f t="shared" si="265"/>
        <v>337443.27</v>
      </c>
      <c r="W189" s="123">
        <v>337443.27</v>
      </c>
      <c r="X189" s="102">
        <v>0</v>
      </c>
      <c r="Y189" s="29">
        <f t="shared" si="260"/>
        <v>6552.42</v>
      </c>
      <c r="Z189" s="123">
        <v>6552.42</v>
      </c>
      <c r="AA189" s="102">
        <v>0</v>
      </c>
      <c r="AB189" s="23">
        <f t="shared" si="261"/>
        <v>40116.009999999995</v>
      </c>
      <c r="AC189" s="123">
        <f>23632.16+16483.85</f>
        <v>40116.009999999995</v>
      </c>
      <c r="AD189" s="102">
        <v>0</v>
      </c>
      <c r="AE189" s="23">
        <f t="shared" si="259"/>
        <v>2333420.6799999997</v>
      </c>
      <c r="AF189" s="34">
        <v>0</v>
      </c>
      <c r="AG189" s="26">
        <f t="shared" si="195"/>
        <v>2333420.6799999997</v>
      </c>
      <c r="AH189" s="27" t="s">
        <v>871</v>
      </c>
      <c r="AI189" s="34" t="s">
        <v>185</v>
      </c>
      <c r="AJ189" s="54">
        <v>233342.06</v>
      </c>
      <c r="AK189" s="54">
        <v>0</v>
      </c>
    </row>
    <row r="190" spans="1:37" ht="267.75" x14ac:dyDescent="0.25">
      <c r="A190" s="12">
        <v>186</v>
      </c>
      <c r="B190" s="7">
        <v>126480</v>
      </c>
      <c r="C190" s="8">
        <v>495</v>
      </c>
      <c r="D190" s="14" t="s">
        <v>170</v>
      </c>
      <c r="E190" s="15" t="s">
        <v>1269</v>
      </c>
      <c r="F190" s="17" t="s">
        <v>1268</v>
      </c>
      <c r="G190" s="15" t="s">
        <v>1341</v>
      </c>
      <c r="H190" s="15" t="s">
        <v>1342</v>
      </c>
      <c r="I190" s="14" t="s">
        <v>185</v>
      </c>
      <c r="J190" s="187" t="s">
        <v>1343</v>
      </c>
      <c r="K190" s="20">
        <v>43553</v>
      </c>
      <c r="L190" s="32">
        <v>43919</v>
      </c>
      <c r="M190" s="14">
        <f t="shared" si="258"/>
        <v>83.300002424250337</v>
      </c>
      <c r="N190" s="9">
        <v>6</v>
      </c>
      <c r="O190" s="188" t="s">
        <v>222</v>
      </c>
      <c r="P190" s="188" t="s">
        <v>222</v>
      </c>
      <c r="Q190" s="14" t="s">
        <v>326</v>
      </c>
      <c r="R190" s="14" t="s">
        <v>36</v>
      </c>
      <c r="S190" s="29">
        <f t="shared" si="264"/>
        <v>876896.26</v>
      </c>
      <c r="T190" s="123">
        <v>876896.26</v>
      </c>
      <c r="U190" s="102">
        <v>0</v>
      </c>
      <c r="V190" s="29">
        <f t="shared" si="265"/>
        <v>154746.38</v>
      </c>
      <c r="W190" s="123">
        <v>154746.38</v>
      </c>
      <c r="X190" s="102">
        <v>0</v>
      </c>
      <c r="Y190" s="29">
        <f t="shared" si="260"/>
        <v>0</v>
      </c>
      <c r="Z190" s="102">
        <v>0</v>
      </c>
      <c r="AA190" s="102">
        <v>0</v>
      </c>
      <c r="AB190" s="23">
        <f t="shared" si="261"/>
        <v>21053.919999999998</v>
      </c>
      <c r="AC190" s="123">
        <v>21053.919999999998</v>
      </c>
      <c r="AD190" s="102">
        <v>0</v>
      </c>
      <c r="AE190" s="23">
        <f t="shared" si="259"/>
        <v>1052696.56</v>
      </c>
      <c r="AF190" s="34">
        <v>0</v>
      </c>
      <c r="AG190" s="26">
        <f t="shared" si="195"/>
        <v>1052696.56</v>
      </c>
      <c r="AH190" s="27" t="s">
        <v>871</v>
      </c>
      <c r="AI190" s="34"/>
      <c r="AJ190" s="38">
        <v>105000</v>
      </c>
      <c r="AK190" s="1">
        <v>0</v>
      </c>
    </row>
    <row r="191" spans="1:37" ht="409.5" x14ac:dyDescent="0.25">
      <c r="A191" s="12">
        <v>187</v>
      </c>
      <c r="B191" s="7">
        <v>125819</v>
      </c>
      <c r="C191" s="8">
        <v>497</v>
      </c>
      <c r="D191" s="14" t="s">
        <v>171</v>
      </c>
      <c r="E191" s="15" t="s">
        <v>1269</v>
      </c>
      <c r="F191" s="17" t="s">
        <v>1268</v>
      </c>
      <c r="G191" s="36" t="s">
        <v>1411</v>
      </c>
      <c r="H191" s="15" t="s">
        <v>1409</v>
      </c>
      <c r="I191" s="14" t="s">
        <v>185</v>
      </c>
      <c r="J191" s="187" t="s">
        <v>1413</v>
      </c>
      <c r="K191" s="20">
        <v>43608</v>
      </c>
      <c r="L191" s="32">
        <v>44339</v>
      </c>
      <c r="M191" s="14">
        <f t="shared" si="258"/>
        <v>83.30000063911281</v>
      </c>
      <c r="N191" s="9" t="s">
        <v>1415</v>
      </c>
      <c r="O191" s="9" t="s">
        <v>1414</v>
      </c>
      <c r="P191" s="9" t="s">
        <v>1414</v>
      </c>
      <c r="Q191" s="14" t="s">
        <v>326</v>
      </c>
      <c r="R191" s="14" t="s">
        <v>36</v>
      </c>
      <c r="S191" s="29">
        <f t="shared" si="264"/>
        <v>1444133.16</v>
      </c>
      <c r="T191" s="123">
        <v>1444133.16</v>
      </c>
      <c r="U191" s="102">
        <v>0</v>
      </c>
      <c r="V191" s="29">
        <f t="shared" si="265"/>
        <v>254847.02</v>
      </c>
      <c r="W191" s="123">
        <v>254847.02</v>
      </c>
      <c r="X191" s="102">
        <v>0</v>
      </c>
      <c r="Y191" s="29">
        <f t="shared" si="260"/>
        <v>0</v>
      </c>
      <c r="Z191" s="102">
        <v>0</v>
      </c>
      <c r="AA191" s="102">
        <v>0</v>
      </c>
      <c r="AB191" s="23">
        <f t="shared" si="261"/>
        <v>34673.06</v>
      </c>
      <c r="AC191" s="123">
        <v>34673.06</v>
      </c>
      <c r="AD191" s="102">
        <v>0</v>
      </c>
      <c r="AE191" s="23">
        <f t="shared" si="259"/>
        <v>1733653.24</v>
      </c>
      <c r="AF191" s="34">
        <v>0</v>
      </c>
      <c r="AG191" s="26">
        <f t="shared" si="195"/>
        <v>1733653.24</v>
      </c>
      <c r="AH191" s="27" t="s">
        <v>871</v>
      </c>
      <c r="AI191" s="34"/>
      <c r="AJ191" s="38">
        <v>173365</v>
      </c>
      <c r="AK191" s="1">
        <v>0</v>
      </c>
    </row>
    <row r="192" spans="1:37" ht="409.5" x14ac:dyDescent="0.25">
      <c r="A192" s="14">
        <v>188</v>
      </c>
      <c r="B192" s="7">
        <v>126526</v>
      </c>
      <c r="C192" s="8">
        <v>498</v>
      </c>
      <c r="D192" s="14" t="s">
        <v>171</v>
      </c>
      <c r="E192" s="15" t="s">
        <v>1269</v>
      </c>
      <c r="F192" s="17" t="s">
        <v>1268</v>
      </c>
      <c r="G192" s="36" t="s">
        <v>1412</v>
      </c>
      <c r="H192" s="15" t="s">
        <v>1410</v>
      </c>
      <c r="I192" s="14" t="s">
        <v>185</v>
      </c>
      <c r="J192" s="187" t="s">
        <v>1416</v>
      </c>
      <c r="K192" s="20">
        <v>43608</v>
      </c>
      <c r="L192" s="32">
        <v>44339</v>
      </c>
      <c r="M192" s="14">
        <f t="shared" si="258"/>
        <v>83.30000063911281</v>
      </c>
      <c r="N192" s="9" t="s">
        <v>1415</v>
      </c>
      <c r="O192" s="9" t="s">
        <v>1414</v>
      </c>
      <c r="P192" s="9" t="s">
        <v>1414</v>
      </c>
      <c r="Q192" s="14" t="s">
        <v>326</v>
      </c>
      <c r="R192" s="14" t="s">
        <v>36</v>
      </c>
      <c r="S192" s="29">
        <f t="shared" si="264"/>
        <v>1444133.16</v>
      </c>
      <c r="T192" s="123">
        <v>1444133.16</v>
      </c>
      <c r="U192" s="102">
        <v>0</v>
      </c>
      <c r="V192" s="29">
        <f t="shared" si="265"/>
        <v>254847.02</v>
      </c>
      <c r="W192" s="123">
        <v>254847.02</v>
      </c>
      <c r="X192" s="102">
        <v>0</v>
      </c>
      <c r="Y192" s="29">
        <f t="shared" si="260"/>
        <v>0</v>
      </c>
      <c r="Z192" s="102">
        <v>0</v>
      </c>
      <c r="AA192" s="102">
        <v>0</v>
      </c>
      <c r="AB192" s="23">
        <f t="shared" si="261"/>
        <v>34673.06</v>
      </c>
      <c r="AC192" s="123">
        <v>34673.06</v>
      </c>
      <c r="AD192" s="102">
        <v>0</v>
      </c>
      <c r="AE192" s="23">
        <f t="shared" si="259"/>
        <v>1733653.24</v>
      </c>
      <c r="AF192" s="34">
        <v>0</v>
      </c>
      <c r="AG192" s="26">
        <f t="shared" si="195"/>
        <v>1733653.24</v>
      </c>
      <c r="AH192" s="27" t="s">
        <v>871</v>
      </c>
      <c r="AI192" s="34"/>
      <c r="AJ192" s="38">
        <v>173365</v>
      </c>
      <c r="AK192" s="1">
        <v>0</v>
      </c>
    </row>
    <row r="193" spans="1:37" s="154" customFormat="1" ht="409.5" x14ac:dyDescent="0.25">
      <c r="A193" s="12">
        <v>189</v>
      </c>
      <c r="B193" s="13">
        <v>119193</v>
      </c>
      <c r="C193" s="8">
        <v>2</v>
      </c>
      <c r="D193" s="14" t="s">
        <v>172</v>
      </c>
      <c r="E193" s="18" t="s">
        <v>165</v>
      </c>
      <c r="F193" s="16" t="s">
        <v>125</v>
      </c>
      <c r="G193" s="17" t="s">
        <v>37</v>
      </c>
      <c r="H193" s="17" t="s">
        <v>35</v>
      </c>
      <c r="I193" s="9" t="s">
        <v>185</v>
      </c>
      <c r="J193" s="48" t="s">
        <v>38</v>
      </c>
      <c r="K193" s="20">
        <v>42459</v>
      </c>
      <c r="L193" s="32">
        <v>43373</v>
      </c>
      <c r="M193" s="21">
        <f>S193/AE193*100</f>
        <v>83.983862816086358</v>
      </c>
      <c r="N193" s="14" t="s">
        <v>155</v>
      </c>
      <c r="O193" s="14" t="s">
        <v>156</v>
      </c>
      <c r="P193" s="14" t="s">
        <v>156</v>
      </c>
      <c r="Q193" s="42" t="s">
        <v>157</v>
      </c>
      <c r="R193" s="14" t="s">
        <v>36</v>
      </c>
      <c r="S193" s="23">
        <f>T193+U193</f>
        <v>11141147.18</v>
      </c>
      <c r="T193" s="23">
        <v>8984364.5299999993</v>
      </c>
      <c r="U193" s="23">
        <v>2156782.65</v>
      </c>
      <c r="V193" s="23">
        <f>W193+X193</f>
        <v>0</v>
      </c>
      <c r="W193" s="23">
        <v>0</v>
      </c>
      <c r="X193" s="23">
        <v>0</v>
      </c>
      <c r="Y193" s="23">
        <f>Z193+AA193</f>
        <v>2124671.7600000002</v>
      </c>
      <c r="Z193" s="23">
        <v>1585476.09</v>
      </c>
      <c r="AA193" s="23">
        <v>539195.67000000004</v>
      </c>
      <c r="AB193" s="23">
        <f t="shared" si="222"/>
        <v>0</v>
      </c>
      <c r="AC193" s="23"/>
      <c r="AD193" s="23"/>
      <c r="AE193" s="23">
        <f t="shared" si="214"/>
        <v>13265818.939999999</v>
      </c>
      <c r="AF193" s="23">
        <v>0</v>
      </c>
      <c r="AG193" s="26">
        <f t="shared" si="195"/>
        <v>13265818.939999999</v>
      </c>
      <c r="AH193" s="27" t="s">
        <v>1073</v>
      </c>
      <c r="AI193" s="28" t="s">
        <v>327</v>
      </c>
      <c r="AJ193" s="54">
        <f>8636594.63+2463862.74+15076.78</f>
        <v>11115534.15</v>
      </c>
      <c r="AK193" s="29">
        <v>0</v>
      </c>
    </row>
    <row r="194" spans="1:37" ht="330.75" x14ac:dyDescent="0.25">
      <c r="A194" s="12">
        <v>190</v>
      </c>
      <c r="B194" s="13">
        <v>117842</v>
      </c>
      <c r="C194" s="8">
        <v>3</v>
      </c>
      <c r="D194" s="14" t="s">
        <v>172</v>
      </c>
      <c r="E194" s="18" t="s">
        <v>165</v>
      </c>
      <c r="F194" s="189" t="s">
        <v>125</v>
      </c>
      <c r="G194" s="17" t="s">
        <v>40</v>
      </c>
      <c r="H194" s="17" t="s">
        <v>39</v>
      </c>
      <c r="I194" s="14" t="s">
        <v>197</v>
      </c>
      <c r="J194" s="48" t="s">
        <v>41</v>
      </c>
      <c r="K194" s="20">
        <v>42534</v>
      </c>
      <c r="L194" s="32">
        <v>43585</v>
      </c>
      <c r="M194" s="21">
        <f t="shared" ref="M194:M257" si="266">S194/AE194*100</f>
        <v>83.983864495221582</v>
      </c>
      <c r="N194" s="14" t="s">
        <v>155</v>
      </c>
      <c r="O194" s="14" t="s">
        <v>156</v>
      </c>
      <c r="P194" s="14" t="s">
        <v>156</v>
      </c>
      <c r="Q194" s="42" t="s">
        <v>157</v>
      </c>
      <c r="R194" s="14" t="s">
        <v>36</v>
      </c>
      <c r="S194" s="23">
        <f>T194+U194</f>
        <v>15396417.879999999</v>
      </c>
      <c r="T194" s="23">
        <v>12415869.539999999</v>
      </c>
      <c r="U194" s="23">
        <v>2980548.34</v>
      </c>
      <c r="V194" s="23">
        <f t="shared" ref="V194:V257" si="267">W194+X194</f>
        <v>0</v>
      </c>
      <c r="W194" s="23">
        <v>0</v>
      </c>
      <c r="X194" s="23">
        <v>0</v>
      </c>
      <c r="Y194" s="23">
        <f>Z194+AA194</f>
        <v>2936172.52</v>
      </c>
      <c r="Z194" s="23">
        <v>2191035.59</v>
      </c>
      <c r="AA194" s="23">
        <v>745136.93</v>
      </c>
      <c r="AB194" s="23">
        <f t="shared" si="222"/>
        <v>0</v>
      </c>
      <c r="AC194" s="23"/>
      <c r="AD194" s="23"/>
      <c r="AE194" s="23">
        <f t="shared" si="214"/>
        <v>18332590.399999999</v>
      </c>
      <c r="AF194" s="23">
        <v>0</v>
      </c>
      <c r="AG194" s="26">
        <f t="shared" si="195"/>
        <v>18332590.399999999</v>
      </c>
      <c r="AH194" s="27" t="s">
        <v>1073</v>
      </c>
      <c r="AI194" s="28" t="s">
        <v>1209</v>
      </c>
      <c r="AJ194" s="29">
        <f>9867764.76+844965.23</f>
        <v>10712729.99</v>
      </c>
      <c r="AK194" s="49">
        <v>0</v>
      </c>
    </row>
    <row r="195" spans="1:37" ht="330.75" x14ac:dyDescent="0.25">
      <c r="A195" s="14">
        <v>191</v>
      </c>
      <c r="B195" s="13">
        <v>118291</v>
      </c>
      <c r="C195" s="8">
        <v>4</v>
      </c>
      <c r="D195" s="14" t="s">
        <v>173</v>
      </c>
      <c r="E195" s="18" t="s">
        <v>165</v>
      </c>
      <c r="F195" s="189" t="s">
        <v>125</v>
      </c>
      <c r="G195" s="17" t="s">
        <v>43</v>
      </c>
      <c r="H195" s="17" t="s">
        <v>42</v>
      </c>
      <c r="I195" s="14" t="s">
        <v>196</v>
      </c>
      <c r="J195" s="48" t="s">
        <v>44</v>
      </c>
      <c r="K195" s="20">
        <v>42459</v>
      </c>
      <c r="L195" s="32">
        <v>43220</v>
      </c>
      <c r="M195" s="21">
        <f t="shared" si="266"/>
        <v>83.983862772799696</v>
      </c>
      <c r="N195" s="14" t="s">
        <v>155</v>
      </c>
      <c r="O195" s="14" t="s">
        <v>156</v>
      </c>
      <c r="P195" s="14" t="s">
        <v>156</v>
      </c>
      <c r="Q195" s="42" t="s">
        <v>157</v>
      </c>
      <c r="R195" s="14" t="s">
        <v>36</v>
      </c>
      <c r="S195" s="23">
        <f t="shared" ref="S195:S258" si="268">T195+U195</f>
        <v>9512414.3200000003</v>
      </c>
      <c r="T195" s="23">
        <v>7670933.3799999999</v>
      </c>
      <c r="U195" s="23">
        <v>1841480.94</v>
      </c>
      <c r="V195" s="23">
        <f t="shared" si="267"/>
        <v>0</v>
      </c>
      <c r="W195" s="23">
        <v>0</v>
      </c>
      <c r="X195" s="23">
        <v>0</v>
      </c>
      <c r="Y195" s="23">
        <f t="shared" ref="Y195:Y258" si="269">Z195+AA195</f>
        <v>1814064.3699999999</v>
      </c>
      <c r="Z195" s="23">
        <v>1353694.13</v>
      </c>
      <c r="AA195" s="23">
        <v>460370.24</v>
      </c>
      <c r="AB195" s="23">
        <f t="shared" si="222"/>
        <v>0</v>
      </c>
      <c r="AC195" s="23"/>
      <c r="AD195" s="23"/>
      <c r="AE195" s="23">
        <f t="shared" si="214"/>
        <v>11326478.689999999</v>
      </c>
      <c r="AF195" s="23">
        <v>0</v>
      </c>
      <c r="AG195" s="26">
        <f t="shared" si="195"/>
        <v>11326478.689999999</v>
      </c>
      <c r="AH195" s="27" t="s">
        <v>1073</v>
      </c>
      <c r="AI195" s="28" t="s">
        <v>210</v>
      </c>
      <c r="AJ195" s="29">
        <f>8122384.62+520669.77+28017.46</f>
        <v>8671071.8500000015</v>
      </c>
      <c r="AK195" s="49">
        <v>0</v>
      </c>
    </row>
    <row r="196" spans="1:37" ht="236.25" x14ac:dyDescent="0.25">
      <c r="A196" s="12">
        <v>192</v>
      </c>
      <c r="B196" s="13">
        <v>118957</v>
      </c>
      <c r="C196" s="8">
        <v>5</v>
      </c>
      <c r="D196" s="14" t="s">
        <v>172</v>
      </c>
      <c r="E196" s="18" t="s">
        <v>165</v>
      </c>
      <c r="F196" s="189" t="s">
        <v>125</v>
      </c>
      <c r="G196" s="17" t="s">
        <v>46</v>
      </c>
      <c r="H196" s="17" t="s">
        <v>45</v>
      </c>
      <c r="I196" s="14" t="s">
        <v>197</v>
      </c>
      <c r="J196" s="48" t="s">
        <v>47</v>
      </c>
      <c r="K196" s="20">
        <v>42900</v>
      </c>
      <c r="L196" s="32">
        <v>43722</v>
      </c>
      <c r="M196" s="21">
        <f t="shared" si="266"/>
        <v>83.983862721834797</v>
      </c>
      <c r="N196" s="14" t="s">
        <v>155</v>
      </c>
      <c r="O196" s="14" t="s">
        <v>156</v>
      </c>
      <c r="P196" s="14" t="s">
        <v>156</v>
      </c>
      <c r="Q196" s="42" t="s">
        <v>157</v>
      </c>
      <c r="R196" s="14" t="s">
        <v>36</v>
      </c>
      <c r="S196" s="23">
        <f>T196+U196</f>
        <v>4555318.1900000004</v>
      </c>
      <c r="T196" s="23">
        <v>3673467.24</v>
      </c>
      <c r="U196" s="23">
        <v>881850.95</v>
      </c>
      <c r="V196" s="23">
        <f t="shared" si="267"/>
        <v>0</v>
      </c>
      <c r="W196" s="23">
        <v>0</v>
      </c>
      <c r="X196" s="23">
        <v>0</v>
      </c>
      <c r="Y196" s="23">
        <f t="shared" si="269"/>
        <v>868721.67</v>
      </c>
      <c r="Z196" s="23">
        <v>648258.93000000005</v>
      </c>
      <c r="AA196" s="23">
        <v>220462.74</v>
      </c>
      <c r="AB196" s="23">
        <f t="shared" si="222"/>
        <v>0</v>
      </c>
      <c r="AC196" s="23"/>
      <c r="AD196" s="23"/>
      <c r="AE196" s="23">
        <f t="shared" si="214"/>
        <v>5424039.8600000003</v>
      </c>
      <c r="AF196" s="23">
        <v>0</v>
      </c>
      <c r="AG196" s="26">
        <f t="shared" si="195"/>
        <v>5424039.8600000003</v>
      </c>
      <c r="AH196" s="27" t="s">
        <v>585</v>
      </c>
      <c r="AI196" s="190" t="s">
        <v>185</v>
      </c>
      <c r="AJ196" s="29">
        <v>2210161.75</v>
      </c>
      <c r="AK196" s="49">
        <v>0</v>
      </c>
    </row>
    <row r="197" spans="1:37" ht="252" x14ac:dyDescent="0.25">
      <c r="A197" s="12">
        <v>193</v>
      </c>
      <c r="B197" s="13">
        <v>118448</v>
      </c>
      <c r="C197" s="8">
        <v>6</v>
      </c>
      <c r="D197" s="14" t="s">
        <v>172</v>
      </c>
      <c r="E197" s="18" t="s">
        <v>165</v>
      </c>
      <c r="F197" s="189" t="s">
        <v>125</v>
      </c>
      <c r="G197" s="17" t="s">
        <v>49</v>
      </c>
      <c r="H197" s="17" t="s">
        <v>48</v>
      </c>
      <c r="I197" s="14" t="s">
        <v>185</v>
      </c>
      <c r="J197" s="48" t="s">
        <v>50</v>
      </c>
      <c r="K197" s="20">
        <v>42458</v>
      </c>
      <c r="L197" s="32">
        <v>43705</v>
      </c>
      <c r="M197" s="21">
        <f t="shared" si="266"/>
        <v>83.983862411375569</v>
      </c>
      <c r="N197" s="14" t="s">
        <v>155</v>
      </c>
      <c r="O197" s="14" t="s">
        <v>156</v>
      </c>
      <c r="P197" s="14" t="s">
        <v>156</v>
      </c>
      <c r="Q197" s="42" t="s">
        <v>157</v>
      </c>
      <c r="R197" s="14" t="s">
        <v>36</v>
      </c>
      <c r="S197" s="23">
        <f t="shared" si="268"/>
        <v>15459786.27</v>
      </c>
      <c r="T197" s="23">
        <v>12466970.77</v>
      </c>
      <c r="U197" s="23">
        <v>2992815.5</v>
      </c>
      <c r="V197" s="23">
        <f t="shared" si="267"/>
        <v>0</v>
      </c>
      <c r="W197" s="23">
        <v>0</v>
      </c>
      <c r="X197" s="23">
        <v>0</v>
      </c>
      <c r="Y197" s="23">
        <f t="shared" si="269"/>
        <v>2948257.6399999997</v>
      </c>
      <c r="Z197" s="23">
        <v>2200053.65</v>
      </c>
      <c r="AA197" s="23">
        <v>748203.99</v>
      </c>
      <c r="AB197" s="23">
        <f t="shared" si="222"/>
        <v>0</v>
      </c>
      <c r="AC197" s="23"/>
      <c r="AD197" s="23"/>
      <c r="AE197" s="23">
        <f t="shared" si="214"/>
        <v>18408043.91</v>
      </c>
      <c r="AF197" s="23">
        <v>0</v>
      </c>
      <c r="AG197" s="26">
        <f t="shared" si="195"/>
        <v>18408043.91</v>
      </c>
      <c r="AH197" s="27" t="s">
        <v>585</v>
      </c>
      <c r="AI197" s="28" t="s">
        <v>1408</v>
      </c>
      <c r="AJ197" s="29">
        <f>9840778.73+367299.37+1567368.94</f>
        <v>11775447.039999999</v>
      </c>
      <c r="AK197" s="49">
        <v>0</v>
      </c>
    </row>
    <row r="198" spans="1:37" ht="173.25" x14ac:dyDescent="0.25">
      <c r="A198" s="14">
        <v>194</v>
      </c>
      <c r="B198" s="13">
        <v>118575</v>
      </c>
      <c r="C198" s="8">
        <v>7</v>
      </c>
      <c r="D198" s="14" t="s">
        <v>170</v>
      </c>
      <c r="E198" s="18" t="s">
        <v>165</v>
      </c>
      <c r="F198" s="189" t="s">
        <v>125</v>
      </c>
      <c r="G198" s="17" t="s">
        <v>52</v>
      </c>
      <c r="H198" s="17" t="s">
        <v>51</v>
      </c>
      <c r="I198" s="14" t="s">
        <v>185</v>
      </c>
      <c r="J198" s="48" t="s">
        <v>53</v>
      </c>
      <c r="K198" s="20">
        <v>42592</v>
      </c>
      <c r="L198" s="32">
        <v>43687</v>
      </c>
      <c r="M198" s="21">
        <f t="shared" si="266"/>
        <v>83.983862823517285</v>
      </c>
      <c r="N198" s="14" t="s">
        <v>155</v>
      </c>
      <c r="O198" s="14" t="s">
        <v>156</v>
      </c>
      <c r="P198" s="14" t="s">
        <v>156</v>
      </c>
      <c r="Q198" s="42" t="s">
        <v>157</v>
      </c>
      <c r="R198" s="14" t="s">
        <v>36</v>
      </c>
      <c r="S198" s="23">
        <f t="shared" si="268"/>
        <v>8244072.25</v>
      </c>
      <c r="T198" s="23">
        <v>6648126</v>
      </c>
      <c r="U198" s="23">
        <v>1595946.25</v>
      </c>
      <c r="V198" s="23">
        <f t="shared" si="267"/>
        <v>0</v>
      </c>
      <c r="W198" s="23">
        <v>0</v>
      </c>
      <c r="X198" s="23">
        <v>0</v>
      </c>
      <c r="Y198" s="23">
        <f t="shared" si="269"/>
        <v>1572185.27</v>
      </c>
      <c r="Z198" s="23">
        <v>1173198.71</v>
      </c>
      <c r="AA198" s="23">
        <v>398986.56</v>
      </c>
      <c r="AB198" s="23">
        <f t="shared" si="222"/>
        <v>0</v>
      </c>
      <c r="AC198" s="23"/>
      <c r="AD198" s="23"/>
      <c r="AE198" s="23">
        <f t="shared" si="214"/>
        <v>9816257.5199999996</v>
      </c>
      <c r="AF198" s="23">
        <v>0</v>
      </c>
      <c r="AG198" s="26">
        <f t="shared" ref="AG198:AG261" si="270">AE198+AF198</f>
        <v>9816257.5199999996</v>
      </c>
      <c r="AH198" s="27" t="s">
        <v>585</v>
      </c>
      <c r="AI198" s="28" t="s">
        <v>1210</v>
      </c>
      <c r="AJ198" s="29">
        <f>2263203.63+133525.16</f>
        <v>2396728.79</v>
      </c>
      <c r="AK198" s="49">
        <v>0</v>
      </c>
    </row>
    <row r="199" spans="1:37" ht="378" x14ac:dyDescent="0.25">
      <c r="A199" s="12">
        <v>195</v>
      </c>
      <c r="B199" s="13">
        <v>122100</v>
      </c>
      <c r="C199" s="8">
        <v>8</v>
      </c>
      <c r="D199" s="14" t="s">
        <v>175</v>
      </c>
      <c r="E199" s="18" t="s">
        <v>165</v>
      </c>
      <c r="F199" s="189" t="s">
        <v>125</v>
      </c>
      <c r="G199" s="17" t="s">
        <v>55</v>
      </c>
      <c r="H199" s="17" t="s">
        <v>54</v>
      </c>
      <c r="I199" s="14" t="s">
        <v>185</v>
      </c>
      <c r="J199" s="48" t="s">
        <v>56</v>
      </c>
      <c r="K199" s="20">
        <v>42661</v>
      </c>
      <c r="L199" s="32">
        <v>43756</v>
      </c>
      <c r="M199" s="21">
        <f t="shared" si="266"/>
        <v>83.983862943976007</v>
      </c>
      <c r="N199" s="14" t="s">
        <v>155</v>
      </c>
      <c r="O199" s="14" t="s">
        <v>156</v>
      </c>
      <c r="P199" s="14" t="s">
        <v>156</v>
      </c>
      <c r="Q199" s="42" t="s">
        <v>157</v>
      </c>
      <c r="R199" s="14" t="s">
        <v>36</v>
      </c>
      <c r="S199" s="23">
        <f t="shared" si="268"/>
        <v>1681184.87</v>
      </c>
      <c r="T199" s="23">
        <v>1355729.12</v>
      </c>
      <c r="U199" s="23">
        <v>325455.75</v>
      </c>
      <c r="V199" s="23">
        <f t="shared" si="267"/>
        <v>0</v>
      </c>
      <c r="W199" s="23">
        <v>0</v>
      </c>
      <c r="X199" s="23">
        <v>0</v>
      </c>
      <c r="Y199" s="23">
        <f t="shared" si="269"/>
        <v>320610.25</v>
      </c>
      <c r="Z199" s="23">
        <v>239246.31</v>
      </c>
      <c r="AA199" s="23">
        <v>81363.94</v>
      </c>
      <c r="AB199" s="23">
        <f t="shared" si="222"/>
        <v>0</v>
      </c>
      <c r="AC199" s="23"/>
      <c r="AD199" s="23"/>
      <c r="AE199" s="23">
        <f t="shared" si="214"/>
        <v>2001795.12</v>
      </c>
      <c r="AF199" s="23">
        <v>0</v>
      </c>
      <c r="AG199" s="26">
        <f t="shared" si="270"/>
        <v>2001795.12</v>
      </c>
      <c r="AH199" s="27" t="s">
        <v>585</v>
      </c>
      <c r="AI199" s="28" t="s">
        <v>1386</v>
      </c>
      <c r="AJ199" s="29">
        <f>258033.64+369296.57</f>
        <v>627330.21</v>
      </c>
      <c r="AK199" s="49">
        <v>0</v>
      </c>
    </row>
    <row r="200" spans="1:37" ht="283.5" x14ac:dyDescent="0.25">
      <c r="A200" s="12">
        <v>196</v>
      </c>
      <c r="B200" s="13">
        <v>120313</v>
      </c>
      <c r="C200" s="8">
        <v>9</v>
      </c>
      <c r="D200" s="14" t="s">
        <v>168</v>
      </c>
      <c r="E200" s="18" t="s">
        <v>165</v>
      </c>
      <c r="F200" s="189" t="s">
        <v>125</v>
      </c>
      <c r="G200" s="17" t="s">
        <v>57</v>
      </c>
      <c r="H200" s="17" t="s">
        <v>328</v>
      </c>
      <c r="I200" s="14" t="s">
        <v>201</v>
      </c>
      <c r="J200" s="48" t="s">
        <v>58</v>
      </c>
      <c r="K200" s="20">
        <v>42446</v>
      </c>
      <c r="L200" s="32">
        <v>43633</v>
      </c>
      <c r="M200" s="21">
        <f t="shared" si="266"/>
        <v>83.983862848864632</v>
      </c>
      <c r="N200" s="14" t="s">
        <v>155</v>
      </c>
      <c r="O200" s="14" t="s">
        <v>156</v>
      </c>
      <c r="P200" s="14" t="s">
        <v>156</v>
      </c>
      <c r="Q200" s="42" t="s">
        <v>157</v>
      </c>
      <c r="R200" s="14" t="s">
        <v>36</v>
      </c>
      <c r="S200" s="23">
        <f>T200+U200</f>
        <v>30189820.119999997</v>
      </c>
      <c r="T200" s="23">
        <v>24345459.629999999</v>
      </c>
      <c r="U200" s="23">
        <v>5844360.4900000002</v>
      </c>
      <c r="V200" s="23">
        <v>1966327.81</v>
      </c>
      <c r="W200" s="23">
        <v>1453132.81</v>
      </c>
      <c r="X200" s="23">
        <v>513195</v>
      </c>
      <c r="Y200" s="23">
        <f t="shared" si="269"/>
        <v>3791019.8899999997</v>
      </c>
      <c r="Z200" s="23">
        <v>2843124.76</v>
      </c>
      <c r="AA200" s="23">
        <v>947895.13</v>
      </c>
      <c r="AB200" s="23">
        <f t="shared" si="222"/>
        <v>0</v>
      </c>
      <c r="AC200" s="23"/>
      <c r="AD200" s="23"/>
      <c r="AE200" s="23">
        <f t="shared" si="214"/>
        <v>35947167.819999993</v>
      </c>
      <c r="AF200" s="23">
        <v>0</v>
      </c>
      <c r="AG200" s="26">
        <f t="shared" si="270"/>
        <v>35947167.819999993</v>
      </c>
      <c r="AH200" s="27" t="s">
        <v>585</v>
      </c>
      <c r="AI200" s="28" t="s">
        <v>1271</v>
      </c>
      <c r="AJ200" s="29">
        <f>25165624.15-64.26+536667.37</f>
        <v>25702227.259999998</v>
      </c>
      <c r="AK200" s="49">
        <f>1447911.57+64.26+197802.03</f>
        <v>1645777.86</v>
      </c>
    </row>
    <row r="201" spans="1:37" ht="409.5" x14ac:dyDescent="0.25">
      <c r="A201" s="14">
        <v>197</v>
      </c>
      <c r="B201" s="13">
        <v>121644</v>
      </c>
      <c r="C201" s="8">
        <v>10</v>
      </c>
      <c r="D201" s="14" t="s">
        <v>175</v>
      </c>
      <c r="E201" s="18" t="s">
        <v>165</v>
      </c>
      <c r="F201" s="189" t="s">
        <v>125</v>
      </c>
      <c r="G201" s="17" t="s">
        <v>59</v>
      </c>
      <c r="H201" s="17" t="s">
        <v>54</v>
      </c>
      <c r="I201" s="14" t="s">
        <v>185</v>
      </c>
      <c r="J201" s="48" t="s">
        <v>60</v>
      </c>
      <c r="K201" s="20">
        <v>42538</v>
      </c>
      <c r="L201" s="32">
        <v>43298</v>
      </c>
      <c r="M201" s="21">
        <f t="shared" si="266"/>
        <v>83.983862739322618</v>
      </c>
      <c r="N201" s="14" t="s">
        <v>155</v>
      </c>
      <c r="O201" s="14" t="s">
        <v>156</v>
      </c>
      <c r="P201" s="14" t="s">
        <v>156</v>
      </c>
      <c r="Q201" s="42" t="s">
        <v>157</v>
      </c>
      <c r="R201" s="14" t="s">
        <v>36</v>
      </c>
      <c r="S201" s="23">
        <f t="shared" si="268"/>
        <v>2777962.48</v>
      </c>
      <c r="T201" s="23">
        <v>2240184.71</v>
      </c>
      <c r="U201" s="23">
        <v>537777.77</v>
      </c>
      <c r="V201" s="23">
        <f t="shared" si="267"/>
        <v>0</v>
      </c>
      <c r="W201" s="23">
        <v>0</v>
      </c>
      <c r="X201" s="23">
        <v>0</v>
      </c>
      <c r="Y201" s="23">
        <f t="shared" si="269"/>
        <v>529771.16</v>
      </c>
      <c r="Z201" s="23">
        <v>395326.72000000003</v>
      </c>
      <c r="AA201" s="23">
        <v>134444.44</v>
      </c>
      <c r="AB201" s="23">
        <f t="shared" si="222"/>
        <v>0</v>
      </c>
      <c r="AC201" s="23"/>
      <c r="AD201" s="23"/>
      <c r="AE201" s="23">
        <f t="shared" si="214"/>
        <v>3307733.64</v>
      </c>
      <c r="AF201" s="23">
        <v>192499.20000000001</v>
      </c>
      <c r="AG201" s="26">
        <f t="shared" si="270"/>
        <v>3500232.8400000003</v>
      </c>
      <c r="AH201" s="27" t="s">
        <v>1073</v>
      </c>
      <c r="AI201" s="28" t="s">
        <v>236</v>
      </c>
      <c r="AJ201" s="29">
        <v>2635526.38</v>
      </c>
      <c r="AK201" s="49">
        <v>0</v>
      </c>
    </row>
    <row r="202" spans="1:37" ht="409.5" x14ac:dyDescent="0.25">
      <c r="A202" s="12">
        <v>198</v>
      </c>
      <c r="B202" s="13">
        <v>118305</v>
      </c>
      <c r="C202" s="8">
        <v>11</v>
      </c>
      <c r="D202" s="14" t="s">
        <v>168</v>
      </c>
      <c r="E202" s="18" t="s">
        <v>165</v>
      </c>
      <c r="F202" s="189" t="s">
        <v>125</v>
      </c>
      <c r="G202" s="17" t="s">
        <v>62</v>
      </c>
      <c r="H202" s="17" t="s">
        <v>61</v>
      </c>
      <c r="I202" s="14" t="s">
        <v>201</v>
      </c>
      <c r="J202" s="48" t="s">
        <v>63</v>
      </c>
      <c r="K202" s="20">
        <v>42467</v>
      </c>
      <c r="L202" s="32">
        <v>43561</v>
      </c>
      <c r="M202" s="21">
        <f t="shared" si="266"/>
        <v>83.98386392846011</v>
      </c>
      <c r="N202" s="14" t="s">
        <v>155</v>
      </c>
      <c r="O202" s="14" t="s">
        <v>156</v>
      </c>
      <c r="P202" s="14" t="s">
        <v>156</v>
      </c>
      <c r="Q202" s="42" t="s">
        <v>157</v>
      </c>
      <c r="R202" s="14" t="s">
        <v>36</v>
      </c>
      <c r="S202" s="23">
        <f t="shared" si="268"/>
        <v>13566063.25</v>
      </c>
      <c r="T202" s="23">
        <v>10939848.08</v>
      </c>
      <c r="U202" s="23">
        <v>2626215.17</v>
      </c>
      <c r="V202" s="23">
        <f t="shared" si="267"/>
        <v>0</v>
      </c>
      <c r="W202" s="23">
        <v>0</v>
      </c>
      <c r="X202" s="23">
        <v>0</v>
      </c>
      <c r="Y202" s="23">
        <f t="shared" si="269"/>
        <v>2587115.0099999998</v>
      </c>
      <c r="Z202" s="23">
        <v>1930561.24</v>
      </c>
      <c r="AA202" s="23">
        <v>656553.77</v>
      </c>
      <c r="AB202" s="23">
        <f t="shared" ref="AB202:AB257" si="271">AC202+AD202</f>
        <v>0</v>
      </c>
      <c r="AC202" s="23">
        <v>0</v>
      </c>
      <c r="AD202" s="23">
        <v>0</v>
      </c>
      <c r="AE202" s="23">
        <f t="shared" si="214"/>
        <v>16153178.26</v>
      </c>
      <c r="AF202" s="23">
        <v>0</v>
      </c>
      <c r="AG202" s="26">
        <f t="shared" si="270"/>
        <v>16153178.26</v>
      </c>
      <c r="AH202" s="27" t="s">
        <v>1073</v>
      </c>
      <c r="AI202" s="28" t="s">
        <v>1105</v>
      </c>
      <c r="AJ202" s="29">
        <f>10642106.1+921431.45+112475.1+751485.06</f>
        <v>12427497.709999999</v>
      </c>
      <c r="AK202" s="49">
        <v>0</v>
      </c>
    </row>
    <row r="203" spans="1:37" ht="252" x14ac:dyDescent="0.25">
      <c r="A203" s="12">
        <v>199</v>
      </c>
      <c r="B203" s="13">
        <v>118349</v>
      </c>
      <c r="C203" s="8">
        <v>13</v>
      </c>
      <c r="D203" s="14" t="s">
        <v>173</v>
      </c>
      <c r="E203" s="18" t="s">
        <v>165</v>
      </c>
      <c r="F203" s="189" t="s">
        <v>125</v>
      </c>
      <c r="G203" s="17" t="s">
        <v>65</v>
      </c>
      <c r="H203" s="17" t="s">
        <v>64</v>
      </c>
      <c r="I203" s="14" t="s">
        <v>197</v>
      </c>
      <c r="J203" s="48" t="s">
        <v>66</v>
      </c>
      <c r="K203" s="20">
        <v>42663</v>
      </c>
      <c r="L203" s="32">
        <v>43758</v>
      </c>
      <c r="M203" s="21">
        <f t="shared" si="266"/>
        <v>83.983862845432327</v>
      </c>
      <c r="N203" s="14" t="s">
        <v>155</v>
      </c>
      <c r="O203" s="14" t="s">
        <v>156</v>
      </c>
      <c r="P203" s="14" t="s">
        <v>156</v>
      </c>
      <c r="Q203" s="42" t="s">
        <v>157</v>
      </c>
      <c r="R203" s="14" t="s">
        <v>36</v>
      </c>
      <c r="S203" s="23">
        <f t="shared" si="268"/>
        <v>9782795.4699999988</v>
      </c>
      <c r="T203" s="23">
        <v>7888972.2199999997</v>
      </c>
      <c r="U203" s="23">
        <v>1893823.25</v>
      </c>
      <c r="V203" s="23">
        <f t="shared" si="267"/>
        <v>0</v>
      </c>
      <c r="W203" s="23">
        <v>0</v>
      </c>
      <c r="X203" s="23">
        <v>0</v>
      </c>
      <c r="Y203" s="23">
        <f t="shared" si="269"/>
        <v>1865627.3800000001</v>
      </c>
      <c r="Z203" s="23">
        <v>1392171.57</v>
      </c>
      <c r="AA203" s="23">
        <v>473455.81</v>
      </c>
      <c r="AB203" s="23">
        <f t="shared" si="271"/>
        <v>0</v>
      </c>
      <c r="AC203" s="23"/>
      <c r="AD203" s="23"/>
      <c r="AE203" s="23">
        <f t="shared" si="214"/>
        <v>11648422.85</v>
      </c>
      <c r="AF203" s="23">
        <v>0</v>
      </c>
      <c r="AG203" s="26">
        <f t="shared" si="270"/>
        <v>11648422.85</v>
      </c>
      <c r="AH203" s="27" t="s">
        <v>585</v>
      </c>
      <c r="AI203" s="28" t="s">
        <v>189</v>
      </c>
      <c r="AJ203" s="29">
        <f>1581295.57+590628.38+390172.91</f>
        <v>2562096.8600000003</v>
      </c>
      <c r="AK203" s="49">
        <v>0</v>
      </c>
    </row>
    <row r="204" spans="1:37" ht="157.5" x14ac:dyDescent="0.25">
      <c r="A204" s="14">
        <v>200</v>
      </c>
      <c r="B204" s="13">
        <v>118894</v>
      </c>
      <c r="C204" s="8">
        <v>15</v>
      </c>
      <c r="D204" s="14" t="s">
        <v>170</v>
      </c>
      <c r="E204" s="18" t="s">
        <v>165</v>
      </c>
      <c r="F204" s="189" t="s">
        <v>125</v>
      </c>
      <c r="G204" s="17" t="s">
        <v>68</v>
      </c>
      <c r="H204" s="17" t="s">
        <v>67</v>
      </c>
      <c r="I204" s="14" t="s">
        <v>185</v>
      </c>
      <c r="J204" s="48" t="s">
        <v>69</v>
      </c>
      <c r="K204" s="20">
        <v>42717</v>
      </c>
      <c r="L204" s="32">
        <v>43812</v>
      </c>
      <c r="M204" s="21">
        <f t="shared" si="266"/>
        <v>83.983863051796376</v>
      </c>
      <c r="N204" s="14" t="s">
        <v>155</v>
      </c>
      <c r="O204" s="14" t="s">
        <v>156</v>
      </c>
      <c r="P204" s="14" t="s">
        <v>156</v>
      </c>
      <c r="Q204" s="42" t="s">
        <v>157</v>
      </c>
      <c r="R204" s="14" t="s">
        <v>36</v>
      </c>
      <c r="S204" s="23">
        <f t="shared" si="268"/>
        <v>2106832.29</v>
      </c>
      <c r="T204" s="23">
        <v>1698976.68</v>
      </c>
      <c r="U204" s="23">
        <v>407855.61</v>
      </c>
      <c r="V204" s="23">
        <f t="shared" si="267"/>
        <v>0</v>
      </c>
      <c r="W204" s="23">
        <v>0</v>
      </c>
      <c r="X204" s="23">
        <v>0</v>
      </c>
      <c r="Y204" s="23">
        <f t="shared" si="269"/>
        <v>401783.30999999994</v>
      </c>
      <c r="Z204" s="23">
        <v>299819.40999999997</v>
      </c>
      <c r="AA204" s="23">
        <v>101963.9</v>
      </c>
      <c r="AB204" s="23">
        <f t="shared" si="271"/>
        <v>0</v>
      </c>
      <c r="AC204" s="23"/>
      <c r="AD204" s="23"/>
      <c r="AE204" s="23">
        <f t="shared" si="214"/>
        <v>2508615.6</v>
      </c>
      <c r="AF204" s="23">
        <v>154711.20000000001</v>
      </c>
      <c r="AG204" s="26">
        <f t="shared" si="270"/>
        <v>2663326.8000000003</v>
      </c>
      <c r="AH204" s="27" t="s">
        <v>585</v>
      </c>
      <c r="AI204" s="28" t="s">
        <v>1097</v>
      </c>
      <c r="AJ204" s="29">
        <v>100211.1</v>
      </c>
      <c r="AK204" s="49">
        <v>0</v>
      </c>
    </row>
    <row r="205" spans="1:37" ht="378" x14ac:dyDescent="0.25">
      <c r="A205" s="12">
        <v>201</v>
      </c>
      <c r="B205" s="13">
        <v>117846</v>
      </c>
      <c r="C205" s="8">
        <v>16</v>
      </c>
      <c r="D205" s="22" t="s">
        <v>172</v>
      </c>
      <c r="E205" s="18" t="s">
        <v>165</v>
      </c>
      <c r="F205" s="189" t="s">
        <v>125</v>
      </c>
      <c r="G205" s="17" t="s">
        <v>126</v>
      </c>
      <c r="H205" s="17" t="s">
        <v>124</v>
      </c>
      <c r="I205" s="14" t="s">
        <v>203</v>
      </c>
      <c r="J205" s="48" t="s">
        <v>127</v>
      </c>
      <c r="K205" s="20">
        <v>42884</v>
      </c>
      <c r="L205" s="32">
        <v>43980</v>
      </c>
      <c r="M205" s="21">
        <f t="shared" si="266"/>
        <v>83.983862657459213</v>
      </c>
      <c r="N205" s="14" t="s">
        <v>155</v>
      </c>
      <c r="O205" s="14" t="s">
        <v>156</v>
      </c>
      <c r="P205" s="14" t="s">
        <v>156</v>
      </c>
      <c r="Q205" s="42" t="s">
        <v>157</v>
      </c>
      <c r="R205" s="14" t="s">
        <v>36</v>
      </c>
      <c r="S205" s="23">
        <f t="shared" si="268"/>
        <v>13499438.890000001</v>
      </c>
      <c r="T205" s="23">
        <v>10886121.34</v>
      </c>
      <c r="U205" s="23">
        <v>2613317.5499999998</v>
      </c>
      <c r="V205" s="23">
        <f t="shared" si="267"/>
        <v>0</v>
      </c>
      <c r="W205" s="23">
        <v>0</v>
      </c>
      <c r="X205" s="23">
        <v>0</v>
      </c>
      <c r="Y205" s="23">
        <f t="shared" si="269"/>
        <v>2574409.66</v>
      </c>
      <c r="Z205" s="23">
        <v>1921080.25</v>
      </c>
      <c r="AA205" s="23">
        <v>653329.41</v>
      </c>
      <c r="AB205" s="23">
        <f t="shared" si="271"/>
        <v>0</v>
      </c>
      <c r="AC205" s="23"/>
      <c r="AD205" s="23"/>
      <c r="AE205" s="23">
        <f t="shared" si="214"/>
        <v>16073848.550000001</v>
      </c>
      <c r="AF205" s="23">
        <v>0</v>
      </c>
      <c r="AG205" s="26">
        <f t="shared" si="270"/>
        <v>16073848.550000001</v>
      </c>
      <c r="AH205" s="27" t="s">
        <v>585</v>
      </c>
      <c r="AI205" s="190" t="s">
        <v>1350</v>
      </c>
      <c r="AJ205" s="29">
        <f>2532656.95+321652.69+380360.36</f>
        <v>3234670</v>
      </c>
      <c r="AK205" s="49">
        <v>0</v>
      </c>
    </row>
    <row r="206" spans="1:37" ht="252" x14ac:dyDescent="0.25">
      <c r="A206" s="12">
        <v>202</v>
      </c>
      <c r="B206" s="13">
        <v>117841</v>
      </c>
      <c r="C206" s="8">
        <v>17</v>
      </c>
      <c r="D206" s="14" t="s">
        <v>173</v>
      </c>
      <c r="E206" s="18" t="s">
        <v>165</v>
      </c>
      <c r="F206" s="189" t="s">
        <v>125</v>
      </c>
      <c r="G206" s="17" t="s">
        <v>71</v>
      </c>
      <c r="H206" s="17" t="s">
        <v>70</v>
      </c>
      <c r="I206" s="14" t="s">
        <v>185</v>
      </c>
      <c r="J206" s="48" t="s">
        <v>676</v>
      </c>
      <c r="K206" s="20">
        <v>42482</v>
      </c>
      <c r="L206" s="32">
        <v>43760</v>
      </c>
      <c r="M206" s="21">
        <f t="shared" si="266"/>
        <v>83.983862907570995</v>
      </c>
      <c r="N206" s="14" t="s">
        <v>155</v>
      </c>
      <c r="O206" s="14" t="s">
        <v>156</v>
      </c>
      <c r="P206" s="14" t="s">
        <v>156</v>
      </c>
      <c r="Q206" s="42" t="s">
        <v>157</v>
      </c>
      <c r="R206" s="14" t="s">
        <v>36</v>
      </c>
      <c r="S206" s="23">
        <f t="shared" si="268"/>
        <v>9778588.4399999995</v>
      </c>
      <c r="T206" s="23">
        <v>7885579.6299999999</v>
      </c>
      <c r="U206" s="23">
        <v>1893008.81</v>
      </c>
      <c r="V206" s="23">
        <f t="shared" si="267"/>
        <v>0</v>
      </c>
      <c r="W206" s="23">
        <v>0</v>
      </c>
      <c r="X206" s="23">
        <v>0</v>
      </c>
      <c r="Y206" s="23">
        <f t="shared" si="269"/>
        <v>1864825.07</v>
      </c>
      <c r="Z206" s="23">
        <v>1391572.85</v>
      </c>
      <c r="AA206" s="23">
        <v>473252.22</v>
      </c>
      <c r="AB206" s="23">
        <f t="shared" si="271"/>
        <v>0</v>
      </c>
      <c r="AC206" s="23"/>
      <c r="AD206" s="23"/>
      <c r="AE206" s="23">
        <f t="shared" ref="AE206:AE270" si="272">S206+V206+Y206+AB206</f>
        <v>11643413.51</v>
      </c>
      <c r="AF206" s="23">
        <v>0</v>
      </c>
      <c r="AG206" s="26">
        <f t="shared" si="270"/>
        <v>11643413.51</v>
      </c>
      <c r="AH206" s="27" t="s">
        <v>585</v>
      </c>
      <c r="AI206" s="28" t="s">
        <v>675</v>
      </c>
      <c r="AJ206" s="29">
        <f>4914766.64+991433.5</f>
        <v>5906200.1399999997</v>
      </c>
      <c r="AK206" s="49">
        <v>0</v>
      </c>
    </row>
    <row r="207" spans="1:37" ht="252" x14ac:dyDescent="0.25">
      <c r="A207" s="14">
        <v>203</v>
      </c>
      <c r="B207" s="13">
        <v>119195</v>
      </c>
      <c r="C207" s="8">
        <v>18</v>
      </c>
      <c r="D207" s="14" t="s">
        <v>170</v>
      </c>
      <c r="E207" s="18" t="s">
        <v>165</v>
      </c>
      <c r="F207" s="189" t="s">
        <v>125</v>
      </c>
      <c r="G207" s="17" t="s">
        <v>73</v>
      </c>
      <c r="H207" s="17" t="s">
        <v>72</v>
      </c>
      <c r="I207" s="14" t="s">
        <v>185</v>
      </c>
      <c r="J207" s="48" t="s">
        <v>74</v>
      </c>
      <c r="K207" s="20">
        <v>42464</v>
      </c>
      <c r="L207" s="32">
        <v>43528</v>
      </c>
      <c r="M207" s="21">
        <f t="shared" si="266"/>
        <v>83.983863126060598</v>
      </c>
      <c r="N207" s="14" t="s">
        <v>155</v>
      </c>
      <c r="O207" s="14" t="s">
        <v>156</v>
      </c>
      <c r="P207" s="14" t="s">
        <v>156</v>
      </c>
      <c r="Q207" s="42" t="s">
        <v>157</v>
      </c>
      <c r="R207" s="14" t="s">
        <v>36</v>
      </c>
      <c r="S207" s="23">
        <f t="shared" si="268"/>
        <v>3168878.46</v>
      </c>
      <c r="T207" s="23">
        <v>2555424.39</v>
      </c>
      <c r="U207" s="23">
        <v>613454.06999999995</v>
      </c>
      <c r="V207" s="23">
        <f t="shared" si="267"/>
        <v>0</v>
      </c>
      <c r="W207" s="23">
        <v>0</v>
      </c>
      <c r="X207" s="23">
        <v>0</v>
      </c>
      <c r="Y207" s="23">
        <f t="shared" si="269"/>
        <v>604320.75</v>
      </c>
      <c r="Z207" s="23">
        <v>450957.23</v>
      </c>
      <c r="AA207" s="23">
        <v>153363.51999999999</v>
      </c>
      <c r="AB207" s="23">
        <f t="shared" si="271"/>
        <v>0</v>
      </c>
      <c r="AC207" s="23">
        <v>0</v>
      </c>
      <c r="AD207" s="23">
        <v>0</v>
      </c>
      <c r="AE207" s="23">
        <f t="shared" si="272"/>
        <v>3773199.21</v>
      </c>
      <c r="AF207" s="23">
        <v>0</v>
      </c>
      <c r="AG207" s="26">
        <f t="shared" si="270"/>
        <v>3773199.21</v>
      </c>
      <c r="AH207" s="27" t="s">
        <v>1073</v>
      </c>
      <c r="AI207" s="28" t="s">
        <v>1247</v>
      </c>
      <c r="AJ207" s="29">
        <f>452513.95+76690.71+72953.42+173284.84+106262.26+2063431.1</f>
        <v>2945136.2800000003</v>
      </c>
      <c r="AK207" s="49">
        <v>0</v>
      </c>
    </row>
    <row r="208" spans="1:37" ht="267.75" x14ac:dyDescent="0.25">
      <c r="A208" s="12">
        <v>204</v>
      </c>
      <c r="B208" s="13">
        <v>118157</v>
      </c>
      <c r="C208" s="8">
        <v>19</v>
      </c>
      <c r="D208" s="14" t="s">
        <v>168</v>
      </c>
      <c r="E208" s="18" t="s">
        <v>165</v>
      </c>
      <c r="F208" s="189" t="s">
        <v>125</v>
      </c>
      <c r="G208" s="17" t="s">
        <v>76</v>
      </c>
      <c r="H208" s="17" t="s">
        <v>75</v>
      </c>
      <c r="I208" s="14" t="s">
        <v>185</v>
      </c>
      <c r="J208" s="48" t="s">
        <v>77</v>
      </c>
      <c r="K208" s="20">
        <v>42446</v>
      </c>
      <c r="L208" s="32">
        <v>43541</v>
      </c>
      <c r="M208" s="21">
        <f t="shared" si="266"/>
        <v>83.983862865891041</v>
      </c>
      <c r="N208" s="14" t="s">
        <v>155</v>
      </c>
      <c r="O208" s="14" t="s">
        <v>156</v>
      </c>
      <c r="P208" s="14" t="s">
        <v>156</v>
      </c>
      <c r="Q208" s="42" t="s">
        <v>157</v>
      </c>
      <c r="R208" s="14" t="s">
        <v>36</v>
      </c>
      <c r="S208" s="23">
        <f t="shared" si="268"/>
        <v>3627735.48</v>
      </c>
      <c r="T208" s="23">
        <v>2925452.6</v>
      </c>
      <c r="U208" s="23">
        <v>702282.88</v>
      </c>
      <c r="V208" s="23">
        <f t="shared" si="267"/>
        <v>0</v>
      </c>
      <c r="W208" s="23">
        <v>0</v>
      </c>
      <c r="X208" s="23">
        <v>0</v>
      </c>
      <c r="Y208" s="23">
        <f t="shared" si="269"/>
        <v>691827.06</v>
      </c>
      <c r="Z208" s="23">
        <v>516256.34</v>
      </c>
      <c r="AA208" s="23">
        <v>175570.72</v>
      </c>
      <c r="AB208" s="23">
        <f t="shared" si="271"/>
        <v>0</v>
      </c>
      <c r="AC208" s="23"/>
      <c r="AD208" s="23"/>
      <c r="AE208" s="23">
        <f t="shared" si="272"/>
        <v>4319562.54</v>
      </c>
      <c r="AF208" s="23">
        <v>0</v>
      </c>
      <c r="AG208" s="26">
        <f t="shared" si="270"/>
        <v>4319562.54</v>
      </c>
      <c r="AH208" s="27" t="s">
        <v>1073</v>
      </c>
      <c r="AI208" s="28" t="s">
        <v>715</v>
      </c>
      <c r="AJ208" s="29">
        <v>637411.23</v>
      </c>
      <c r="AK208" s="49">
        <v>0</v>
      </c>
    </row>
    <row r="209" spans="1:37" ht="173.25" x14ac:dyDescent="0.25">
      <c r="A209" s="12">
        <v>205</v>
      </c>
      <c r="B209" s="13">
        <v>119196</v>
      </c>
      <c r="C209" s="8">
        <v>20</v>
      </c>
      <c r="D209" s="14" t="s">
        <v>170</v>
      </c>
      <c r="E209" s="18" t="s">
        <v>165</v>
      </c>
      <c r="F209" s="189" t="s">
        <v>125</v>
      </c>
      <c r="G209" s="17" t="s">
        <v>78</v>
      </c>
      <c r="H209" s="17" t="s">
        <v>72</v>
      </c>
      <c r="I209" s="14" t="s">
        <v>205</v>
      </c>
      <c r="J209" s="48" t="s">
        <v>79</v>
      </c>
      <c r="K209" s="20">
        <v>42464</v>
      </c>
      <c r="L209" s="32">
        <v>43925</v>
      </c>
      <c r="M209" s="21">
        <f t="shared" si="266"/>
        <v>83.983863025248297</v>
      </c>
      <c r="N209" s="14" t="s">
        <v>155</v>
      </c>
      <c r="O209" s="14" t="s">
        <v>156</v>
      </c>
      <c r="P209" s="14" t="s">
        <v>156</v>
      </c>
      <c r="Q209" s="42" t="s">
        <v>157</v>
      </c>
      <c r="R209" s="14" t="s">
        <v>36</v>
      </c>
      <c r="S209" s="23">
        <f t="shared" si="268"/>
        <v>14990338.920000002</v>
      </c>
      <c r="T209" s="23">
        <v>12088402.300000001</v>
      </c>
      <c r="U209" s="23">
        <v>2901936.62</v>
      </c>
      <c r="V209" s="23">
        <f t="shared" si="267"/>
        <v>0</v>
      </c>
      <c r="W209" s="23">
        <v>0</v>
      </c>
      <c r="X209" s="23">
        <v>0</v>
      </c>
      <c r="Y209" s="23">
        <f t="shared" si="269"/>
        <v>2858731.58</v>
      </c>
      <c r="Z209" s="23">
        <v>2133247.4300000002</v>
      </c>
      <c r="AA209" s="23">
        <v>725484.15</v>
      </c>
      <c r="AB209" s="23">
        <f t="shared" si="271"/>
        <v>0</v>
      </c>
      <c r="AC209" s="23"/>
      <c r="AD209" s="23"/>
      <c r="AE209" s="23">
        <f t="shared" si="272"/>
        <v>17849070.5</v>
      </c>
      <c r="AF209" s="23">
        <v>0</v>
      </c>
      <c r="AG209" s="26">
        <f t="shared" si="270"/>
        <v>17849070.5</v>
      </c>
      <c r="AH209" s="27" t="s">
        <v>585</v>
      </c>
      <c r="AI209" s="28" t="s">
        <v>1364</v>
      </c>
      <c r="AJ209" s="29">
        <f>770912.58+137660.46+105577.25+147498.87+3615037.95</f>
        <v>4776687.1100000003</v>
      </c>
      <c r="AK209" s="49">
        <v>0</v>
      </c>
    </row>
    <row r="210" spans="1:37" ht="409.5" x14ac:dyDescent="0.25">
      <c r="A210" s="14">
        <v>206</v>
      </c>
      <c r="B210" s="13">
        <v>118158</v>
      </c>
      <c r="C210" s="8">
        <v>21</v>
      </c>
      <c r="D210" s="14" t="s">
        <v>168</v>
      </c>
      <c r="E210" s="18" t="s">
        <v>165</v>
      </c>
      <c r="F210" s="189" t="s">
        <v>125</v>
      </c>
      <c r="G210" s="17" t="s">
        <v>80</v>
      </c>
      <c r="H210" s="17" t="s">
        <v>75</v>
      </c>
      <c r="I210" s="14" t="s">
        <v>436</v>
      </c>
      <c r="J210" s="48" t="s">
        <v>81</v>
      </c>
      <c r="K210" s="20">
        <v>42516</v>
      </c>
      <c r="L210" s="32">
        <v>43703</v>
      </c>
      <c r="M210" s="21">
        <f t="shared" si="266"/>
        <v>83.983862895923082</v>
      </c>
      <c r="N210" s="14" t="s">
        <v>155</v>
      </c>
      <c r="O210" s="14" t="s">
        <v>156</v>
      </c>
      <c r="P210" s="14" t="s">
        <v>156</v>
      </c>
      <c r="Q210" s="42" t="s">
        <v>157</v>
      </c>
      <c r="R210" s="14" t="s">
        <v>36</v>
      </c>
      <c r="S210" s="23">
        <f t="shared" si="268"/>
        <v>11413787.699999999</v>
      </c>
      <c r="T210" s="23">
        <v>9204225.3699999992</v>
      </c>
      <c r="U210" s="23">
        <v>2209562.33</v>
      </c>
      <c r="V210" s="23">
        <f t="shared" si="267"/>
        <v>0</v>
      </c>
      <c r="W210" s="23">
        <v>0</v>
      </c>
      <c r="X210" s="23">
        <v>0</v>
      </c>
      <c r="Y210" s="23">
        <f t="shared" si="269"/>
        <v>2176665.64</v>
      </c>
      <c r="Z210" s="23">
        <v>1624275.04</v>
      </c>
      <c r="AA210" s="23">
        <v>552390.6</v>
      </c>
      <c r="AB210" s="23">
        <f t="shared" si="271"/>
        <v>0</v>
      </c>
      <c r="AC210" s="23"/>
      <c r="AD210" s="23"/>
      <c r="AE210" s="23">
        <f t="shared" si="272"/>
        <v>13590453.34</v>
      </c>
      <c r="AF210" s="23">
        <v>16355.96</v>
      </c>
      <c r="AG210" s="26">
        <f t="shared" si="270"/>
        <v>13606809.300000001</v>
      </c>
      <c r="AH210" s="27" t="s">
        <v>585</v>
      </c>
      <c r="AI210" s="28" t="s">
        <v>1387</v>
      </c>
      <c r="AJ210" s="29">
        <f>7504368.77+277081.02</f>
        <v>7781449.7899999991</v>
      </c>
      <c r="AK210" s="49">
        <v>0</v>
      </c>
    </row>
    <row r="211" spans="1:37" ht="346.5" x14ac:dyDescent="0.25">
      <c r="A211" s="12">
        <v>207</v>
      </c>
      <c r="B211" s="13">
        <v>118159</v>
      </c>
      <c r="C211" s="8">
        <v>22</v>
      </c>
      <c r="D211" s="14" t="s">
        <v>176</v>
      </c>
      <c r="E211" s="18" t="s">
        <v>165</v>
      </c>
      <c r="F211" s="189" t="s">
        <v>125</v>
      </c>
      <c r="G211" s="17" t="s">
        <v>82</v>
      </c>
      <c r="H211" s="17" t="s">
        <v>75</v>
      </c>
      <c r="I211" s="14" t="s">
        <v>193</v>
      </c>
      <c r="J211" s="48" t="s">
        <v>83</v>
      </c>
      <c r="K211" s="20">
        <v>42446</v>
      </c>
      <c r="L211" s="32">
        <v>43176</v>
      </c>
      <c r="M211" s="21">
        <f t="shared" si="266"/>
        <v>83.983862881462997</v>
      </c>
      <c r="N211" s="14" t="s">
        <v>155</v>
      </c>
      <c r="O211" s="14" t="s">
        <v>156</v>
      </c>
      <c r="P211" s="14" t="s">
        <v>156</v>
      </c>
      <c r="Q211" s="42" t="s">
        <v>157</v>
      </c>
      <c r="R211" s="14" t="s">
        <v>36</v>
      </c>
      <c r="S211" s="23">
        <f t="shared" si="268"/>
        <v>13490539.449999999</v>
      </c>
      <c r="T211" s="23">
        <v>10878944.699999999</v>
      </c>
      <c r="U211" s="23">
        <v>2611594.75</v>
      </c>
      <c r="V211" s="23">
        <f t="shared" si="267"/>
        <v>0</v>
      </c>
      <c r="W211" s="23">
        <v>0</v>
      </c>
      <c r="X211" s="23">
        <v>0</v>
      </c>
      <c r="Y211" s="23">
        <f t="shared" si="269"/>
        <v>2572712.4500000002</v>
      </c>
      <c r="Z211" s="23">
        <v>1919813.76</v>
      </c>
      <c r="AA211" s="23">
        <v>652898.68999999994</v>
      </c>
      <c r="AB211" s="23">
        <f t="shared" si="271"/>
        <v>0</v>
      </c>
      <c r="AC211" s="23"/>
      <c r="AD211" s="23"/>
      <c r="AE211" s="23">
        <f t="shared" si="272"/>
        <v>16063251.899999999</v>
      </c>
      <c r="AF211" s="23">
        <v>0</v>
      </c>
      <c r="AG211" s="26">
        <f t="shared" si="270"/>
        <v>16063251.899999999</v>
      </c>
      <c r="AH211" s="27" t="s">
        <v>1073</v>
      </c>
      <c r="AI211" s="28" t="s">
        <v>209</v>
      </c>
      <c r="AJ211" s="29">
        <v>12372517.5</v>
      </c>
      <c r="AK211" s="49">
        <v>0</v>
      </c>
    </row>
    <row r="212" spans="1:37" ht="409.5" x14ac:dyDescent="0.25">
      <c r="A212" s="12">
        <v>208</v>
      </c>
      <c r="B212" s="13">
        <v>118427</v>
      </c>
      <c r="C212" s="8">
        <v>23</v>
      </c>
      <c r="D212" s="14" t="s">
        <v>171</v>
      </c>
      <c r="E212" s="18" t="s">
        <v>165</v>
      </c>
      <c r="F212" s="189" t="s">
        <v>125</v>
      </c>
      <c r="G212" s="17" t="s">
        <v>85</v>
      </c>
      <c r="H212" s="17" t="s">
        <v>84</v>
      </c>
      <c r="I212" s="14" t="s">
        <v>185</v>
      </c>
      <c r="J212" s="48" t="s">
        <v>86</v>
      </c>
      <c r="K212" s="20">
        <v>42459</v>
      </c>
      <c r="L212" s="32">
        <v>43524</v>
      </c>
      <c r="M212" s="21">
        <f t="shared" si="266"/>
        <v>83.983862468884851</v>
      </c>
      <c r="N212" s="14" t="s">
        <v>155</v>
      </c>
      <c r="O212" s="14" t="s">
        <v>156</v>
      </c>
      <c r="P212" s="14" t="s">
        <v>156</v>
      </c>
      <c r="Q212" s="42" t="s">
        <v>157</v>
      </c>
      <c r="R212" s="14" t="s">
        <v>36</v>
      </c>
      <c r="S212" s="23">
        <f>T212+U212</f>
        <v>6252507.0099999998</v>
      </c>
      <c r="T212" s="23">
        <v>5042102.18</v>
      </c>
      <c r="U212" s="23">
        <v>1210404.83</v>
      </c>
      <c r="V212" s="23">
        <f t="shared" si="267"/>
        <v>0</v>
      </c>
      <c r="W212" s="23">
        <v>0</v>
      </c>
      <c r="X212" s="23">
        <v>0</v>
      </c>
      <c r="Y212" s="23">
        <f t="shared" si="269"/>
        <v>1192383.98</v>
      </c>
      <c r="Z212" s="23">
        <v>889782.73</v>
      </c>
      <c r="AA212" s="23">
        <v>302601.25</v>
      </c>
      <c r="AB212" s="23">
        <f t="shared" si="271"/>
        <v>0</v>
      </c>
      <c r="AC212" s="23"/>
      <c r="AD212" s="23"/>
      <c r="AE212" s="23">
        <f t="shared" si="272"/>
        <v>7444890.9900000002</v>
      </c>
      <c r="AF212" s="23">
        <v>0</v>
      </c>
      <c r="AG212" s="26">
        <f t="shared" si="270"/>
        <v>7444890.9900000002</v>
      </c>
      <c r="AH212" s="27" t="s">
        <v>1073</v>
      </c>
      <c r="AI212" s="191" t="s">
        <v>1245</v>
      </c>
      <c r="AJ212" s="29">
        <f>2818184.2+870614.52+48419.22+1678613.18+827861.4</f>
        <v>6243692.5200000005</v>
      </c>
      <c r="AK212" s="49">
        <v>0</v>
      </c>
    </row>
    <row r="213" spans="1:37" ht="236.25" x14ac:dyDescent="0.25">
      <c r="A213" s="14">
        <v>209</v>
      </c>
      <c r="B213" s="13">
        <v>118584</v>
      </c>
      <c r="C213" s="8">
        <v>24</v>
      </c>
      <c r="D213" s="14" t="s">
        <v>1074</v>
      </c>
      <c r="E213" s="18" t="s">
        <v>165</v>
      </c>
      <c r="F213" s="189" t="s">
        <v>125</v>
      </c>
      <c r="G213" s="17" t="s">
        <v>88</v>
      </c>
      <c r="H213" s="17" t="s">
        <v>87</v>
      </c>
      <c r="I213" s="14" t="s">
        <v>185</v>
      </c>
      <c r="J213" s="48" t="s">
        <v>89</v>
      </c>
      <c r="K213" s="20">
        <v>42454</v>
      </c>
      <c r="L213" s="32">
        <v>43610</v>
      </c>
      <c r="M213" s="21">
        <f t="shared" si="266"/>
        <v>83.983862869823341</v>
      </c>
      <c r="N213" s="14" t="s">
        <v>155</v>
      </c>
      <c r="O213" s="14" t="s">
        <v>156</v>
      </c>
      <c r="P213" s="14" t="s">
        <v>156</v>
      </c>
      <c r="Q213" s="42" t="s">
        <v>157</v>
      </c>
      <c r="R213" s="14" t="s">
        <v>36</v>
      </c>
      <c r="S213" s="23">
        <f t="shared" si="268"/>
        <v>2984368.02</v>
      </c>
      <c r="T213" s="23">
        <v>2406632.79</v>
      </c>
      <c r="U213" s="23">
        <v>577735.23</v>
      </c>
      <c r="V213" s="23">
        <f t="shared" si="267"/>
        <v>0</v>
      </c>
      <c r="W213" s="23">
        <v>0</v>
      </c>
      <c r="X213" s="23">
        <v>0</v>
      </c>
      <c r="Y213" s="23">
        <f t="shared" si="269"/>
        <v>569133.71</v>
      </c>
      <c r="Z213" s="23">
        <v>424699.9</v>
      </c>
      <c r="AA213" s="23">
        <v>144433.81</v>
      </c>
      <c r="AB213" s="23">
        <f t="shared" si="271"/>
        <v>0</v>
      </c>
      <c r="AC213" s="23"/>
      <c r="AD213" s="23"/>
      <c r="AE213" s="23">
        <f t="shared" si="272"/>
        <v>3553501.73</v>
      </c>
      <c r="AF213" s="23"/>
      <c r="AG213" s="26">
        <f t="shared" si="270"/>
        <v>3553501.73</v>
      </c>
      <c r="AH213" s="27" t="s">
        <v>1073</v>
      </c>
      <c r="AI213" s="192" t="s">
        <v>1246</v>
      </c>
      <c r="AJ213" s="29">
        <f>1046822.23+91171.38+864543.62+93710.89</f>
        <v>2096248.1199999999</v>
      </c>
      <c r="AK213" s="49">
        <v>0</v>
      </c>
    </row>
    <row r="214" spans="1:37" ht="252" x14ac:dyDescent="0.25">
      <c r="A214" s="12">
        <v>210</v>
      </c>
      <c r="B214" s="13">
        <v>117834</v>
      </c>
      <c r="C214" s="8">
        <v>25</v>
      </c>
      <c r="D214" s="14" t="s">
        <v>171</v>
      </c>
      <c r="E214" s="18" t="s">
        <v>165</v>
      </c>
      <c r="F214" s="189" t="s">
        <v>125</v>
      </c>
      <c r="G214" s="17" t="s">
        <v>90</v>
      </c>
      <c r="H214" s="17" t="s">
        <v>84</v>
      </c>
      <c r="I214" s="14" t="s">
        <v>206</v>
      </c>
      <c r="J214" s="48" t="s">
        <v>91</v>
      </c>
      <c r="K214" s="20">
        <v>42459</v>
      </c>
      <c r="L214" s="32">
        <v>43464</v>
      </c>
      <c r="M214" s="21">
        <f t="shared" si="266"/>
        <v>83.983862877433253</v>
      </c>
      <c r="N214" s="14" t="s">
        <v>155</v>
      </c>
      <c r="O214" s="14" t="s">
        <v>156</v>
      </c>
      <c r="P214" s="14" t="s">
        <v>156</v>
      </c>
      <c r="Q214" s="42" t="s">
        <v>157</v>
      </c>
      <c r="R214" s="14" t="s">
        <v>36</v>
      </c>
      <c r="S214" s="23">
        <f t="shared" si="268"/>
        <v>11174376.890000001</v>
      </c>
      <c r="T214" s="23">
        <v>9011161.3900000006</v>
      </c>
      <c r="U214" s="23">
        <v>2163215.5</v>
      </c>
      <c r="V214" s="23">
        <f t="shared" si="267"/>
        <v>0</v>
      </c>
      <c r="W214" s="23">
        <v>0</v>
      </c>
      <c r="X214" s="23">
        <v>0</v>
      </c>
      <c r="Y214" s="23">
        <f t="shared" si="269"/>
        <v>2131008.8199999998</v>
      </c>
      <c r="Z214" s="23">
        <v>1590204.95</v>
      </c>
      <c r="AA214" s="23">
        <v>540803.87</v>
      </c>
      <c r="AB214" s="23">
        <f t="shared" si="271"/>
        <v>0</v>
      </c>
      <c r="AC214" s="23"/>
      <c r="AD214" s="23"/>
      <c r="AE214" s="23">
        <f t="shared" si="272"/>
        <v>13305385.710000001</v>
      </c>
      <c r="AF214" s="23">
        <v>0</v>
      </c>
      <c r="AG214" s="26">
        <f t="shared" si="270"/>
        <v>13305385.710000001</v>
      </c>
      <c r="AH214" s="27" t="s">
        <v>1073</v>
      </c>
      <c r="AI214" s="191" t="s">
        <v>1066</v>
      </c>
      <c r="AJ214" s="29">
        <v>11126144.5</v>
      </c>
      <c r="AK214" s="49">
        <v>0</v>
      </c>
    </row>
    <row r="215" spans="1:37" ht="346.5" x14ac:dyDescent="0.25">
      <c r="A215" s="12">
        <v>211</v>
      </c>
      <c r="B215" s="13">
        <v>118419</v>
      </c>
      <c r="C215" s="8">
        <v>26</v>
      </c>
      <c r="D215" s="14" t="s">
        <v>1074</v>
      </c>
      <c r="E215" s="18" t="s">
        <v>165</v>
      </c>
      <c r="F215" s="189" t="s">
        <v>125</v>
      </c>
      <c r="G215" s="17" t="s">
        <v>92</v>
      </c>
      <c r="H215" s="17" t="s">
        <v>84</v>
      </c>
      <c r="I215" s="14" t="s">
        <v>185</v>
      </c>
      <c r="J215" s="48" t="s">
        <v>93</v>
      </c>
      <c r="K215" s="20">
        <v>42458</v>
      </c>
      <c r="L215" s="32">
        <v>43553</v>
      </c>
      <c r="M215" s="21">
        <f t="shared" si="266"/>
        <v>83.983862783018438</v>
      </c>
      <c r="N215" s="14" t="s">
        <v>155</v>
      </c>
      <c r="O215" s="14" t="s">
        <v>156</v>
      </c>
      <c r="P215" s="14" t="s">
        <v>156</v>
      </c>
      <c r="Q215" s="42" t="s">
        <v>157</v>
      </c>
      <c r="R215" s="14" t="s">
        <v>36</v>
      </c>
      <c r="S215" s="23">
        <f t="shared" si="268"/>
        <v>3637178.37</v>
      </c>
      <c r="T215" s="23">
        <v>2933067.47</v>
      </c>
      <c r="U215" s="23">
        <v>704110.9</v>
      </c>
      <c r="V215" s="23">
        <f t="shared" si="267"/>
        <v>0</v>
      </c>
      <c r="W215" s="23">
        <v>0</v>
      </c>
      <c r="X215" s="23">
        <v>0</v>
      </c>
      <c r="Y215" s="23">
        <f t="shared" si="269"/>
        <v>693627.87</v>
      </c>
      <c r="Z215" s="23">
        <v>517600.14</v>
      </c>
      <c r="AA215" s="23">
        <v>176027.73</v>
      </c>
      <c r="AB215" s="23">
        <f t="shared" si="271"/>
        <v>0</v>
      </c>
      <c r="AC215" s="23"/>
      <c r="AD215" s="23"/>
      <c r="AE215" s="23">
        <f t="shared" si="272"/>
        <v>4330806.24</v>
      </c>
      <c r="AF215" s="23">
        <v>0</v>
      </c>
      <c r="AG215" s="26">
        <f t="shared" si="270"/>
        <v>4330806.24</v>
      </c>
      <c r="AH215" s="27" t="s">
        <v>1311</v>
      </c>
      <c r="AI215" s="192" t="s">
        <v>186</v>
      </c>
      <c r="AJ215" s="29">
        <f>2956760.5+333305.63</f>
        <v>3290066.13</v>
      </c>
      <c r="AK215" s="49">
        <v>0</v>
      </c>
    </row>
    <row r="216" spans="1:37" ht="409.5" x14ac:dyDescent="0.25">
      <c r="A216" s="14">
        <v>212</v>
      </c>
      <c r="B216" s="13">
        <v>118319</v>
      </c>
      <c r="C216" s="8">
        <v>27</v>
      </c>
      <c r="D216" s="14" t="s">
        <v>173</v>
      </c>
      <c r="E216" s="18" t="s">
        <v>165</v>
      </c>
      <c r="F216" s="189" t="s">
        <v>125</v>
      </c>
      <c r="G216" s="17" t="s">
        <v>95</v>
      </c>
      <c r="H216" s="17" t="s">
        <v>94</v>
      </c>
      <c r="I216" s="14" t="s">
        <v>198</v>
      </c>
      <c r="J216" s="48" t="s">
        <v>96</v>
      </c>
      <c r="K216" s="20">
        <v>42585</v>
      </c>
      <c r="L216" s="32">
        <v>43680</v>
      </c>
      <c r="M216" s="21">
        <f t="shared" si="266"/>
        <v>83.983862824473448</v>
      </c>
      <c r="N216" s="14" t="s">
        <v>155</v>
      </c>
      <c r="O216" s="14" t="s">
        <v>156</v>
      </c>
      <c r="P216" s="14" t="s">
        <v>156</v>
      </c>
      <c r="Q216" s="42" t="s">
        <v>157</v>
      </c>
      <c r="R216" s="14" t="s">
        <v>36</v>
      </c>
      <c r="S216" s="23">
        <f t="shared" si="268"/>
        <v>17052953.060000002</v>
      </c>
      <c r="T216" s="23">
        <v>13751720.9</v>
      </c>
      <c r="U216" s="23">
        <v>3301232.16</v>
      </c>
      <c r="V216" s="23">
        <f t="shared" si="267"/>
        <v>0</v>
      </c>
      <c r="W216" s="23">
        <v>0</v>
      </c>
      <c r="X216" s="23">
        <v>0</v>
      </c>
      <c r="Y216" s="23">
        <f t="shared" si="269"/>
        <v>3252082.32</v>
      </c>
      <c r="Z216" s="23">
        <v>2426774.2799999998</v>
      </c>
      <c r="AA216" s="23">
        <v>825308.04</v>
      </c>
      <c r="AB216" s="23">
        <f t="shared" si="271"/>
        <v>0</v>
      </c>
      <c r="AC216" s="23"/>
      <c r="AD216" s="23"/>
      <c r="AE216" s="23">
        <f t="shared" si="272"/>
        <v>20305035.380000003</v>
      </c>
      <c r="AF216" s="23">
        <v>0</v>
      </c>
      <c r="AG216" s="26">
        <f t="shared" si="270"/>
        <v>20305035.380000003</v>
      </c>
      <c r="AH216" s="27" t="s">
        <v>585</v>
      </c>
      <c r="AI216" s="28" t="s">
        <v>457</v>
      </c>
      <c r="AJ216" s="29">
        <f>13499794.97+716994.5+92062.31+258000</f>
        <v>14566851.780000001</v>
      </c>
      <c r="AK216" s="49">
        <v>0</v>
      </c>
    </row>
    <row r="217" spans="1:37" ht="346.5" x14ac:dyDescent="0.25">
      <c r="A217" s="12">
        <v>213</v>
      </c>
      <c r="B217" s="13"/>
      <c r="C217" s="8">
        <v>28</v>
      </c>
      <c r="D217" s="14" t="s">
        <v>168</v>
      </c>
      <c r="E217" s="18" t="s">
        <v>165</v>
      </c>
      <c r="F217" s="189" t="s">
        <v>125</v>
      </c>
      <c r="G217" s="17" t="s">
        <v>97</v>
      </c>
      <c r="H217" s="17" t="s">
        <v>84</v>
      </c>
      <c r="I217" s="14" t="s">
        <v>202</v>
      </c>
      <c r="J217" s="48" t="s">
        <v>98</v>
      </c>
      <c r="K217" s="20">
        <v>42515</v>
      </c>
      <c r="L217" s="32">
        <v>43886</v>
      </c>
      <c r="M217" s="21">
        <f t="shared" si="266"/>
        <v>83.983862862063091</v>
      </c>
      <c r="N217" s="14" t="s">
        <v>155</v>
      </c>
      <c r="O217" s="14" t="s">
        <v>156</v>
      </c>
      <c r="P217" s="14" t="s">
        <v>156</v>
      </c>
      <c r="Q217" s="42" t="s">
        <v>157</v>
      </c>
      <c r="R217" s="14" t="s">
        <v>36</v>
      </c>
      <c r="S217" s="23">
        <f t="shared" si="268"/>
        <v>36908560.949999996</v>
      </c>
      <c r="T217" s="23">
        <v>29763538.739999998</v>
      </c>
      <c r="U217" s="23">
        <v>7145022.21</v>
      </c>
      <c r="V217" s="23">
        <f t="shared" si="267"/>
        <v>0</v>
      </c>
      <c r="W217" s="23">
        <v>0</v>
      </c>
      <c r="X217" s="23">
        <v>0</v>
      </c>
      <c r="Y217" s="23">
        <f t="shared" si="269"/>
        <v>7038644.7300000004</v>
      </c>
      <c r="Z217" s="23">
        <v>5252389.1900000004</v>
      </c>
      <c r="AA217" s="23">
        <v>1786255.54</v>
      </c>
      <c r="AB217" s="23">
        <f t="shared" si="271"/>
        <v>0</v>
      </c>
      <c r="AC217" s="23"/>
      <c r="AD217" s="23"/>
      <c r="AE217" s="23">
        <f t="shared" si="272"/>
        <v>43947205.679999992</v>
      </c>
      <c r="AF217" s="23">
        <v>0</v>
      </c>
      <c r="AG217" s="26">
        <f t="shared" si="270"/>
        <v>43947205.679999992</v>
      </c>
      <c r="AH217" s="27" t="s">
        <v>585</v>
      </c>
      <c r="AI217" s="28" t="s">
        <v>1452</v>
      </c>
      <c r="AJ217" s="29">
        <f>14591533.85+314543.7</f>
        <v>14906077.549999999</v>
      </c>
      <c r="AK217" s="49">
        <v>0</v>
      </c>
    </row>
    <row r="218" spans="1:37" ht="362.25" x14ac:dyDescent="0.25">
      <c r="A218" s="12">
        <v>214</v>
      </c>
      <c r="B218" s="13">
        <v>119993</v>
      </c>
      <c r="C218" s="8">
        <v>29</v>
      </c>
      <c r="D218" s="14" t="s">
        <v>171</v>
      </c>
      <c r="E218" s="18" t="s">
        <v>165</v>
      </c>
      <c r="F218" s="189" t="s">
        <v>125</v>
      </c>
      <c r="G218" s="17" t="s">
        <v>100</v>
      </c>
      <c r="H218" s="17" t="s">
        <v>99</v>
      </c>
      <c r="I218" s="14" t="s">
        <v>207</v>
      </c>
      <c r="J218" s="48" t="s">
        <v>101</v>
      </c>
      <c r="K218" s="20">
        <v>42569</v>
      </c>
      <c r="L218" s="32">
        <v>44030</v>
      </c>
      <c r="M218" s="21">
        <f t="shared" si="266"/>
        <v>83.98386282616714</v>
      </c>
      <c r="N218" s="14" t="s">
        <v>155</v>
      </c>
      <c r="O218" s="14" t="s">
        <v>156</v>
      </c>
      <c r="P218" s="14" t="s">
        <v>156</v>
      </c>
      <c r="Q218" s="42" t="s">
        <v>157</v>
      </c>
      <c r="R218" s="14" t="s">
        <v>36</v>
      </c>
      <c r="S218" s="23">
        <f t="shared" si="268"/>
        <v>35912411.909999996</v>
      </c>
      <c r="T218" s="23">
        <v>28960231.329999998</v>
      </c>
      <c r="U218" s="23">
        <v>6952180.5800000001</v>
      </c>
      <c r="V218" s="23">
        <f t="shared" si="267"/>
        <v>0</v>
      </c>
      <c r="W218" s="23">
        <v>0</v>
      </c>
      <c r="X218" s="23">
        <v>0</v>
      </c>
      <c r="Y218" s="23">
        <f t="shared" si="269"/>
        <v>6848674.209999999</v>
      </c>
      <c r="Z218" s="23">
        <v>5110629.0599999996</v>
      </c>
      <c r="AA218" s="23">
        <v>1738045.15</v>
      </c>
      <c r="AB218" s="23">
        <f t="shared" si="271"/>
        <v>0</v>
      </c>
      <c r="AC218" s="23"/>
      <c r="AD218" s="23"/>
      <c r="AE218" s="23">
        <f t="shared" si="272"/>
        <v>42761086.119999997</v>
      </c>
      <c r="AF218" s="23">
        <v>0</v>
      </c>
      <c r="AG218" s="26">
        <f t="shared" si="270"/>
        <v>42761086.119999997</v>
      </c>
      <c r="AH218" s="27" t="s">
        <v>585</v>
      </c>
      <c r="AI218" s="191" t="s">
        <v>190</v>
      </c>
      <c r="AJ218" s="29">
        <v>28176.63</v>
      </c>
      <c r="AK218" s="49">
        <v>0</v>
      </c>
    </row>
    <row r="219" spans="1:37" ht="409.5" x14ac:dyDescent="0.25">
      <c r="A219" s="14">
        <v>215</v>
      </c>
      <c r="B219" s="13">
        <v>118292</v>
      </c>
      <c r="C219" s="8">
        <v>30</v>
      </c>
      <c r="D219" s="14" t="s">
        <v>174</v>
      </c>
      <c r="E219" s="18" t="s">
        <v>165</v>
      </c>
      <c r="F219" s="189" t="s">
        <v>125</v>
      </c>
      <c r="G219" s="17" t="s">
        <v>103</v>
      </c>
      <c r="H219" s="17" t="s">
        <v>102</v>
      </c>
      <c r="I219" s="14" t="s">
        <v>195</v>
      </c>
      <c r="J219" s="48" t="s">
        <v>104</v>
      </c>
      <c r="K219" s="20">
        <v>42446</v>
      </c>
      <c r="L219" s="32">
        <v>43237</v>
      </c>
      <c r="M219" s="21">
        <f t="shared" si="266"/>
        <v>83.983862811384185</v>
      </c>
      <c r="N219" s="14" t="s">
        <v>155</v>
      </c>
      <c r="O219" s="14" t="s">
        <v>156</v>
      </c>
      <c r="P219" s="14" t="s">
        <v>156</v>
      </c>
      <c r="Q219" s="42" t="s">
        <v>157</v>
      </c>
      <c r="R219" s="14" t="s">
        <v>36</v>
      </c>
      <c r="S219" s="23">
        <f t="shared" si="268"/>
        <v>23983572.759999998</v>
      </c>
      <c r="T219" s="23">
        <v>19340661.859999999</v>
      </c>
      <c r="U219" s="23">
        <v>4642910.9000000004</v>
      </c>
      <c r="V219" s="23">
        <f t="shared" si="267"/>
        <v>0</v>
      </c>
      <c r="W219" s="23">
        <v>0</v>
      </c>
      <c r="X219" s="23">
        <v>0</v>
      </c>
      <c r="Y219" s="23">
        <f t="shared" si="269"/>
        <v>4573785.71</v>
      </c>
      <c r="Z219" s="23">
        <v>3413057.98</v>
      </c>
      <c r="AA219" s="23">
        <v>1160727.73</v>
      </c>
      <c r="AB219" s="23">
        <f t="shared" si="271"/>
        <v>0</v>
      </c>
      <c r="AC219" s="23"/>
      <c r="AD219" s="23"/>
      <c r="AE219" s="23">
        <f t="shared" si="272"/>
        <v>28557358.469999999</v>
      </c>
      <c r="AF219" s="23">
        <v>54654.13</v>
      </c>
      <c r="AG219" s="26">
        <f t="shared" si="270"/>
        <v>28612012.599999998</v>
      </c>
      <c r="AH219" s="27" t="s">
        <v>1073</v>
      </c>
      <c r="AI219" s="28" t="s">
        <v>464</v>
      </c>
      <c r="AJ219" s="29">
        <v>20419622.34</v>
      </c>
      <c r="AK219" s="49">
        <v>0</v>
      </c>
    </row>
    <row r="220" spans="1:37" ht="236.25" x14ac:dyDescent="0.25">
      <c r="A220" s="12">
        <v>216</v>
      </c>
      <c r="B220" s="13">
        <v>120208</v>
      </c>
      <c r="C220" s="8">
        <v>47</v>
      </c>
      <c r="D220" s="14" t="s">
        <v>173</v>
      </c>
      <c r="E220" s="18" t="s">
        <v>165</v>
      </c>
      <c r="F220" s="189" t="s">
        <v>128</v>
      </c>
      <c r="G220" s="17" t="s">
        <v>677</v>
      </c>
      <c r="H220" s="17" t="s">
        <v>329</v>
      </c>
      <c r="I220" s="14" t="s">
        <v>185</v>
      </c>
      <c r="J220" s="48" t="s">
        <v>679</v>
      </c>
      <c r="K220" s="20">
        <v>42914</v>
      </c>
      <c r="L220" s="32">
        <v>44193</v>
      </c>
      <c r="M220" s="21">
        <f t="shared" si="266"/>
        <v>83.983862839866035</v>
      </c>
      <c r="N220" s="14" t="s">
        <v>155</v>
      </c>
      <c r="O220" s="14" t="s">
        <v>156</v>
      </c>
      <c r="P220" s="14" t="s">
        <v>156</v>
      </c>
      <c r="Q220" s="42" t="s">
        <v>157</v>
      </c>
      <c r="R220" s="14" t="s">
        <v>36</v>
      </c>
      <c r="S220" s="23">
        <f t="shared" si="268"/>
        <v>6085613.1800000006</v>
      </c>
      <c r="T220" s="23">
        <v>4907516.82</v>
      </c>
      <c r="U220" s="23">
        <v>1178096.3600000001</v>
      </c>
      <c r="V220" s="23">
        <f>W220+X220</f>
        <v>0</v>
      </c>
      <c r="W220" s="23">
        <v>0</v>
      </c>
      <c r="X220" s="23">
        <v>0</v>
      </c>
      <c r="Y220" s="23">
        <f t="shared" si="269"/>
        <v>1160556.47</v>
      </c>
      <c r="Z220" s="23">
        <v>866032.38</v>
      </c>
      <c r="AA220" s="23">
        <v>294524.09000000003</v>
      </c>
      <c r="AB220" s="23">
        <f t="shared" si="271"/>
        <v>0</v>
      </c>
      <c r="AC220" s="23"/>
      <c r="AD220" s="23"/>
      <c r="AE220" s="23">
        <f t="shared" si="272"/>
        <v>7246169.6500000004</v>
      </c>
      <c r="AF220" s="23">
        <v>0</v>
      </c>
      <c r="AG220" s="26">
        <f t="shared" si="270"/>
        <v>7246169.6500000004</v>
      </c>
      <c r="AH220" s="27" t="s">
        <v>585</v>
      </c>
      <c r="AI220" s="28" t="s">
        <v>1079</v>
      </c>
      <c r="AJ220" s="29">
        <f>318314.17+157541.59+137631.79+46368.47</f>
        <v>659856.02</v>
      </c>
      <c r="AK220" s="49">
        <v>0</v>
      </c>
    </row>
    <row r="221" spans="1:37" ht="330.75" x14ac:dyDescent="0.25">
      <c r="A221" s="12">
        <v>217</v>
      </c>
      <c r="B221" s="13">
        <v>119991</v>
      </c>
      <c r="C221" s="8">
        <v>48</v>
      </c>
      <c r="D221" s="14" t="s">
        <v>171</v>
      </c>
      <c r="E221" s="18" t="s">
        <v>165</v>
      </c>
      <c r="F221" s="189" t="s">
        <v>128</v>
      </c>
      <c r="G221" s="17" t="s">
        <v>130</v>
      </c>
      <c r="H221" s="17" t="s">
        <v>129</v>
      </c>
      <c r="I221" s="14" t="s">
        <v>185</v>
      </c>
      <c r="J221" s="48" t="s">
        <v>131</v>
      </c>
      <c r="K221" s="20">
        <v>43004</v>
      </c>
      <c r="L221" s="32">
        <v>43916</v>
      </c>
      <c r="M221" s="21">
        <f t="shared" si="266"/>
        <v>83.9838628091575</v>
      </c>
      <c r="N221" s="14" t="s">
        <v>155</v>
      </c>
      <c r="O221" s="14" t="s">
        <v>156</v>
      </c>
      <c r="P221" s="14" t="s">
        <v>156</v>
      </c>
      <c r="Q221" s="42" t="s">
        <v>157</v>
      </c>
      <c r="R221" s="14" t="s">
        <v>36</v>
      </c>
      <c r="S221" s="23">
        <f t="shared" si="268"/>
        <v>12597407.540000001</v>
      </c>
      <c r="T221" s="23">
        <v>10158711.630000001</v>
      </c>
      <c r="U221" s="23">
        <v>2438695.91</v>
      </c>
      <c r="V221" s="23">
        <f t="shared" si="267"/>
        <v>0</v>
      </c>
      <c r="W221" s="23">
        <v>0</v>
      </c>
      <c r="X221" s="23">
        <v>0</v>
      </c>
      <c r="Y221" s="23">
        <f t="shared" si="269"/>
        <v>2402387.7999999998</v>
      </c>
      <c r="Z221" s="23">
        <v>1792713.82</v>
      </c>
      <c r="AA221" s="23">
        <v>609673.98</v>
      </c>
      <c r="AB221" s="23">
        <f t="shared" si="271"/>
        <v>0</v>
      </c>
      <c r="AC221" s="23"/>
      <c r="AD221" s="23"/>
      <c r="AE221" s="23">
        <f t="shared" si="272"/>
        <v>14999795.34</v>
      </c>
      <c r="AF221" s="23">
        <v>2999990</v>
      </c>
      <c r="AG221" s="26">
        <f t="shared" si="270"/>
        <v>17999785.34</v>
      </c>
      <c r="AH221" s="27" t="s">
        <v>585</v>
      </c>
      <c r="AI221" s="190" t="s">
        <v>185</v>
      </c>
      <c r="AJ221" s="29">
        <v>0</v>
      </c>
      <c r="AK221" s="193">
        <v>0</v>
      </c>
    </row>
    <row r="222" spans="1:37" s="194" customFormat="1" ht="409.5" x14ac:dyDescent="0.25">
      <c r="A222" s="14">
        <v>218</v>
      </c>
      <c r="B222" s="13">
        <v>119992</v>
      </c>
      <c r="C222" s="8">
        <v>49</v>
      </c>
      <c r="D222" s="14" t="s">
        <v>171</v>
      </c>
      <c r="E222" s="18" t="s">
        <v>165</v>
      </c>
      <c r="F222" s="189" t="s">
        <v>128</v>
      </c>
      <c r="G222" s="17" t="s">
        <v>132</v>
      </c>
      <c r="H222" s="17" t="s">
        <v>129</v>
      </c>
      <c r="I222" s="14" t="s">
        <v>185</v>
      </c>
      <c r="J222" s="48" t="s">
        <v>133</v>
      </c>
      <c r="K222" s="20">
        <v>43004</v>
      </c>
      <c r="L222" s="32">
        <v>43916</v>
      </c>
      <c r="M222" s="21">
        <f t="shared" si="266"/>
        <v>83.98386278575461</v>
      </c>
      <c r="N222" s="14" t="s">
        <v>155</v>
      </c>
      <c r="O222" s="14" t="s">
        <v>156</v>
      </c>
      <c r="P222" s="14" t="s">
        <v>156</v>
      </c>
      <c r="Q222" s="42" t="s">
        <v>157</v>
      </c>
      <c r="R222" s="14" t="s">
        <v>36</v>
      </c>
      <c r="S222" s="23">
        <f t="shared" si="268"/>
        <v>11755282.280000001</v>
      </c>
      <c r="T222" s="23">
        <v>9479610.9800000004</v>
      </c>
      <c r="U222" s="23">
        <v>2275671.2999999998</v>
      </c>
      <c r="V222" s="23">
        <f t="shared" si="267"/>
        <v>0</v>
      </c>
      <c r="W222" s="23">
        <v>0</v>
      </c>
      <c r="X222" s="23">
        <v>0</v>
      </c>
      <c r="Y222" s="23">
        <f t="shared" si="269"/>
        <v>2241790.36</v>
      </c>
      <c r="Z222" s="23">
        <v>1672872.53</v>
      </c>
      <c r="AA222" s="23">
        <v>568917.82999999996</v>
      </c>
      <c r="AB222" s="23">
        <f t="shared" si="271"/>
        <v>0</v>
      </c>
      <c r="AC222" s="23"/>
      <c r="AD222" s="23"/>
      <c r="AE222" s="23">
        <f t="shared" si="272"/>
        <v>13997072.640000001</v>
      </c>
      <c r="AF222" s="23">
        <v>0</v>
      </c>
      <c r="AG222" s="26">
        <f t="shared" si="270"/>
        <v>13997072.640000001</v>
      </c>
      <c r="AH222" s="27" t="s">
        <v>585</v>
      </c>
      <c r="AI222" s="190" t="s">
        <v>185</v>
      </c>
      <c r="AJ222" s="29">
        <v>0</v>
      </c>
      <c r="AK222" s="193">
        <v>0</v>
      </c>
    </row>
    <row r="223" spans="1:37" s="194" customFormat="1" ht="283.5" x14ac:dyDescent="0.25">
      <c r="A223" s="12">
        <v>219</v>
      </c>
      <c r="B223" s="13">
        <v>119731</v>
      </c>
      <c r="C223" s="8">
        <v>51</v>
      </c>
      <c r="D223" s="14" t="s">
        <v>173</v>
      </c>
      <c r="E223" s="18" t="s">
        <v>165</v>
      </c>
      <c r="F223" s="189" t="s">
        <v>128</v>
      </c>
      <c r="G223" s="17" t="s">
        <v>134</v>
      </c>
      <c r="H223" s="17" t="s">
        <v>64</v>
      </c>
      <c r="I223" s="14" t="s">
        <v>185</v>
      </c>
      <c r="J223" s="48" t="s">
        <v>135</v>
      </c>
      <c r="K223" s="20">
        <v>42956</v>
      </c>
      <c r="L223" s="32">
        <v>43870</v>
      </c>
      <c r="M223" s="21">
        <f t="shared" si="266"/>
        <v>83.983862780427785</v>
      </c>
      <c r="N223" s="14" t="s">
        <v>155</v>
      </c>
      <c r="O223" s="14" t="s">
        <v>156</v>
      </c>
      <c r="P223" s="14" t="s">
        <v>156</v>
      </c>
      <c r="Q223" s="42" t="s">
        <v>157</v>
      </c>
      <c r="R223" s="14" t="s">
        <v>36</v>
      </c>
      <c r="S223" s="23">
        <f t="shared" si="268"/>
        <v>10449475.91</v>
      </c>
      <c r="T223" s="23">
        <v>8426591.9100000001</v>
      </c>
      <c r="U223" s="23">
        <v>2022884</v>
      </c>
      <c r="V223" s="23">
        <f t="shared" si="267"/>
        <v>0</v>
      </c>
      <c r="W223" s="23">
        <v>0</v>
      </c>
      <c r="X223" s="23">
        <v>0</v>
      </c>
      <c r="Y223" s="23">
        <f t="shared" si="269"/>
        <v>1992766.64</v>
      </c>
      <c r="Z223" s="23">
        <v>1487045.64</v>
      </c>
      <c r="AA223" s="23">
        <v>505721</v>
      </c>
      <c r="AB223" s="23">
        <f t="shared" si="271"/>
        <v>0</v>
      </c>
      <c r="AC223" s="23"/>
      <c r="AD223" s="23"/>
      <c r="AE223" s="23">
        <f t="shared" si="272"/>
        <v>12442242.550000001</v>
      </c>
      <c r="AF223" s="23">
        <v>0</v>
      </c>
      <c r="AG223" s="26">
        <f t="shared" si="270"/>
        <v>12442242.550000001</v>
      </c>
      <c r="AH223" s="27" t="s">
        <v>585</v>
      </c>
      <c r="AI223" s="190" t="s">
        <v>185</v>
      </c>
      <c r="AJ223" s="29">
        <f>69562.99+104629.25+99957.75+221484.48</f>
        <v>495634.47</v>
      </c>
      <c r="AK223" s="193">
        <v>0</v>
      </c>
    </row>
    <row r="224" spans="1:37" s="194" customFormat="1" ht="267.75" x14ac:dyDescent="0.25">
      <c r="A224" s="12">
        <v>220</v>
      </c>
      <c r="B224" s="13">
        <v>120194</v>
      </c>
      <c r="C224" s="8">
        <v>52</v>
      </c>
      <c r="D224" s="14" t="s">
        <v>170</v>
      </c>
      <c r="E224" s="18" t="s">
        <v>165</v>
      </c>
      <c r="F224" s="189" t="s">
        <v>128</v>
      </c>
      <c r="G224" s="17" t="s">
        <v>137</v>
      </c>
      <c r="H224" s="17" t="s">
        <v>136</v>
      </c>
      <c r="I224" s="14" t="s">
        <v>185</v>
      </c>
      <c r="J224" s="48" t="s">
        <v>138</v>
      </c>
      <c r="K224" s="20">
        <v>42963</v>
      </c>
      <c r="L224" s="32">
        <v>43877</v>
      </c>
      <c r="M224" s="21">
        <f t="shared" si="266"/>
        <v>83.983862831024851</v>
      </c>
      <c r="N224" s="14" t="s">
        <v>155</v>
      </c>
      <c r="O224" s="14" t="s">
        <v>156</v>
      </c>
      <c r="P224" s="14" t="s">
        <v>156</v>
      </c>
      <c r="Q224" s="42" t="s">
        <v>157</v>
      </c>
      <c r="R224" s="14" t="s">
        <v>36</v>
      </c>
      <c r="S224" s="23">
        <f t="shared" si="268"/>
        <v>12243037.969999999</v>
      </c>
      <c r="T224" s="23">
        <v>9872943.4499999993</v>
      </c>
      <c r="U224" s="23">
        <v>2370094.52</v>
      </c>
      <c r="V224" s="23">
        <f t="shared" si="267"/>
        <v>0</v>
      </c>
      <c r="W224" s="23">
        <v>0</v>
      </c>
      <c r="X224" s="23">
        <v>0</v>
      </c>
      <c r="Y224" s="23">
        <f t="shared" si="269"/>
        <v>2334807.77</v>
      </c>
      <c r="Z224" s="23">
        <v>1742284.14</v>
      </c>
      <c r="AA224" s="23">
        <v>592523.63</v>
      </c>
      <c r="AB224" s="23">
        <f t="shared" si="271"/>
        <v>0</v>
      </c>
      <c r="AC224" s="23"/>
      <c r="AD224" s="23"/>
      <c r="AE224" s="23">
        <f t="shared" si="272"/>
        <v>14577845.739999998</v>
      </c>
      <c r="AF224" s="23">
        <v>0</v>
      </c>
      <c r="AG224" s="26">
        <f t="shared" si="270"/>
        <v>14577845.739999998</v>
      </c>
      <c r="AH224" s="27" t="s">
        <v>585</v>
      </c>
      <c r="AI224" s="190" t="s">
        <v>185</v>
      </c>
      <c r="AJ224" s="29">
        <f>18637.33+286940.34+81387.29+339087.35</f>
        <v>726052.31</v>
      </c>
      <c r="AK224" s="193">
        <v>0</v>
      </c>
    </row>
    <row r="225" spans="1:37" s="194" customFormat="1" ht="409.5" x14ac:dyDescent="0.25">
      <c r="A225" s="14">
        <v>221</v>
      </c>
      <c r="B225" s="13">
        <v>119983</v>
      </c>
      <c r="C225" s="8">
        <v>58</v>
      </c>
      <c r="D225" s="14" t="s">
        <v>172</v>
      </c>
      <c r="E225" s="18" t="s">
        <v>165</v>
      </c>
      <c r="F225" s="189" t="s">
        <v>128</v>
      </c>
      <c r="G225" s="17" t="s">
        <v>139</v>
      </c>
      <c r="H225" s="17" t="s">
        <v>75</v>
      </c>
      <c r="I225" s="14" t="s">
        <v>194</v>
      </c>
      <c r="J225" s="48" t="s">
        <v>140</v>
      </c>
      <c r="K225" s="20">
        <v>42963</v>
      </c>
      <c r="L225" s="32">
        <v>43693</v>
      </c>
      <c r="M225" s="21">
        <f t="shared" si="266"/>
        <v>83.983862872994763</v>
      </c>
      <c r="N225" s="14" t="s">
        <v>155</v>
      </c>
      <c r="O225" s="14" t="s">
        <v>156</v>
      </c>
      <c r="P225" s="14" t="s">
        <v>156</v>
      </c>
      <c r="Q225" s="42" t="s">
        <v>157</v>
      </c>
      <c r="R225" s="14" t="s">
        <v>36</v>
      </c>
      <c r="S225" s="23">
        <f t="shared" si="268"/>
        <v>8062160.4699999997</v>
      </c>
      <c r="T225" s="23">
        <v>6501430</v>
      </c>
      <c r="U225" s="23">
        <v>1560730.47</v>
      </c>
      <c r="V225" s="23">
        <f t="shared" si="267"/>
        <v>0</v>
      </c>
      <c r="W225" s="23">
        <v>0</v>
      </c>
      <c r="X225" s="23">
        <v>0</v>
      </c>
      <c r="Y225" s="23">
        <f t="shared" si="269"/>
        <v>1537493.79</v>
      </c>
      <c r="Z225" s="23">
        <v>1147311.17</v>
      </c>
      <c r="AA225" s="23">
        <v>390182.62</v>
      </c>
      <c r="AB225" s="23">
        <f t="shared" si="271"/>
        <v>0</v>
      </c>
      <c r="AC225" s="23"/>
      <c r="AD225" s="23"/>
      <c r="AE225" s="23">
        <f t="shared" si="272"/>
        <v>9599654.2599999998</v>
      </c>
      <c r="AF225" s="23">
        <v>655333</v>
      </c>
      <c r="AG225" s="26">
        <f t="shared" si="270"/>
        <v>10254987.26</v>
      </c>
      <c r="AH225" s="27" t="s">
        <v>585</v>
      </c>
      <c r="AI225" s="190" t="s">
        <v>185</v>
      </c>
      <c r="AJ225" s="29">
        <f>27068+159937+61959.1+719797.57+221414.47</f>
        <v>1190176.1399999999</v>
      </c>
      <c r="AK225" s="193">
        <v>0</v>
      </c>
    </row>
    <row r="226" spans="1:37" ht="236.25" x14ac:dyDescent="0.25">
      <c r="A226" s="12">
        <v>222</v>
      </c>
      <c r="B226" s="13">
        <v>119622</v>
      </c>
      <c r="C226" s="8">
        <v>45</v>
      </c>
      <c r="D226" s="14" t="s">
        <v>173</v>
      </c>
      <c r="E226" s="18" t="s">
        <v>166</v>
      </c>
      <c r="F226" s="189" t="s">
        <v>182</v>
      </c>
      <c r="G226" s="17" t="s">
        <v>122</v>
      </c>
      <c r="H226" s="17" t="s">
        <v>121</v>
      </c>
      <c r="I226" s="14" t="s">
        <v>185</v>
      </c>
      <c r="J226" s="48" t="s">
        <v>123</v>
      </c>
      <c r="K226" s="20">
        <v>42793</v>
      </c>
      <c r="L226" s="32">
        <v>43765</v>
      </c>
      <c r="M226" s="21">
        <f t="shared" si="266"/>
        <v>83.983862835522956</v>
      </c>
      <c r="N226" s="14" t="s">
        <v>155</v>
      </c>
      <c r="O226" s="14" t="s">
        <v>156</v>
      </c>
      <c r="P226" s="14" t="s">
        <v>156</v>
      </c>
      <c r="Q226" s="42" t="s">
        <v>157</v>
      </c>
      <c r="R226" s="14" t="s">
        <v>36</v>
      </c>
      <c r="S226" s="23">
        <f t="shared" si="268"/>
        <v>37233996.450000003</v>
      </c>
      <c r="T226" s="23">
        <v>30025974.120000001</v>
      </c>
      <c r="U226" s="23">
        <v>7208022.3300000001</v>
      </c>
      <c r="V226" s="23">
        <f t="shared" si="267"/>
        <v>0</v>
      </c>
      <c r="W226" s="23">
        <v>0</v>
      </c>
      <c r="X226" s="23">
        <v>0</v>
      </c>
      <c r="Y226" s="23">
        <f t="shared" si="269"/>
        <v>7100706.9000000004</v>
      </c>
      <c r="Z226" s="23">
        <v>5298701.32</v>
      </c>
      <c r="AA226" s="23">
        <v>1802005.58</v>
      </c>
      <c r="AB226" s="23">
        <f t="shared" si="271"/>
        <v>0</v>
      </c>
      <c r="AC226" s="23"/>
      <c r="AD226" s="23"/>
      <c r="AE226" s="23">
        <f t="shared" si="272"/>
        <v>44334703.350000001</v>
      </c>
      <c r="AF226" s="23">
        <v>427346.26</v>
      </c>
      <c r="AG226" s="26">
        <f t="shared" si="270"/>
        <v>44762049.609999999</v>
      </c>
      <c r="AH226" s="27" t="s">
        <v>585</v>
      </c>
      <c r="AI226" s="195" t="s">
        <v>892</v>
      </c>
      <c r="AJ226" s="29">
        <f>4923177.41+2008542+5450879.77+3758413.79+2325826.28</f>
        <v>18466839.25</v>
      </c>
      <c r="AK226" s="193">
        <v>0</v>
      </c>
    </row>
    <row r="227" spans="1:37" ht="141.75" x14ac:dyDescent="0.25">
      <c r="A227" s="12">
        <v>223</v>
      </c>
      <c r="B227" s="13">
        <v>119689</v>
      </c>
      <c r="C227" s="8">
        <v>53</v>
      </c>
      <c r="D227" s="14" t="s">
        <v>173</v>
      </c>
      <c r="E227" s="18" t="s">
        <v>169</v>
      </c>
      <c r="F227" s="189" t="s">
        <v>142</v>
      </c>
      <c r="G227" s="17" t="s">
        <v>112</v>
      </c>
      <c r="H227" s="17" t="s">
        <v>111</v>
      </c>
      <c r="I227" s="14" t="s">
        <v>185</v>
      </c>
      <c r="J227" s="48" t="s">
        <v>113</v>
      </c>
      <c r="K227" s="20">
        <v>42943</v>
      </c>
      <c r="L227" s="32">
        <v>44039</v>
      </c>
      <c r="M227" s="21">
        <f t="shared" si="266"/>
        <v>83.983862843305559</v>
      </c>
      <c r="N227" s="14" t="s">
        <v>155</v>
      </c>
      <c r="O227" s="14" t="s">
        <v>156</v>
      </c>
      <c r="P227" s="14" t="s">
        <v>156</v>
      </c>
      <c r="Q227" s="42" t="s">
        <v>157</v>
      </c>
      <c r="R227" s="14" t="s">
        <v>36</v>
      </c>
      <c r="S227" s="23">
        <f t="shared" si="268"/>
        <v>46010993.850000001</v>
      </c>
      <c r="T227" s="23">
        <v>37103857.82</v>
      </c>
      <c r="U227" s="23">
        <v>8907136.0299999993</v>
      </c>
      <c r="V227" s="23">
        <f t="shared" si="267"/>
        <v>0</v>
      </c>
      <c r="W227" s="23">
        <v>0</v>
      </c>
      <c r="X227" s="23">
        <v>0</v>
      </c>
      <c r="Y227" s="23">
        <f t="shared" si="269"/>
        <v>8774523.620000001</v>
      </c>
      <c r="Z227" s="23">
        <v>6547739.6100000003</v>
      </c>
      <c r="AA227" s="23">
        <v>2226784.0099999998</v>
      </c>
      <c r="AB227" s="23">
        <f t="shared" si="271"/>
        <v>0</v>
      </c>
      <c r="AC227" s="23"/>
      <c r="AD227" s="23"/>
      <c r="AE227" s="23">
        <f t="shared" si="272"/>
        <v>54785517.469999999</v>
      </c>
      <c r="AF227" s="23">
        <v>0</v>
      </c>
      <c r="AG227" s="26">
        <f t="shared" si="270"/>
        <v>54785517.469999999</v>
      </c>
      <c r="AH227" s="27" t="s">
        <v>585</v>
      </c>
      <c r="AI227" s="28" t="s">
        <v>185</v>
      </c>
      <c r="AJ227" s="29">
        <f>159716.44+74879.59+127159.41+24852.51+91132.97</f>
        <v>477740.92000000004</v>
      </c>
      <c r="AK227" s="49">
        <v>0</v>
      </c>
    </row>
    <row r="228" spans="1:37" ht="252" x14ac:dyDescent="0.25">
      <c r="A228" s="14">
        <v>224</v>
      </c>
      <c r="B228" s="13">
        <v>119240</v>
      </c>
      <c r="C228" s="8">
        <v>54</v>
      </c>
      <c r="D228" s="14" t="s">
        <v>173</v>
      </c>
      <c r="E228" s="18" t="s">
        <v>169</v>
      </c>
      <c r="F228" s="189" t="s">
        <v>142</v>
      </c>
      <c r="G228" s="17" t="s">
        <v>114</v>
      </c>
      <c r="H228" s="17" t="s">
        <v>111</v>
      </c>
      <c r="I228" s="14" t="s">
        <v>185</v>
      </c>
      <c r="J228" s="48" t="s">
        <v>115</v>
      </c>
      <c r="K228" s="20">
        <v>42943</v>
      </c>
      <c r="L228" s="32">
        <v>44039</v>
      </c>
      <c r="M228" s="21">
        <f t="shared" si="266"/>
        <v>83.983862856059488</v>
      </c>
      <c r="N228" s="14" t="s">
        <v>155</v>
      </c>
      <c r="O228" s="14" t="s">
        <v>156</v>
      </c>
      <c r="P228" s="14" t="s">
        <v>156</v>
      </c>
      <c r="Q228" s="42" t="s">
        <v>157</v>
      </c>
      <c r="R228" s="14" t="s">
        <v>36</v>
      </c>
      <c r="S228" s="23">
        <f t="shared" si="268"/>
        <v>11805482.93</v>
      </c>
      <c r="T228" s="23">
        <v>9520093.4299999997</v>
      </c>
      <c r="U228" s="23">
        <v>2285389.5</v>
      </c>
      <c r="V228" s="23">
        <f t="shared" si="267"/>
        <v>0</v>
      </c>
      <c r="W228" s="23">
        <v>0</v>
      </c>
      <c r="X228" s="23">
        <v>0</v>
      </c>
      <c r="Y228" s="23">
        <f t="shared" si="269"/>
        <v>2251363.86</v>
      </c>
      <c r="Z228" s="23">
        <v>1680016.49</v>
      </c>
      <c r="AA228" s="23">
        <v>571347.37</v>
      </c>
      <c r="AB228" s="23">
        <f t="shared" si="271"/>
        <v>0</v>
      </c>
      <c r="AC228" s="23"/>
      <c r="AD228" s="23"/>
      <c r="AE228" s="23">
        <f t="shared" si="272"/>
        <v>14056846.789999999</v>
      </c>
      <c r="AF228" s="23">
        <v>216877.5</v>
      </c>
      <c r="AG228" s="26">
        <f t="shared" si="270"/>
        <v>14273724.289999999</v>
      </c>
      <c r="AH228" s="27" t="s">
        <v>585</v>
      </c>
      <c r="AI228" s="28" t="s">
        <v>185</v>
      </c>
      <c r="AJ228" s="29">
        <f>122452.96+57358.87+100383.61+47533.82+68603.68</f>
        <v>396332.94</v>
      </c>
      <c r="AK228" s="49">
        <v>0</v>
      </c>
    </row>
    <row r="229" spans="1:37" ht="330.75" x14ac:dyDescent="0.25">
      <c r="A229" s="12">
        <v>225</v>
      </c>
      <c r="B229" s="13">
        <v>120068</v>
      </c>
      <c r="C229" s="8">
        <v>55</v>
      </c>
      <c r="D229" s="14" t="s">
        <v>170</v>
      </c>
      <c r="E229" s="18" t="s">
        <v>169</v>
      </c>
      <c r="F229" s="189" t="s">
        <v>142</v>
      </c>
      <c r="G229" s="17" t="s">
        <v>117</v>
      </c>
      <c r="H229" s="17" t="s">
        <v>116</v>
      </c>
      <c r="I229" s="196" t="s">
        <v>192</v>
      </c>
      <c r="J229" s="48" t="s">
        <v>118</v>
      </c>
      <c r="K229" s="20">
        <v>43060</v>
      </c>
      <c r="L229" s="32">
        <v>43820</v>
      </c>
      <c r="M229" s="21">
        <f t="shared" si="266"/>
        <v>83.983862867470734</v>
      </c>
      <c r="N229" s="14" t="s">
        <v>155</v>
      </c>
      <c r="O229" s="14" t="s">
        <v>156</v>
      </c>
      <c r="P229" s="14" t="s">
        <v>156</v>
      </c>
      <c r="Q229" s="14" t="s">
        <v>157</v>
      </c>
      <c r="R229" s="14" t="s">
        <v>36</v>
      </c>
      <c r="S229" s="23">
        <f t="shared" si="268"/>
        <v>8678209.1799999997</v>
      </c>
      <c r="T229" s="23">
        <v>6998219.6100000003</v>
      </c>
      <c r="U229" s="23">
        <v>1679989.57</v>
      </c>
      <c r="V229" s="23">
        <f t="shared" si="267"/>
        <v>0</v>
      </c>
      <c r="W229" s="23">
        <v>0</v>
      </c>
      <c r="X229" s="23">
        <v>0</v>
      </c>
      <c r="Y229" s="23">
        <f t="shared" si="269"/>
        <v>1654977.3199999998</v>
      </c>
      <c r="Z229" s="23">
        <v>1234979.93</v>
      </c>
      <c r="AA229" s="23">
        <v>419997.39</v>
      </c>
      <c r="AB229" s="23">
        <f t="shared" si="271"/>
        <v>0</v>
      </c>
      <c r="AC229" s="23">
        <v>0</v>
      </c>
      <c r="AD229" s="23">
        <v>0</v>
      </c>
      <c r="AE229" s="23">
        <f t="shared" si="272"/>
        <v>10333186.5</v>
      </c>
      <c r="AF229" s="23">
        <v>0</v>
      </c>
      <c r="AG229" s="26">
        <f t="shared" si="270"/>
        <v>10333186.5</v>
      </c>
      <c r="AH229" s="27" t="s">
        <v>585</v>
      </c>
      <c r="AI229" s="28" t="s">
        <v>1212</v>
      </c>
      <c r="AJ229" s="29">
        <f>41796.8+106506.65</f>
        <v>148303.45000000001</v>
      </c>
      <c r="AK229" s="49">
        <v>0</v>
      </c>
    </row>
    <row r="230" spans="1:37" ht="141.75" x14ac:dyDescent="0.25">
      <c r="A230" s="12">
        <v>226</v>
      </c>
      <c r="B230" s="13">
        <v>120082</v>
      </c>
      <c r="C230" s="8">
        <v>56</v>
      </c>
      <c r="D230" s="14" t="s">
        <v>168</v>
      </c>
      <c r="E230" s="18" t="s">
        <v>169</v>
      </c>
      <c r="F230" s="189" t="s">
        <v>142</v>
      </c>
      <c r="G230" s="17" t="s">
        <v>143</v>
      </c>
      <c r="H230" s="17" t="s">
        <v>141</v>
      </c>
      <c r="I230" s="14" t="s">
        <v>204</v>
      </c>
      <c r="J230" s="48" t="s">
        <v>144</v>
      </c>
      <c r="K230" s="20">
        <v>43006</v>
      </c>
      <c r="L230" s="32">
        <v>44102</v>
      </c>
      <c r="M230" s="21">
        <f t="shared" si="266"/>
        <v>83.98386279749451</v>
      </c>
      <c r="N230" s="14" t="s">
        <v>155</v>
      </c>
      <c r="O230" s="14" t="s">
        <v>156</v>
      </c>
      <c r="P230" s="14" t="s">
        <v>156</v>
      </c>
      <c r="Q230" s="42" t="s">
        <v>157</v>
      </c>
      <c r="R230" s="14" t="s">
        <v>36</v>
      </c>
      <c r="S230" s="23">
        <f t="shared" si="268"/>
        <v>5145385.2700000005</v>
      </c>
      <c r="T230" s="23">
        <v>4149304.93</v>
      </c>
      <c r="U230" s="23">
        <v>996080.34</v>
      </c>
      <c r="V230" s="23">
        <f t="shared" si="267"/>
        <v>0</v>
      </c>
      <c r="W230" s="23">
        <v>0</v>
      </c>
      <c r="X230" s="23">
        <v>0</v>
      </c>
      <c r="Y230" s="23">
        <f t="shared" si="269"/>
        <v>981250.37</v>
      </c>
      <c r="Z230" s="23">
        <v>732230.28</v>
      </c>
      <c r="AA230" s="23">
        <v>249020.09</v>
      </c>
      <c r="AB230" s="23">
        <f t="shared" si="271"/>
        <v>0</v>
      </c>
      <c r="AC230" s="23"/>
      <c r="AD230" s="23"/>
      <c r="AE230" s="23">
        <f t="shared" si="272"/>
        <v>6126635.6400000006</v>
      </c>
      <c r="AF230" s="23">
        <v>0</v>
      </c>
      <c r="AG230" s="26">
        <f t="shared" si="270"/>
        <v>6126635.6400000006</v>
      </c>
      <c r="AH230" s="27" t="s">
        <v>585</v>
      </c>
      <c r="AI230" s="190" t="s">
        <v>185</v>
      </c>
      <c r="AJ230" s="29">
        <f>15818.36+6578.46+48495.02</f>
        <v>70891.839999999997</v>
      </c>
      <c r="AK230" s="49">
        <v>0</v>
      </c>
    </row>
    <row r="231" spans="1:37" ht="141.75" x14ac:dyDescent="0.25">
      <c r="A231" s="14">
        <v>227</v>
      </c>
      <c r="B231" s="13">
        <v>120126</v>
      </c>
      <c r="C231" s="8">
        <v>57</v>
      </c>
      <c r="D231" s="14" t="s">
        <v>168</v>
      </c>
      <c r="E231" s="18" t="s">
        <v>169</v>
      </c>
      <c r="F231" s="189" t="s">
        <v>142</v>
      </c>
      <c r="G231" s="17" t="s">
        <v>119</v>
      </c>
      <c r="H231" s="17" t="s">
        <v>116</v>
      </c>
      <c r="I231" s="14" t="s">
        <v>185</v>
      </c>
      <c r="J231" s="48" t="s">
        <v>120</v>
      </c>
      <c r="K231" s="20">
        <v>43060</v>
      </c>
      <c r="L231" s="32">
        <v>44094</v>
      </c>
      <c r="M231" s="21">
        <f t="shared" si="266"/>
        <v>83.98386273060467</v>
      </c>
      <c r="N231" s="14" t="s">
        <v>155</v>
      </c>
      <c r="O231" s="14" t="s">
        <v>156</v>
      </c>
      <c r="P231" s="14" t="s">
        <v>156</v>
      </c>
      <c r="Q231" s="42" t="s">
        <v>157</v>
      </c>
      <c r="R231" s="14" t="s">
        <v>36</v>
      </c>
      <c r="S231" s="23">
        <f t="shared" si="268"/>
        <v>2709276.16</v>
      </c>
      <c r="T231" s="23">
        <v>2184795.1800000002</v>
      </c>
      <c r="U231" s="23">
        <v>524480.98</v>
      </c>
      <c r="V231" s="23">
        <f t="shared" si="267"/>
        <v>0</v>
      </c>
      <c r="W231" s="23">
        <v>0</v>
      </c>
      <c r="X231" s="23">
        <v>0</v>
      </c>
      <c r="Y231" s="23">
        <f t="shared" si="269"/>
        <v>516672.34</v>
      </c>
      <c r="Z231" s="23">
        <v>385552.09</v>
      </c>
      <c r="AA231" s="23">
        <v>131120.25</v>
      </c>
      <c r="AB231" s="23">
        <f t="shared" si="271"/>
        <v>0</v>
      </c>
      <c r="AC231" s="23"/>
      <c r="AD231" s="23"/>
      <c r="AE231" s="23">
        <f t="shared" si="272"/>
        <v>3225948.5</v>
      </c>
      <c r="AF231" s="23">
        <v>0</v>
      </c>
      <c r="AG231" s="26">
        <f t="shared" si="270"/>
        <v>3225948.5</v>
      </c>
      <c r="AH231" s="27" t="s">
        <v>585</v>
      </c>
      <c r="AI231" s="197" t="s">
        <v>1388</v>
      </c>
      <c r="AJ231" s="29">
        <f>38081.64+10353.53+14871.03</f>
        <v>63306.2</v>
      </c>
      <c r="AK231" s="49">
        <v>0</v>
      </c>
    </row>
    <row r="232" spans="1:37" ht="409.5" x14ac:dyDescent="0.25">
      <c r="A232" s="12">
        <v>228</v>
      </c>
      <c r="B232" s="13">
        <v>119957</v>
      </c>
      <c r="C232" s="8">
        <v>136</v>
      </c>
      <c r="D232" s="14" t="s">
        <v>170</v>
      </c>
      <c r="E232" s="18" t="s">
        <v>178</v>
      </c>
      <c r="F232" s="189" t="s">
        <v>145</v>
      </c>
      <c r="G232" s="17" t="s">
        <v>146</v>
      </c>
      <c r="H232" s="17" t="s">
        <v>87</v>
      </c>
      <c r="I232" s="14" t="s">
        <v>200</v>
      </c>
      <c r="J232" s="48" t="s">
        <v>147</v>
      </c>
      <c r="K232" s="20">
        <v>43047</v>
      </c>
      <c r="L232" s="32">
        <v>43838</v>
      </c>
      <c r="M232" s="21">
        <f t="shared" si="266"/>
        <v>83.983862631165763</v>
      </c>
      <c r="N232" s="14" t="s">
        <v>155</v>
      </c>
      <c r="O232" s="14" t="s">
        <v>156</v>
      </c>
      <c r="P232" s="14" t="s">
        <v>156</v>
      </c>
      <c r="Q232" s="42" t="s">
        <v>157</v>
      </c>
      <c r="R232" s="14" t="s">
        <v>36</v>
      </c>
      <c r="S232" s="23">
        <f t="shared" si="268"/>
        <v>30804926.460000001</v>
      </c>
      <c r="T232" s="23">
        <v>24841489.309999999</v>
      </c>
      <c r="U232" s="23">
        <v>5963437.1500000004</v>
      </c>
      <c r="V232" s="23">
        <f t="shared" si="267"/>
        <v>0</v>
      </c>
      <c r="W232" s="23">
        <v>0</v>
      </c>
      <c r="X232" s="23">
        <v>0</v>
      </c>
      <c r="Y232" s="23">
        <f t="shared" si="269"/>
        <v>5874651.6099999994</v>
      </c>
      <c r="Z232" s="23">
        <v>4383792.3</v>
      </c>
      <c r="AA232" s="23">
        <v>1490859.31</v>
      </c>
      <c r="AB232" s="23">
        <f t="shared" si="271"/>
        <v>0</v>
      </c>
      <c r="AC232" s="23"/>
      <c r="AD232" s="23"/>
      <c r="AE232" s="23">
        <f t="shared" si="272"/>
        <v>36679578.07</v>
      </c>
      <c r="AF232" s="23">
        <v>0</v>
      </c>
      <c r="AG232" s="26">
        <f t="shared" si="270"/>
        <v>36679578.07</v>
      </c>
      <c r="AH232" s="27" t="s">
        <v>585</v>
      </c>
      <c r="AI232" s="190" t="s">
        <v>1436</v>
      </c>
      <c r="AJ232" s="29">
        <f>279828.68+528409.7+438718.76+190085.92+282362.84+626562.73</f>
        <v>2345968.63</v>
      </c>
      <c r="AK232" s="49">
        <v>0</v>
      </c>
    </row>
    <row r="233" spans="1:37" s="194" customFormat="1" ht="330.75" x14ac:dyDescent="0.25">
      <c r="A233" s="12">
        <v>229</v>
      </c>
      <c r="B233" s="13">
        <v>118963</v>
      </c>
      <c r="C233" s="8">
        <v>34</v>
      </c>
      <c r="D233" s="14" t="s">
        <v>173</v>
      </c>
      <c r="E233" s="18" t="s">
        <v>167</v>
      </c>
      <c r="F233" s="189" t="s">
        <v>181</v>
      </c>
      <c r="G233" s="17" t="s">
        <v>105</v>
      </c>
      <c r="H233" s="17" t="s">
        <v>87</v>
      </c>
      <c r="I233" s="14" t="s">
        <v>552</v>
      </c>
      <c r="J233" s="48" t="s">
        <v>106</v>
      </c>
      <c r="K233" s="20">
        <v>42629</v>
      </c>
      <c r="L233" s="32">
        <v>43540</v>
      </c>
      <c r="M233" s="21">
        <f t="shared" si="266"/>
        <v>83.983862803496507</v>
      </c>
      <c r="N233" s="14" t="s">
        <v>155</v>
      </c>
      <c r="O233" s="14" t="s">
        <v>156</v>
      </c>
      <c r="P233" s="14" t="s">
        <v>156</v>
      </c>
      <c r="Q233" s="42" t="s">
        <v>157</v>
      </c>
      <c r="R233" s="14" t="s">
        <v>36</v>
      </c>
      <c r="S233" s="23">
        <f t="shared" si="268"/>
        <v>4117071.25</v>
      </c>
      <c r="T233" s="23">
        <v>3320059.26</v>
      </c>
      <c r="U233" s="23">
        <v>797011.99</v>
      </c>
      <c r="V233" s="23">
        <f t="shared" si="267"/>
        <v>0</v>
      </c>
      <c r="W233" s="23">
        <v>0</v>
      </c>
      <c r="X233" s="23">
        <v>0</v>
      </c>
      <c r="Y233" s="23">
        <f t="shared" si="269"/>
        <v>785145.81</v>
      </c>
      <c r="Z233" s="23">
        <v>585892.81000000006</v>
      </c>
      <c r="AA233" s="23">
        <v>199253</v>
      </c>
      <c r="AB233" s="23">
        <f t="shared" si="271"/>
        <v>0</v>
      </c>
      <c r="AC233" s="23"/>
      <c r="AD233" s="23"/>
      <c r="AE233" s="23">
        <f t="shared" si="272"/>
        <v>4902217.0600000005</v>
      </c>
      <c r="AF233" s="23">
        <v>0</v>
      </c>
      <c r="AG233" s="26">
        <f t="shared" si="270"/>
        <v>4902217.0600000005</v>
      </c>
      <c r="AH233" s="27" t="s">
        <v>1311</v>
      </c>
      <c r="AI233" s="28" t="s">
        <v>187</v>
      </c>
      <c r="AJ233" s="29">
        <f>1460741.83+228438.52+391513.86+234930.38+421082.6+869050.66</f>
        <v>3605757.85</v>
      </c>
      <c r="AK233" s="49">
        <v>0</v>
      </c>
    </row>
    <row r="234" spans="1:37" s="194" customFormat="1" ht="141.75" x14ac:dyDescent="0.25">
      <c r="A234" s="14">
        <v>230</v>
      </c>
      <c r="B234" s="13">
        <v>118964</v>
      </c>
      <c r="C234" s="8">
        <v>35</v>
      </c>
      <c r="D234" s="14" t="s">
        <v>170</v>
      </c>
      <c r="E234" s="18" t="s">
        <v>167</v>
      </c>
      <c r="F234" s="189" t="s">
        <v>181</v>
      </c>
      <c r="G234" s="17" t="s">
        <v>107</v>
      </c>
      <c r="H234" s="17" t="s">
        <v>87</v>
      </c>
      <c r="I234" s="14" t="s">
        <v>842</v>
      </c>
      <c r="J234" s="48" t="s">
        <v>108</v>
      </c>
      <c r="K234" s="20">
        <v>42670</v>
      </c>
      <c r="L234" s="32">
        <v>43796</v>
      </c>
      <c r="M234" s="21">
        <f t="shared" si="266"/>
        <v>83.983860041638508</v>
      </c>
      <c r="N234" s="14" t="s">
        <v>155</v>
      </c>
      <c r="O234" s="14" t="s">
        <v>156</v>
      </c>
      <c r="P234" s="14" t="s">
        <v>156</v>
      </c>
      <c r="Q234" s="42" t="s">
        <v>157</v>
      </c>
      <c r="R234" s="14" t="s">
        <v>36</v>
      </c>
      <c r="S234" s="23">
        <f t="shared" si="268"/>
        <v>1279634.26</v>
      </c>
      <c r="T234" s="23">
        <v>1031913.55</v>
      </c>
      <c r="U234" s="23">
        <v>247720.71</v>
      </c>
      <c r="V234" s="23">
        <f t="shared" si="267"/>
        <v>0</v>
      </c>
      <c r="W234" s="23">
        <v>0</v>
      </c>
      <c r="X234" s="23">
        <v>0</v>
      </c>
      <c r="Y234" s="23">
        <f t="shared" si="269"/>
        <v>244032.62</v>
      </c>
      <c r="Z234" s="23">
        <v>182102.42</v>
      </c>
      <c r="AA234" s="23">
        <v>61930.2</v>
      </c>
      <c r="AB234" s="23">
        <f t="shared" si="271"/>
        <v>0</v>
      </c>
      <c r="AC234" s="23"/>
      <c r="AD234" s="23"/>
      <c r="AE234" s="23">
        <f t="shared" si="272"/>
        <v>1523666.88</v>
      </c>
      <c r="AF234" s="23">
        <v>0</v>
      </c>
      <c r="AG234" s="26">
        <f t="shared" si="270"/>
        <v>1523666.88</v>
      </c>
      <c r="AH234" s="27" t="s">
        <v>585</v>
      </c>
      <c r="AI234" s="28" t="s">
        <v>1425</v>
      </c>
      <c r="AJ234" s="29">
        <f>122689.41+119337.51+49801.59</f>
        <v>291828.51</v>
      </c>
      <c r="AK234" s="49">
        <v>0</v>
      </c>
    </row>
    <row r="235" spans="1:37" s="194" customFormat="1" ht="236.25" x14ac:dyDescent="0.25">
      <c r="A235" s="12">
        <v>231</v>
      </c>
      <c r="B235" s="13">
        <v>119981</v>
      </c>
      <c r="C235" s="8">
        <v>36</v>
      </c>
      <c r="D235" s="14" t="s">
        <v>1074</v>
      </c>
      <c r="E235" s="18" t="s">
        <v>167</v>
      </c>
      <c r="F235" s="189" t="s">
        <v>181</v>
      </c>
      <c r="G235" s="17" t="s">
        <v>109</v>
      </c>
      <c r="H235" s="17" t="s">
        <v>84</v>
      </c>
      <c r="I235" s="14" t="s">
        <v>185</v>
      </c>
      <c r="J235" s="48" t="s">
        <v>110</v>
      </c>
      <c r="K235" s="20">
        <v>42579</v>
      </c>
      <c r="L235" s="32">
        <v>43462</v>
      </c>
      <c r="M235" s="21">
        <f t="shared" si="266"/>
        <v>83.983863111728837</v>
      </c>
      <c r="N235" s="14" t="s">
        <v>155</v>
      </c>
      <c r="O235" s="14" t="s">
        <v>156</v>
      </c>
      <c r="P235" s="14" t="s">
        <v>156</v>
      </c>
      <c r="Q235" s="42" t="s">
        <v>157</v>
      </c>
      <c r="R235" s="14" t="s">
        <v>36</v>
      </c>
      <c r="S235" s="23">
        <f t="shared" si="268"/>
        <v>1627939.8599999999</v>
      </c>
      <c r="T235" s="23">
        <v>1312791.6599999999</v>
      </c>
      <c r="U235" s="23">
        <v>315148.2</v>
      </c>
      <c r="V235" s="23">
        <f t="shared" si="267"/>
        <v>0</v>
      </c>
      <c r="W235" s="23">
        <v>0</v>
      </c>
      <c r="X235" s="23">
        <v>0</v>
      </c>
      <c r="Y235" s="23">
        <f t="shared" si="269"/>
        <v>310456.15999999997</v>
      </c>
      <c r="Z235" s="23">
        <v>231669.11</v>
      </c>
      <c r="AA235" s="23">
        <v>78787.05</v>
      </c>
      <c r="AB235" s="23">
        <f t="shared" si="271"/>
        <v>0</v>
      </c>
      <c r="AC235" s="23"/>
      <c r="AD235" s="23"/>
      <c r="AE235" s="23">
        <f t="shared" si="272"/>
        <v>1938396.0199999998</v>
      </c>
      <c r="AF235" s="23">
        <v>0</v>
      </c>
      <c r="AG235" s="26">
        <f t="shared" si="270"/>
        <v>1938396.0199999998</v>
      </c>
      <c r="AH235" s="27" t="s">
        <v>1073</v>
      </c>
      <c r="AI235" s="28" t="s">
        <v>188</v>
      </c>
      <c r="AJ235" s="29">
        <f>559604.06+125761.16+33457.13+622518.23+7475.79+33855.21+3996.8</f>
        <v>1386668.3800000001</v>
      </c>
      <c r="AK235" s="49">
        <v>0</v>
      </c>
    </row>
    <row r="236" spans="1:37" s="194" customFormat="1" ht="315" x14ac:dyDescent="0.25">
      <c r="A236" s="12">
        <v>232</v>
      </c>
      <c r="B236" s="13">
        <v>120414</v>
      </c>
      <c r="C236" s="8">
        <v>61</v>
      </c>
      <c r="D236" s="14" t="s">
        <v>173</v>
      </c>
      <c r="E236" s="18" t="s">
        <v>167</v>
      </c>
      <c r="F236" s="189" t="s">
        <v>148</v>
      </c>
      <c r="G236" s="17" t="s">
        <v>149</v>
      </c>
      <c r="H236" s="17" t="s">
        <v>329</v>
      </c>
      <c r="I236" s="14" t="s">
        <v>199</v>
      </c>
      <c r="J236" s="48" t="s">
        <v>678</v>
      </c>
      <c r="K236" s="20">
        <v>42893</v>
      </c>
      <c r="L236" s="32">
        <v>43928</v>
      </c>
      <c r="M236" s="21">
        <f t="shared" si="266"/>
        <v>83.395347070002629</v>
      </c>
      <c r="N236" s="14" t="s">
        <v>155</v>
      </c>
      <c r="O236" s="14" t="s">
        <v>156</v>
      </c>
      <c r="P236" s="14" t="s">
        <v>156</v>
      </c>
      <c r="Q236" s="42" t="s">
        <v>157</v>
      </c>
      <c r="R236" s="14" t="s">
        <v>36</v>
      </c>
      <c r="S236" s="23">
        <f t="shared" si="268"/>
        <v>9816719.1999999993</v>
      </c>
      <c r="T236" s="23">
        <v>7916328.7599999998</v>
      </c>
      <c r="U236" s="23">
        <v>1900390.44</v>
      </c>
      <c r="V236" s="23">
        <f t="shared" si="267"/>
        <v>647352.26</v>
      </c>
      <c r="W236" s="23">
        <v>483068.28</v>
      </c>
      <c r="X236" s="23">
        <v>164283.98000000001</v>
      </c>
      <c r="Y236" s="23">
        <f t="shared" si="269"/>
        <v>1307231.79</v>
      </c>
      <c r="Z236" s="23">
        <v>979654.51000000013</v>
      </c>
      <c r="AA236" s="23">
        <v>327577.27999999997</v>
      </c>
      <c r="AB236" s="23">
        <f t="shared" si="271"/>
        <v>0</v>
      </c>
      <c r="AC236" s="23"/>
      <c r="AD236" s="23"/>
      <c r="AE236" s="23">
        <f t="shared" si="272"/>
        <v>11771303.25</v>
      </c>
      <c r="AF236" s="23">
        <v>0</v>
      </c>
      <c r="AG236" s="26">
        <f t="shared" si="270"/>
        <v>11771303.25</v>
      </c>
      <c r="AH236" s="27" t="s">
        <v>585</v>
      </c>
      <c r="AI236" s="28" t="s">
        <v>1288</v>
      </c>
      <c r="AJ236" s="29">
        <v>1693123.23</v>
      </c>
      <c r="AK236" s="29">
        <v>67677.87</v>
      </c>
    </row>
    <row r="237" spans="1:37" ht="173.25" x14ac:dyDescent="0.25">
      <c r="A237" s="14">
        <v>233</v>
      </c>
      <c r="B237" s="13">
        <v>119988</v>
      </c>
      <c r="C237" s="8">
        <v>62</v>
      </c>
      <c r="D237" s="14" t="s">
        <v>170</v>
      </c>
      <c r="E237" s="18" t="s">
        <v>167</v>
      </c>
      <c r="F237" s="189" t="s">
        <v>148</v>
      </c>
      <c r="G237" s="17" t="s">
        <v>150</v>
      </c>
      <c r="H237" s="17" t="s">
        <v>116</v>
      </c>
      <c r="I237" s="198" t="s">
        <v>208</v>
      </c>
      <c r="J237" s="48" t="s">
        <v>151</v>
      </c>
      <c r="K237" s="20">
        <v>43060</v>
      </c>
      <c r="L237" s="32">
        <v>43911</v>
      </c>
      <c r="M237" s="21">
        <f t="shared" si="266"/>
        <v>83.983862836233868</v>
      </c>
      <c r="N237" s="14" t="s">
        <v>155</v>
      </c>
      <c r="O237" s="14" t="s">
        <v>156</v>
      </c>
      <c r="P237" s="14" t="s">
        <v>156</v>
      </c>
      <c r="Q237" s="42" t="s">
        <v>157</v>
      </c>
      <c r="R237" s="14" t="s">
        <v>36</v>
      </c>
      <c r="S237" s="23">
        <f t="shared" si="268"/>
        <v>3950537.5</v>
      </c>
      <c r="T237" s="23">
        <v>3185764.3</v>
      </c>
      <c r="U237" s="23">
        <v>764773.2</v>
      </c>
      <c r="V237" s="23">
        <f t="shared" si="267"/>
        <v>0</v>
      </c>
      <c r="W237" s="23">
        <v>0</v>
      </c>
      <c r="X237" s="23">
        <v>0</v>
      </c>
      <c r="Y237" s="23">
        <f t="shared" si="269"/>
        <v>753387</v>
      </c>
      <c r="Z237" s="23">
        <v>562193.69999999995</v>
      </c>
      <c r="AA237" s="23">
        <v>191193.3</v>
      </c>
      <c r="AB237" s="23">
        <f t="shared" si="271"/>
        <v>0</v>
      </c>
      <c r="AC237" s="23"/>
      <c r="AD237" s="23"/>
      <c r="AE237" s="23">
        <f t="shared" si="272"/>
        <v>4703924.5</v>
      </c>
      <c r="AF237" s="23"/>
      <c r="AG237" s="26">
        <f t="shared" si="270"/>
        <v>4703924.5</v>
      </c>
      <c r="AH237" s="27" t="s">
        <v>585</v>
      </c>
      <c r="AI237" s="28" t="s">
        <v>185</v>
      </c>
      <c r="AJ237" s="29">
        <f>143481.84+21902.16+29844.51</f>
        <v>195228.51</v>
      </c>
      <c r="AK237" s="29">
        <v>0</v>
      </c>
    </row>
    <row r="238" spans="1:37" ht="315" x14ac:dyDescent="0.25">
      <c r="A238" s="12">
        <v>234</v>
      </c>
      <c r="B238" s="13">
        <v>119741</v>
      </c>
      <c r="C238" s="8">
        <v>63</v>
      </c>
      <c r="D238" s="14" t="s">
        <v>170</v>
      </c>
      <c r="E238" s="18" t="s">
        <v>167</v>
      </c>
      <c r="F238" s="189" t="s">
        <v>148</v>
      </c>
      <c r="G238" s="30" t="s">
        <v>153</v>
      </c>
      <c r="H238" s="17" t="s">
        <v>152</v>
      </c>
      <c r="I238" s="14" t="s">
        <v>185</v>
      </c>
      <c r="J238" s="48" t="s">
        <v>154</v>
      </c>
      <c r="K238" s="20">
        <v>43063</v>
      </c>
      <c r="L238" s="32">
        <v>43793</v>
      </c>
      <c r="M238" s="21">
        <f t="shared" si="266"/>
        <v>83.983862837339956</v>
      </c>
      <c r="N238" s="14" t="s">
        <v>155</v>
      </c>
      <c r="O238" s="14" t="s">
        <v>156</v>
      </c>
      <c r="P238" s="14" t="s">
        <v>156</v>
      </c>
      <c r="Q238" s="42" t="s">
        <v>157</v>
      </c>
      <c r="R238" s="14" t="s">
        <v>36</v>
      </c>
      <c r="S238" s="23">
        <f t="shared" si="268"/>
        <v>2267315.5699999998</v>
      </c>
      <c r="T238" s="23">
        <v>1828392.47</v>
      </c>
      <c r="U238" s="23">
        <v>438923.1</v>
      </c>
      <c r="V238" s="23">
        <f t="shared" si="267"/>
        <v>0</v>
      </c>
      <c r="W238" s="23">
        <v>0</v>
      </c>
      <c r="X238" s="23">
        <v>0</v>
      </c>
      <c r="Y238" s="23">
        <f t="shared" si="269"/>
        <v>432388.27</v>
      </c>
      <c r="Z238" s="23">
        <v>322657.49</v>
      </c>
      <c r="AA238" s="23">
        <v>109730.78</v>
      </c>
      <c r="AB238" s="23">
        <f t="shared" si="271"/>
        <v>0</v>
      </c>
      <c r="AC238" s="23"/>
      <c r="AD238" s="23"/>
      <c r="AE238" s="23">
        <f t="shared" si="272"/>
        <v>2699703.84</v>
      </c>
      <c r="AF238" s="23">
        <v>0</v>
      </c>
      <c r="AG238" s="26">
        <f t="shared" si="270"/>
        <v>2699703.84</v>
      </c>
      <c r="AH238" s="27" t="s">
        <v>585</v>
      </c>
      <c r="AI238" s="190" t="s">
        <v>1248</v>
      </c>
      <c r="AJ238" s="29">
        <f>29668.14+28646.05+103144.15+31797.13</f>
        <v>193255.47</v>
      </c>
      <c r="AK238" s="29">
        <v>0</v>
      </c>
    </row>
    <row r="239" spans="1:37" ht="189" x14ac:dyDescent="0.25">
      <c r="A239" s="12">
        <v>235</v>
      </c>
      <c r="B239" s="13">
        <v>122485</v>
      </c>
      <c r="C239" s="8">
        <v>38</v>
      </c>
      <c r="D239" s="14" t="s">
        <v>173</v>
      </c>
      <c r="E239" s="189" t="s">
        <v>162</v>
      </c>
      <c r="F239" s="189" t="s">
        <v>25</v>
      </c>
      <c r="G239" s="30" t="s">
        <v>27</v>
      </c>
      <c r="H239" s="17" t="s">
        <v>328</v>
      </c>
      <c r="I239" s="14" t="s">
        <v>185</v>
      </c>
      <c r="J239" s="48" t="s">
        <v>28</v>
      </c>
      <c r="K239" s="20">
        <v>42488</v>
      </c>
      <c r="L239" s="32">
        <v>45288</v>
      </c>
      <c r="M239" s="21">
        <f t="shared" si="266"/>
        <v>84.695097599999997</v>
      </c>
      <c r="N239" s="14" t="s">
        <v>155</v>
      </c>
      <c r="O239" s="14" t="s">
        <v>156</v>
      </c>
      <c r="P239" s="14" t="s">
        <v>156</v>
      </c>
      <c r="Q239" s="42" t="s">
        <v>157</v>
      </c>
      <c r="R239" s="14" t="s">
        <v>26</v>
      </c>
      <c r="S239" s="23">
        <f t="shared" si="268"/>
        <v>16939019.52</v>
      </c>
      <c r="T239" s="23">
        <v>15963331.810000001</v>
      </c>
      <c r="U239" s="23">
        <v>975687.71</v>
      </c>
      <c r="V239" s="23">
        <f t="shared" si="267"/>
        <v>0</v>
      </c>
      <c r="W239" s="23">
        <v>0</v>
      </c>
      <c r="X239" s="23">
        <v>0</v>
      </c>
      <c r="Y239" s="23">
        <f t="shared" si="269"/>
        <v>3060980.48</v>
      </c>
      <c r="Z239" s="23">
        <v>2817058.55</v>
      </c>
      <c r="AA239" s="23">
        <v>243921.93</v>
      </c>
      <c r="AB239" s="23">
        <f t="shared" si="271"/>
        <v>0</v>
      </c>
      <c r="AC239" s="23"/>
      <c r="AD239" s="23"/>
      <c r="AE239" s="23">
        <f t="shared" si="272"/>
        <v>20000000</v>
      </c>
      <c r="AF239" s="23">
        <v>200000</v>
      </c>
      <c r="AG239" s="26">
        <f t="shared" si="270"/>
        <v>20200000</v>
      </c>
      <c r="AH239" s="27" t="s">
        <v>585</v>
      </c>
      <c r="AI239" s="28" t="s">
        <v>1067</v>
      </c>
      <c r="AJ239" s="199">
        <f>367086.52+3723.41+1413.34+18873.79+125767.27</f>
        <v>516864.33</v>
      </c>
      <c r="AK239" s="200">
        <v>0</v>
      </c>
    </row>
    <row r="240" spans="1:37" ht="110.25" x14ac:dyDescent="0.25">
      <c r="A240" s="14">
        <v>236</v>
      </c>
      <c r="B240" s="13">
        <v>122484</v>
      </c>
      <c r="C240" s="8">
        <v>39</v>
      </c>
      <c r="D240" s="14" t="s">
        <v>173</v>
      </c>
      <c r="E240" s="189" t="s">
        <v>161</v>
      </c>
      <c r="F240" s="189" t="s">
        <v>25</v>
      </c>
      <c r="G240" s="30" t="s">
        <v>30</v>
      </c>
      <c r="H240" s="17" t="s">
        <v>328</v>
      </c>
      <c r="I240" s="14" t="s">
        <v>185</v>
      </c>
      <c r="J240" s="48" t="s">
        <v>31</v>
      </c>
      <c r="K240" s="20">
        <v>42488</v>
      </c>
      <c r="L240" s="32">
        <v>45288</v>
      </c>
      <c r="M240" s="21">
        <f t="shared" si="266"/>
        <v>84.695097596566526</v>
      </c>
      <c r="N240" s="14" t="s">
        <v>155</v>
      </c>
      <c r="O240" s="14" t="s">
        <v>156</v>
      </c>
      <c r="P240" s="14" t="s">
        <v>156</v>
      </c>
      <c r="Q240" s="42" t="s">
        <v>157</v>
      </c>
      <c r="R240" s="14" t="s">
        <v>29</v>
      </c>
      <c r="S240" s="23">
        <f t="shared" si="268"/>
        <v>59201873.219999999</v>
      </c>
      <c r="T240" s="23">
        <v>55791844.670000002</v>
      </c>
      <c r="U240" s="23">
        <v>3410028.55</v>
      </c>
      <c r="V240" s="23">
        <f t="shared" si="267"/>
        <v>0</v>
      </c>
      <c r="W240" s="23">
        <v>0</v>
      </c>
      <c r="X240" s="23">
        <v>0</v>
      </c>
      <c r="Y240" s="23">
        <f t="shared" si="269"/>
        <v>10698126.780000001</v>
      </c>
      <c r="Z240" s="23">
        <v>9845619.6400000006</v>
      </c>
      <c r="AA240" s="23">
        <v>852507.14</v>
      </c>
      <c r="AB240" s="23">
        <f t="shared" si="271"/>
        <v>0</v>
      </c>
      <c r="AC240" s="23"/>
      <c r="AD240" s="23"/>
      <c r="AE240" s="23">
        <f t="shared" si="272"/>
        <v>69900000</v>
      </c>
      <c r="AF240" s="23">
        <v>600000</v>
      </c>
      <c r="AG240" s="26">
        <f t="shared" si="270"/>
        <v>70500000</v>
      </c>
      <c r="AH240" s="27" t="s">
        <v>585</v>
      </c>
      <c r="AI240" s="28" t="s">
        <v>1068</v>
      </c>
      <c r="AJ240" s="29">
        <f>1614958.09+116790.02+175736.29+210865.38+813289.51+430129.67</f>
        <v>3361768.96</v>
      </c>
      <c r="AK240" s="49">
        <v>0</v>
      </c>
    </row>
    <row r="241" spans="1:37" ht="94.5" x14ac:dyDescent="0.25">
      <c r="A241" s="12">
        <v>237</v>
      </c>
      <c r="B241" s="13">
        <v>112483</v>
      </c>
      <c r="C241" s="8">
        <v>40</v>
      </c>
      <c r="D241" s="14" t="s">
        <v>173</v>
      </c>
      <c r="E241" s="189" t="s">
        <v>161</v>
      </c>
      <c r="F241" s="189" t="s">
        <v>25</v>
      </c>
      <c r="G241" s="30" t="s">
        <v>33</v>
      </c>
      <c r="H241" s="17" t="s">
        <v>328</v>
      </c>
      <c r="I241" s="14" t="s">
        <v>185</v>
      </c>
      <c r="J241" s="48" t="s">
        <v>34</v>
      </c>
      <c r="K241" s="20">
        <v>42488</v>
      </c>
      <c r="L241" s="32">
        <v>44314</v>
      </c>
      <c r="M241" s="21">
        <f t="shared" si="266"/>
        <v>84.695097599999997</v>
      </c>
      <c r="N241" s="14" t="s">
        <v>155</v>
      </c>
      <c r="O241" s="14" t="s">
        <v>156</v>
      </c>
      <c r="P241" s="14" t="s">
        <v>156</v>
      </c>
      <c r="Q241" s="42" t="s">
        <v>157</v>
      </c>
      <c r="R241" s="14" t="s">
        <v>32</v>
      </c>
      <c r="S241" s="23">
        <f t="shared" si="268"/>
        <v>50817058.560000002</v>
      </c>
      <c r="T241" s="23">
        <v>47889995.43</v>
      </c>
      <c r="U241" s="23">
        <v>2927063.13</v>
      </c>
      <c r="V241" s="23">
        <f t="shared" si="267"/>
        <v>0</v>
      </c>
      <c r="W241" s="23">
        <v>0</v>
      </c>
      <c r="X241" s="23">
        <v>0</v>
      </c>
      <c r="Y241" s="23">
        <f t="shared" si="269"/>
        <v>9182941.4399999995</v>
      </c>
      <c r="Z241" s="23">
        <v>8451175.6600000001</v>
      </c>
      <c r="AA241" s="23">
        <v>731765.78</v>
      </c>
      <c r="AB241" s="23">
        <f t="shared" si="271"/>
        <v>0</v>
      </c>
      <c r="AC241" s="23"/>
      <c r="AD241" s="23"/>
      <c r="AE241" s="23">
        <f t="shared" si="272"/>
        <v>60000000</v>
      </c>
      <c r="AF241" s="23">
        <v>1936000</v>
      </c>
      <c r="AG241" s="26">
        <f t="shared" si="270"/>
        <v>61936000</v>
      </c>
      <c r="AH241" s="27" t="s">
        <v>585</v>
      </c>
      <c r="AI241" s="28" t="s">
        <v>211</v>
      </c>
      <c r="AJ241" s="29">
        <f>18028067.88+2522724.79+2940219.11+5150825.51+1054081.31+2107332.6+2141049.72</f>
        <v>33944300.920000002</v>
      </c>
      <c r="AK241" s="49">
        <v>0</v>
      </c>
    </row>
    <row r="242" spans="1:37" ht="409.5" x14ac:dyDescent="0.25">
      <c r="A242" s="12">
        <v>238</v>
      </c>
      <c r="B242" s="13">
        <v>109937</v>
      </c>
      <c r="C242" s="8">
        <v>162</v>
      </c>
      <c r="D242" s="14" t="s">
        <v>1074</v>
      </c>
      <c r="E242" s="18" t="s">
        <v>165</v>
      </c>
      <c r="F242" s="16" t="s">
        <v>322</v>
      </c>
      <c r="G242" s="30" t="s">
        <v>519</v>
      </c>
      <c r="H242" s="17" t="s">
        <v>323</v>
      </c>
      <c r="I242" s="14" t="s">
        <v>185</v>
      </c>
      <c r="J242" s="80" t="s">
        <v>520</v>
      </c>
      <c r="K242" s="20">
        <v>43173</v>
      </c>
      <c r="L242" s="32">
        <v>43660</v>
      </c>
      <c r="M242" s="21">
        <f t="shared" si="266"/>
        <v>82.304184778160604</v>
      </c>
      <c r="N242" s="14" t="s">
        <v>324</v>
      </c>
      <c r="O242" s="14" t="s">
        <v>312</v>
      </c>
      <c r="P242" s="14" t="s">
        <v>325</v>
      </c>
      <c r="Q242" s="22" t="s">
        <v>326</v>
      </c>
      <c r="R242" s="14" t="s">
        <v>36</v>
      </c>
      <c r="S242" s="23">
        <f t="shared" si="268"/>
        <v>762655.8600000001</v>
      </c>
      <c r="T242" s="23">
        <v>147617.44</v>
      </c>
      <c r="U242" s="23">
        <v>615038.42000000004</v>
      </c>
      <c r="V242" s="23">
        <f t="shared" si="267"/>
        <v>145442.25</v>
      </c>
      <c r="W242" s="23">
        <v>36906.06</v>
      </c>
      <c r="X242" s="23">
        <v>108536.19</v>
      </c>
      <c r="Y242" s="23">
        <f t="shared" si="269"/>
        <v>0</v>
      </c>
      <c r="Z242" s="23"/>
      <c r="AA242" s="23"/>
      <c r="AB242" s="23">
        <f t="shared" si="271"/>
        <v>18532.61</v>
      </c>
      <c r="AC242" s="23">
        <v>3765.78</v>
      </c>
      <c r="AD242" s="23">
        <v>14766.83</v>
      </c>
      <c r="AE242" s="23">
        <f t="shared" si="272"/>
        <v>926630.72000000009</v>
      </c>
      <c r="AF242" s="23">
        <v>0</v>
      </c>
      <c r="AG242" s="26">
        <f t="shared" si="270"/>
        <v>926630.72000000009</v>
      </c>
      <c r="AH242" s="27" t="s">
        <v>585</v>
      </c>
      <c r="AI242" s="28"/>
      <c r="AJ242" s="29">
        <f>340951.1+52774.1+61862.22+16616.16+1069.94+8813.14+48351.34+107449.24</f>
        <v>637887.23999999987</v>
      </c>
      <c r="AK242" s="29">
        <f>47349.74+21861.72+3168.79+9424.88+1680.7+20491.06</f>
        <v>103976.88999999998</v>
      </c>
    </row>
    <row r="243" spans="1:37" ht="225" x14ac:dyDescent="0.25">
      <c r="A243" s="14">
        <v>239</v>
      </c>
      <c r="B243" s="13">
        <v>120769</v>
      </c>
      <c r="C243" s="8">
        <v>96</v>
      </c>
      <c r="D243" s="14" t="s">
        <v>175</v>
      </c>
      <c r="E243" s="15" t="s">
        <v>968</v>
      </c>
      <c r="F243" s="16" t="s">
        <v>331</v>
      </c>
      <c r="G243" s="30" t="s">
        <v>342</v>
      </c>
      <c r="H243" s="17" t="s">
        <v>341</v>
      </c>
      <c r="I243" s="18" t="s">
        <v>343</v>
      </c>
      <c r="J243" s="80" t="s">
        <v>344</v>
      </c>
      <c r="K243" s="20">
        <v>43186</v>
      </c>
      <c r="L243" s="32">
        <v>43673</v>
      </c>
      <c r="M243" s="21">
        <f t="shared" si="266"/>
        <v>84.154097257132506</v>
      </c>
      <c r="N243" s="14" t="s">
        <v>155</v>
      </c>
      <c r="O243" s="14" t="s">
        <v>345</v>
      </c>
      <c r="P243" s="14" t="s">
        <v>345</v>
      </c>
      <c r="Q243" s="22" t="s">
        <v>212</v>
      </c>
      <c r="R243" s="14" t="s">
        <v>36</v>
      </c>
      <c r="S243" s="23">
        <f t="shared" si="268"/>
        <v>357519.4</v>
      </c>
      <c r="T243" s="23">
        <v>357519.4</v>
      </c>
      <c r="U243" s="23">
        <v>0</v>
      </c>
      <c r="V243" s="23">
        <f t="shared" si="267"/>
        <v>58822.79</v>
      </c>
      <c r="W243" s="23">
        <v>58822.79</v>
      </c>
      <c r="X243" s="23">
        <v>0</v>
      </c>
      <c r="Y243" s="23">
        <f t="shared" si="269"/>
        <v>8496.7800000000007</v>
      </c>
      <c r="Z243" s="23">
        <v>8496.7800000000007</v>
      </c>
      <c r="AA243" s="23">
        <v>0</v>
      </c>
      <c r="AB243" s="23">
        <f t="shared" si="271"/>
        <v>0</v>
      </c>
      <c r="AC243" s="23"/>
      <c r="AD243" s="23"/>
      <c r="AE243" s="23">
        <f t="shared" si="272"/>
        <v>424838.97000000003</v>
      </c>
      <c r="AF243" s="23">
        <v>0</v>
      </c>
      <c r="AG243" s="26">
        <f t="shared" si="270"/>
        <v>424838.97000000003</v>
      </c>
      <c r="AH243" s="27" t="s">
        <v>585</v>
      </c>
      <c r="AI243" s="28" t="s">
        <v>185</v>
      </c>
      <c r="AJ243" s="1">
        <f>91004.83+54990.03-2852.81+19018.76+43276.76+21139.54</f>
        <v>226577.11000000002</v>
      </c>
      <c r="AK243" s="29">
        <f>8258.02+14527.48+10688.48</f>
        <v>33473.979999999996</v>
      </c>
    </row>
    <row r="244" spans="1:37" ht="270" x14ac:dyDescent="0.25">
      <c r="A244" s="12">
        <v>240</v>
      </c>
      <c r="B244" s="13">
        <v>121622</v>
      </c>
      <c r="C244" s="8">
        <v>99</v>
      </c>
      <c r="D244" s="14" t="s">
        <v>843</v>
      </c>
      <c r="E244" s="15" t="s">
        <v>968</v>
      </c>
      <c r="F244" s="16" t="s">
        <v>331</v>
      </c>
      <c r="G244" s="30" t="s">
        <v>347</v>
      </c>
      <c r="H244" s="17" t="s">
        <v>352</v>
      </c>
      <c r="I244" s="18" t="s">
        <v>349</v>
      </c>
      <c r="J244" s="80" t="s">
        <v>346</v>
      </c>
      <c r="K244" s="20">
        <v>43188</v>
      </c>
      <c r="L244" s="32">
        <v>43737</v>
      </c>
      <c r="M244" s="21">
        <f t="shared" si="266"/>
        <v>84.999999426373932</v>
      </c>
      <c r="N244" s="14" t="s">
        <v>155</v>
      </c>
      <c r="O244" s="14" t="s">
        <v>354</v>
      </c>
      <c r="P244" s="14" t="s">
        <v>354</v>
      </c>
      <c r="Q244" s="22" t="s">
        <v>212</v>
      </c>
      <c r="R244" s="14" t="s">
        <v>36</v>
      </c>
      <c r="S244" s="23">
        <f t="shared" si="268"/>
        <v>444540.46</v>
      </c>
      <c r="T244" s="23">
        <v>444540.46</v>
      </c>
      <c r="U244" s="23">
        <v>0</v>
      </c>
      <c r="V244" s="23">
        <f t="shared" si="267"/>
        <v>67988.539999999994</v>
      </c>
      <c r="W244" s="23">
        <v>67988.539999999994</v>
      </c>
      <c r="X244" s="23">
        <v>0</v>
      </c>
      <c r="Y244" s="23">
        <f t="shared" si="269"/>
        <v>10459.780000000001</v>
      </c>
      <c r="Z244" s="25">
        <v>10459.780000000001</v>
      </c>
      <c r="AA244" s="23">
        <v>0</v>
      </c>
      <c r="AB244" s="23">
        <f t="shared" si="271"/>
        <v>0</v>
      </c>
      <c r="AC244" s="23"/>
      <c r="AD244" s="23"/>
      <c r="AE244" s="23">
        <f t="shared" si="272"/>
        <v>522988.78</v>
      </c>
      <c r="AF244" s="23">
        <v>0</v>
      </c>
      <c r="AG244" s="26">
        <f t="shared" si="270"/>
        <v>522988.78</v>
      </c>
      <c r="AH244" s="27" t="s">
        <v>585</v>
      </c>
      <c r="AI244" s="28" t="s">
        <v>1253</v>
      </c>
      <c r="AJ244" s="1">
        <f>14488.25+50968.69+59419.29+14618.26+66415.01</f>
        <v>205909.5</v>
      </c>
      <c r="AK244" s="29">
        <f>2215.85+7795.21+9087.66+2235.73+10157.58</f>
        <v>31492.03</v>
      </c>
    </row>
    <row r="245" spans="1:37" ht="255" x14ac:dyDescent="0.25">
      <c r="A245" s="12">
        <v>241</v>
      </c>
      <c r="B245" s="13">
        <v>121536</v>
      </c>
      <c r="C245" s="8">
        <v>102</v>
      </c>
      <c r="D245" s="14" t="s">
        <v>843</v>
      </c>
      <c r="E245" s="15" t="s">
        <v>968</v>
      </c>
      <c r="F245" s="16" t="s">
        <v>331</v>
      </c>
      <c r="G245" s="30" t="s">
        <v>351</v>
      </c>
      <c r="H245" s="17" t="s">
        <v>348</v>
      </c>
      <c r="I245" s="18" t="s">
        <v>349</v>
      </c>
      <c r="J245" s="80" t="s">
        <v>355</v>
      </c>
      <c r="K245" s="20">
        <v>43186</v>
      </c>
      <c r="L245" s="32">
        <v>43643</v>
      </c>
      <c r="M245" s="21">
        <f t="shared" si="266"/>
        <v>85.000000246407055</v>
      </c>
      <c r="N245" s="14" t="s">
        <v>155</v>
      </c>
      <c r="O245" s="14" t="s">
        <v>350</v>
      </c>
      <c r="P245" s="14" t="s">
        <v>350</v>
      </c>
      <c r="Q245" s="22" t="s">
        <v>212</v>
      </c>
      <c r="R245" s="14" t="s">
        <v>36</v>
      </c>
      <c r="S245" s="23">
        <f t="shared" si="268"/>
        <v>344957.66</v>
      </c>
      <c r="T245" s="23">
        <v>344957.66</v>
      </c>
      <c r="U245" s="23">
        <v>0</v>
      </c>
      <c r="V245" s="23">
        <f t="shared" si="267"/>
        <v>52758.23</v>
      </c>
      <c r="W245" s="23">
        <v>52758.23</v>
      </c>
      <c r="X245" s="23">
        <v>0</v>
      </c>
      <c r="Y245" s="23">
        <f t="shared" si="269"/>
        <v>8116.65</v>
      </c>
      <c r="Z245" s="23">
        <v>8116.65</v>
      </c>
      <c r="AA245" s="23">
        <v>0</v>
      </c>
      <c r="AB245" s="23">
        <f t="shared" si="271"/>
        <v>0</v>
      </c>
      <c r="AC245" s="23"/>
      <c r="AD245" s="23"/>
      <c r="AE245" s="23">
        <f t="shared" si="272"/>
        <v>405832.54</v>
      </c>
      <c r="AF245" s="23">
        <v>0</v>
      </c>
      <c r="AG245" s="26">
        <f t="shared" si="270"/>
        <v>405832.54</v>
      </c>
      <c r="AH245" s="27" t="s">
        <v>585</v>
      </c>
      <c r="AI245" s="28" t="s">
        <v>185</v>
      </c>
      <c r="AJ245" s="1">
        <f>28255.24+60713.8+16575+57363.1</f>
        <v>162907.14000000001</v>
      </c>
      <c r="AK245" s="29">
        <f>4321.39+9285.64+2535+8773.18</f>
        <v>24915.21</v>
      </c>
    </row>
    <row r="246" spans="1:37" ht="346.5" x14ac:dyDescent="0.25">
      <c r="A246" s="14">
        <v>242</v>
      </c>
      <c r="B246" s="13">
        <v>112093</v>
      </c>
      <c r="C246" s="8">
        <v>344</v>
      </c>
      <c r="D246" s="14" t="s">
        <v>1320</v>
      </c>
      <c r="E246" s="18" t="s">
        <v>165</v>
      </c>
      <c r="F246" s="75" t="s">
        <v>322</v>
      </c>
      <c r="G246" s="30" t="s">
        <v>361</v>
      </c>
      <c r="H246" s="30" t="s">
        <v>362</v>
      </c>
      <c r="I246" s="18" t="s">
        <v>349</v>
      </c>
      <c r="J246" s="19" t="s">
        <v>521</v>
      </c>
      <c r="K246" s="20">
        <v>43188</v>
      </c>
      <c r="L246" s="32">
        <v>43553</v>
      </c>
      <c r="M246" s="21">
        <f t="shared" si="266"/>
        <v>82.304184346141142</v>
      </c>
      <c r="N246" s="14" t="s">
        <v>324</v>
      </c>
      <c r="O246" s="14" t="s">
        <v>363</v>
      </c>
      <c r="P246" s="14" t="s">
        <v>363</v>
      </c>
      <c r="Q246" s="22" t="s">
        <v>326</v>
      </c>
      <c r="R246" s="18" t="s">
        <v>36</v>
      </c>
      <c r="S246" s="23">
        <f t="shared" si="268"/>
        <v>624137.28</v>
      </c>
      <c r="T246" s="23">
        <v>503312.34</v>
      </c>
      <c r="U246" s="23">
        <v>120824.94</v>
      </c>
      <c r="V246" s="23">
        <f t="shared" si="267"/>
        <v>119026.06000000001</v>
      </c>
      <c r="W246" s="23">
        <v>88819.82</v>
      </c>
      <c r="X246" s="23">
        <v>30206.240000000002</v>
      </c>
      <c r="Y246" s="23">
        <f t="shared" si="269"/>
        <v>0</v>
      </c>
      <c r="Z246" s="23"/>
      <c r="AA246" s="23"/>
      <c r="AB246" s="23">
        <f t="shared" si="271"/>
        <v>15166.61</v>
      </c>
      <c r="AC246" s="23">
        <v>12084.34</v>
      </c>
      <c r="AD246" s="23">
        <v>3082.27</v>
      </c>
      <c r="AE246" s="23">
        <f t="shared" si="272"/>
        <v>758329.95000000007</v>
      </c>
      <c r="AF246" s="23">
        <v>0</v>
      </c>
      <c r="AG246" s="26">
        <f t="shared" si="270"/>
        <v>758329.95000000007</v>
      </c>
      <c r="AH246" s="27" t="s">
        <v>1073</v>
      </c>
      <c r="AI246" s="28" t="s">
        <v>353</v>
      </c>
      <c r="AJ246" s="29">
        <f>281863.03+67706.32-7048.99+70335.64+92451.16+65330.18</f>
        <v>570637.34000000008</v>
      </c>
      <c r="AK246" s="29">
        <f>53450.47+7048.99+3931.35+17630.9+12458.8</f>
        <v>94520.51</v>
      </c>
    </row>
    <row r="247" spans="1:37" ht="409.5" x14ac:dyDescent="0.25">
      <c r="A247" s="12">
        <v>243</v>
      </c>
      <c r="B247" s="13">
        <v>110829</v>
      </c>
      <c r="C247" s="8">
        <v>345</v>
      </c>
      <c r="D247" s="14" t="s">
        <v>175</v>
      </c>
      <c r="E247" s="18" t="s">
        <v>165</v>
      </c>
      <c r="F247" s="75" t="s">
        <v>322</v>
      </c>
      <c r="G247" s="30" t="s">
        <v>364</v>
      </c>
      <c r="H247" s="30" t="s">
        <v>365</v>
      </c>
      <c r="I247" s="18" t="s">
        <v>185</v>
      </c>
      <c r="J247" s="19" t="s">
        <v>366</v>
      </c>
      <c r="K247" s="20">
        <v>43188</v>
      </c>
      <c r="L247" s="32">
        <v>43737</v>
      </c>
      <c r="M247" s="21">
        <f t="shared" si="266"/>
        <v>82.304186026137842</v>
      </c>
      <c r="N247" s="14" t="s">
        <v>324</v>
      </c>
      <c r="O247" s="14" t="s">
        <v>363</v>
      </c>
      <c r="P247" s="14" t="s">
        <v>363</v>
      </c>
      <c r="Q247" s="22" t="s">
        <v>326</v>
      </c>
      <c r="R247" s="18" t="s">
        <v>36</v>
      </c>
      <c r="S247" s="23">
        <f t="shared" si="268"/>
        <v>757586.23</v>
      </c>
      <c r="T247" s="23">
        <v>610927.28</v>
      </c>
      <c r="U247" s="23">
        <v>146658.95000000001</v>
      </c>
      <c r="V247" s="23">
        <f t="shared" si="267"/>
        <v>144475.43</v>
      </c>
      <c r="W247" s="23">
        <v>107810.7</v>
      </c>
      <c r="X247" s="23">
        <v>36664.730000000003</v>
      </c>
      <c r="Y247" s="23">
        <f t="shared" si="269"/>
        <v>0</v>
      </c>
      <c r="Z247" s="23"/>
      <c r="AA247" s="23"/>
      <c r="AB247" s="23">
        <f t="shared" si="271"/>
        <v>18409.420000000002</v>
      </c>
      <c r="AC247" s="23">
        <v>14668.12</v>
      </c>
      <c r="AD247" s="23">
        <v>3741.3</v>
      </c>
      <c r="AE247" s="23">
        <f t="shared" si="272"/>
        <v>920471.08</v>
      </c>
      <c r="AF247" s="23">
        <v>0</v>
      </c>
      <c r="AG247" s="26">
        <f t="shared" si="270"/>
        <v>920471.08</v>
      </c>
      <c r="AH247" s="27" t="s">
        <v>585</v>
      </c>
      <c r="AI247" s="28" t="s">
        <v>353</v>
      </c>
      <c r="AJ247" s="29">
        <f>89285.71-11964.69+140134-555.33+108178.82+21252.58+36085.35+107586.93+34575.24</f>
        <v>524578.61</v>
      </c>
      <c r="AK247" s="29">
        <f>11964.69+11960.22+17298.63+11541.66+4052.98+14039.69+5043.38+6593.66</f>
        <v>82494.91</v>
      </c>
    </row>
    <row r="248" spans="1:37" ht="267.75" x14ac:dyDescent="0.25">
      <c r="A248" s="12">
        <v>244</v>
      </c>
      <c r="B248" s="13">
        <v>111077</v>
      </c>
      <c r="C248" s="8">
        <v>352</v>
      </c>
      <c r="D248" s="14" t="s">
        <v>1320</v>
      </c>
      <c r="E248" s="18" t="s">
        <v>165</v>
      </c>
      <c r="F248" s="75" t="s">
        <v>322</v>
      </c>
      <c r="G248" s="30" t="s">
        <v>367</v>
      </c>
      <c r="H248" s="30" t="s">
        <v>368</v>
      </c>
      <c r="I248" s="18" t="s">
        <v>185</v>
      </c>
      <c r="J248" s="19" t="s">
        <v>369</v>
      </c>
      <c r="K248" s="20">
        <v>43188</v>
      </c>
      <c r="L248" s="32">
        <v>43675</v>
      </c>
      <c r="M248" s="21">
        <f t="shared" si="266"/>
        <v>82.304186243592014</v>
      </c>
      <c r="N248" s="14" t="s">
        <v>324</v>
      </c>
      <c r="O248" s="14" t="s">
        <v>363</v>
      </c>
      <c r="P248" s="14" t="s">
        <v>363</v>
      </c>
      <c r="Q248" s="22" t="s">
        <v>326</v>
      </c>
      <c r="R248" s="18" t="s">
        <v>36</v>
      </c>
      <c r="S248" s="23">
        <f t="shared" si="268"/>
        <v>704316.51</v>
      </c>
      <c r="T248" s="23">
        <v>567969.9</v>
      </c>
      <c r="U248" s="23">
        <v>136346.60999999999</v>
      </c>
      <c r="V248" s="23">
        <f t="shared" si="267"/>
        <v>134316.63</v>
      </c>
      <c r="W248" s="25">
        <v>100229.98</v>
      </c>
      <c r="X248" s="25">
        <v>34086.65</v>
      </c>
      <c r="Y248" s="23">
        <f t="shared" si="269"/>
        <v>0</v>
      </c>
      <c r="Z248" s="23"/>
      <c r="AA248" s="23"/>
      <c r="AB248" s="23">
        <f t="shared" si="271"/>
        <v>17114.96</v>
      </c>
      <c r="AC248" s="23">
        <v>13636.73</v>
      </c>
      <c r="AD248" s="23">
        <v>3478.23</v>
      </c>
      <c r="AE248" s="23">
        <f t="shared" si="272"/>
        <v>855748.1</v>
      </c>
      <c r="AF248" s="23"/>
      <c r="AG248" s="26">
        <f t="shared" si="270"/>
        <v>855748.1</v>
      </c>
      <c r="AH248" s="27" t="s">
        <v>585</v>
      </c>
      <c r="AI248" s="28" t="s">
        <v>353</v>
      </c>
      <c r="AJ248" s="29">
        <f>85000+43282.16-11040.21+106472.55+153782.22-13315.84+83140.14+113279.69</f>
        <v>560600.71</v>
      </c>
      <c r="AK248" s="29">
        <f>8254.12+14104.5+20304.84+13117.11+13315.84+21603</f>
        <v>90699.41</v>
      </c>
    </row>
    <row r="249" spans="1:37" ht="409.5" x14ac:dyDescent="0.25">
      <c r="A249" s="14">
        <v>245</v>
      </c>
      <c r="B249" s="13">
        <v>111631</v>
      </c>
      <c r="C249" s="8">
        <v>170</v>
      </c>
      <c r="D249" s="14" t="s">
        <v>171</v>
      </c>
      <c r="E249" s="18" t="s">
        <v>165</v>
      </c>
      <c r="F249" s="75" t="s">
        <v>322</v>
      </c>
      <c r="G249" s="30" t="s">
        <v>370</v>
      </c>
      <c r="H249" s="30" t="s">
        <v>371</v>
      </c>
      <c r="I249" s="94" t="s">
        <v>372</v>
      </c>
      <c r="J249" s="19" t="s">
        <v>522</v>
      </c>
      <c r="K249" s="20">
        <v>43189</v>
      </c>
      <c r="L249" s="32">
        <v>43676</v>
      </c>
      <c r="M249" s="21">
        <f t="shared" si="266"/>
        <v>82.304185177297953</v>
      </c>
      <c r="N249" s="14" t="s">
        <v>324</v>
      </c>
      <c r="O249" s="14" t="s">
        <v>363</v>
      </c>
      <c r="P249" s="14" t="s">
        <v>363</v>
      </c>
      <c r="Q249" s="22" t="s">
        <v>326</v>
      </c>
      <c r="R249" s="18" t="s">
        <v>36</v>
      </c>
      <c r="S249" s="23">
        <f t="shared" si="268"/>
        <v>822209.74</v>
      </c>
      <c r="T249" s="23">
        <v>663040.52</v>
      </c>
      <c r="U249" s="23">
        <v>159169.22</v>
      </c>
      <c r="V249" s="23">
        <f t="shared" si="267"/>
        <v>156799.45000000001</v>
      </c>
      <c r="W249" s="23">
        <v>39792.300000000003</v>
      </c>
      <c r="X249" s="23">
        <v>117007.15</v>
      </c>
      <c r="Y249" s="23">
        <f t="shared" si="269"/>
        <v>0</v>
      </c>
      <c r="Z249" s="23"/>
      <c r="AA249" s="23"/>
      <c r="AB249" s="23">
        <f t="shared" si="271"/>
        <v>19979.79</v>
      </c>
      <c r="AC249" s="23">
        <v>15919.35</v>
      </c>
      <c r="AD249" s="23">
        <v>4060.44</v>
      </c>
      <c r="AE249" s="23">
        <f t="shared" si="272"/>
        <v>998988.98</v>
      </c>
      <c r="AF249" s="23"/>
      <c r="AG249" s="26">
        <f t="shared" si="270"/>
        <v>998988.98</v>
      </c>
      <c r="AH249" s="27" t="s">
        <v>585</v>
      </c>
      <c r="AI249" s="28" t="s">
        <v>353</v>
      </c>
      <c r="AJ249" s="29">
        <f>99898.9+20257.44+82739.46+65227.91+122865.84+26629.39+183749.63+32157.06+25755.53</f>
        <v>659281.16</v>
      </c>
      <c r="AK249" s="29">
        <f>3863.19+15778.83+29070.82+6799.58+5078.36+35041.94+6132.52+4911.69</f>
        <v>106676.93000000001</v>
      </c>
    </row>
    <row r="250" spans="1:37" ht="252" x14ac:dyDescent="0.25">
      <c r="A250" s="12">
        <v>246</v>
      </c>
      <c r="B250" s="13">
        <v>112405</v>
      </c>
      <c r="C250" s="8">
        <v>171</v>
      </c>
      <c r="D250" s="14" t="s">
        <v>171</v>
      </c>
      <c r="E250" s="18" t="s">
        <v>165</v>
      </c>
      <c r="F250" s="75" t="s">
        <v>322</v>
      </c>
      <c r="G250" s="30" t="s">
        <v>373</v>
      </c>
      <c r="H250" s="30" t="s">
        <v>374</v>
      </c>
      <c r="I250" s="94" t="s">
        <v>375</v>
      </c>
      <c r="J250" s="19" t="s">
        <v>396</v>
      </c>
      <c r="K250" s="20">
        <v>43186</v>
      </c>
      <c r="L250" s="32">
        <v>43673</v>
      </c>
      <c r="M250" s="21">
        <f t="shared" si="266"/>
        <v>82.304185365731513</v>
      </c>
      <c r="N250" s="14" t="s">
        <v>324</v>
      </c>
      <c r="O250" s="14" t="s">
        <v>363</v>
      </c>
      <c r="P250" s="14" t="s">
        <v>363</v>
      </c>
      <c r="Q250" s="22" t="s">
        <v>326</v>
      </c>
      <c r="R250" s="18" t="s">
        <v>36</v>
      </c>
      <c r="S250" s="23">
        <f t="shared" si="268"/>
        <v>723131.98</v>
      </c>
      <c r="T250" s="23">
        <v>583142.93999999994</v>
      </c>
      <c r="U250" s="23">
        <v>139989.04</v>
      </c>
      <c r="V250" s="23">
        <f t="shared" si="267"/>
        <v>137904.84</v>
      </c>
      <c r="W250" s="23">
        <v>102907.58</v>
      </c>
      <c r="X250" s="23">
        <v>34997.26</v>
      </c>
      <c r="Y250" s="23">
        <f t="shared" si="269"/>
        <v>0</v>
      </c>
      <c r="Z250" s="23"/>
      <c r="AA250" s="23"/>
      <c r="AB250" s="23">
        <f t="shared" si="271"/>
        <v>17572.18</v>
      </c>
      <c r="AC250" s="23">
        <v>14001.03</v>
      </c>
      <c r="AD250" s="23">
        <v>3571.15</v>
      </c>
      <c r="AE250" s="23">
        <f t="shared" si="272"/>
        <v>878609</v>
      </c>
      <c r="AF250" s="23"/>
      <c r="AG250" s="26">
        <f t="shared" si="270"/>
        <v>878609</v>
      </c>
      <c r="AH250" s="27" t="s">
        <v>585</v>
      </c>
      <c r="AI250" s="28"/>
      <c r="AJ250" s="29">
        <f>208329.69+72239-12893.42+110533+33743.88+27302.86+184981.92</f>
        <v>624236.93000000005</v>
      </c>
      <c r="AK250" s="29">
        <f>36750.34+12893.42+5726.93+6435.14+21177.89+19305.83</f>
        <v>102289.55</v>
      </c>
    </row>
    <row r="251" spans="1:37" ht="189" x14ac:dyDescent="0.25">
      <c r="A251" s="12">
        <v>247</v>
      </c>
      <c r="B251" s="13">
        <v>109810</v>
      </c>
      <c r="C251" s="8">
        <v>257</v>
      </c>
      <c r="D251" s="14" t="s">
        <v>1320</v>
      </c>
      <c r="E251" s="18" t="s">
        <v>165</v>
      </c>
      <c r="F251" s="75" t="s">
        <v>322</v>
      </c>
      <c r="G251" s="30" t="s">
        <v>376</v>
      </c>
      <c r="H251" s="30" t="s">
        <v>377</v>
      </c>
      <c r="I251" s="18" t="s">
        <v>185</v>
      </c>
      <c r="J251" s="19" t="s">
        <v>384</v>
      </c>
      <c r="K251" s="20">
        <v>43192</v>
      </c>
      <c r="L251" s="32">
        <v>43679</v>
      </c>
      <c r="M251" s="21">
        <f t="shared" si="266"/>
        <v>82.304188283311021</v>
      </c>
      <c r="N251" s="14" t="s">
        <v>324</v>
      </c>
      <c r="O251" s="14" t="s">
        <v>363</v>
      </c>
      <c r="P251" s="14" t="s">
        <v>363</v>
      </c>
      <c r="Q251" s="22" t="s">
        <v>326</v>
      </c>
      <c r="R251" s="18" t="s">
        <v>36</v>
      </c>
      <c r="S251" s="23">
        <f t="shared" si="268"/>
        <v>821139.01</v>
      </c>
      <c r="T251" s="25">
        <v>662177.06999999995</v>
      </c>
      <c r="U251" s="25">
        <v>158961.94</v>
      </c>
      <c r="V251" s="23">
        <f t="shared" si="267"/>
        <v>156595.26</v>
      </c>
      <c r="W251" s="25">
        <v>116854.78</v>
      </c>
      <c r="X251" s="25">
        <v>39740.480000000003</v>
      </c>
      <c r="Y251" s="23">
        <f t="shared" si="269"/>
        <v>0</v>
      </c>
      <c r="Z251" s="23"/>
      <c r="AA251" s="23"/>
      <c r="AB251" s="23">
        <f t="shared" si="271"/>
        <v>19953.73</v>
      </c>
      <c r="AC251" s="23">
        <v>15898.58</v>
      </c>
      <c r="AD251" s="23">
        <v>4055.15</v>
      </c>
      <c r="AE251" s="23">
        <f t="shared" si="272"/>
        <v>997688</v>
      </c>
      <c r="AF251" s="23"/>
      <c r="AG251" s="26">
        <f t="shared" si="270"/>
        <v>997688</v>
      </c>
      <c r="AH251" s="27" t="s">
        <v>585</v>
      </c>
      <c r="AI251" s="28"/>
      <c r="AJ251" s="29">
        <f>311274.3+94352.8-8733.69+71724.61+102413.3+20161.59+85316+25210.31</f>
        <v>701719.22</v>
      </c>
      <c r="AK251" s="29">
        <f>40335.29+17993.54+8733.69+3278.99+19530.72+3844.92+16270.21+4807.73</f>
        <v>114795.09000000001</v>
      </c>
    </row>
    <row r="252" spans="1:37" ht="204.75" x14ac:dyDescent="0.25">
      <c r="A252" s="14">
        <v>248</v>
      </c>
      <c r="B252" s="13">
        <v>112956</v>
      </c>
      <c r="C252" s="8">
        <v>273</v>
      </c>
      <c r="D252" s="14" t="s">
        <v>175</v>
      </c>
      <c r="E252" s="18" t="s">
        <v>165</v>
      </c>
      <c r="F252" s="75" t="s">
        <v>322</v>
      </c>
      <c r="G252" s="30" t="s">
        <v>378</v>
      </c>
      <c r="H252" s="201" t="s">
        <v>379</v>
      </c>
      <c r="I252" s="94" t="s">
        <v>380</v>
      </c>
      <c r="J252" s="19" t="s">
        <v>523</v>
      </c>
      <c r="K252" s="20">
        <v>43192</v>
      </c>
      <c r="L252" s="32">
        <v>43679</v>
      </c>
      <c r="M252" s="21">
        <f t="shared" si="266"/>
        <v>82.3041866136534</v>
      </c>
      <c r="N252" s="14" t="s">
        <v>324</v>
      </c>
      <c r="O252" s="14" t="s">
        <v>363</v>
      </c>
      <c r="P252" s="14" t="s">
        <v>363</v>
      </c>
      <c r="Q252" s="22" t="s">
        <v>326</v>
      </c>
      <c r="R252" s="18" t="s">
        <v>36</v>
      </c>
      <c r="S252" s="23">
        <f t="shared" si="268"/>
        <v>710350.48</v>
      </c>
      <c r="T252" s="23">
        <v>572835.77</v>
      </c>
      <c r="U252" s="23">
        <v>137514.71</v>
      </c>
      <c r="V252" s="23">
        <f t="shared" si="267"/>
        <v>135467.34</v>
      </c>
      <c r="W252" s="23">
        <v>101088.67</v>
      </c>
      <c r="X252" s="23">
        <v>34378.67</v>
      </c>
      <c r="Y252" s="23">
        <f t="shared" si="269"/>
        <v>0</v>
      </c>
      <c r="Z252" s="23"/>
      <c r="AA252" s="23"/>
      <c r="AB252" s="23">
        <f t="shared" si="271"/>
        <v>17261.579999999998</v>
      </c>
      <c r="AC252" s="23">
        <v>13753.55</v>
      </c>
      <c r="AD252" s="23">
        <v>3508.03</v>
      </c>
      <c r="AE252" s="23">
        <f t="shared" si="272"/>
        <v>863079.39999999991</v>
      </c>
      <c r="AF252" s="23"/>
      <c r="AG252" s="26">
        <f t="shared" si="270"/>
        <v>863079.39999999991</v>
      </c>
      <c r="AH252" s="27" t="s">
        <v>585</v>
      </c>
      <c r="AI252" s="28" t="s">
        <v>185</v>
      </c>
      <c r="AJ252" s="29">
        <f>184670.36-1719.64+59823.53+78024.86+71396.89-5943.21+95904.43+18163.66</f>
        <v>500320.87999999995</v>
      </c>
      <c r="AK252" s="29">
        <f>18758.18+11080.69+14879.72+13615.74+5943.21+14676.76</f>
        <v>78954.3</v>
      </c>
    </row>
    <row r="253" spans="1:37" ht="330.75" x14ac:dyDescent="0.25">
      <c r="A253" s="12">
        <v>249</v>
      </c>
      <c r="B253" s="13">
        <v>112066</v>
      </c>
      <c r="C253" s="8">
        <v>262</v>
      </c>
      <c r="D253" s="14" t="s">
        <v>175</v>
      </c>
      <c r="E253" s="18" t="s">
        <v>165</v>
      </c>
      <c r="F253" s="75" t="s">
        <v>322</v>
      </c>
      <c r="G253" s="108" t="s">
        <v>381</v>
      </c>
      <c r="H253" s="30" t="s">
        <v>382</v>
      </c>
      <c r="I253" s="94" t="s">
        <v>383</v>
      </c>
      <c r="J253" s="19" t="s">
        <v>524</v>
      </c>
      <c r="K253" s="20">
        <v>43193</v>
      </c>
      <c r="L253" s="32">
        <v>43680</v>
      </c>
      <c r="M253" s="21">
        <f t="shared" si="266"/>
        <v>82.304184459884823</v>
      </c>
      <c r="N253" s="14" t="s">
        <v>324</v>
      </c>
      <c r="O253" s="14" t="s">
        <v>363</v>
      </c>
      <c r="P253" s="14" t="s">
        <v>363</v>
      </c>
      <c r="Q253" s="22" t="s">
        <v>326</v>
      </c>
      <c r="R253" s="18" t="s">
        <v>36</v>
      </c>
      <c r="S253" s="23">
        <f t="shared" si="268"/>
        <v>822673.27</v>
      </c>
      <c r="T253" s="23">
        <v>663414.31999999995</v>
      </c>
      <c r="U253" s="23">
        <v>159258.95000000001</v>
      </c>
      <c r="V253" s="23">
        <f t="shared" si="267"/>
        <v>156887.87</v>
      </c>
      <c r="W253" s="23">
        <v>117073.13</v>
      </c>
      <c r="X253" s="23">
        <v>39814.74</v>
      </c>
      <c r="Y253" s="23">
        <f t="shared" si="269"/>
        <v>0</v>
      </c>
      <c r="Z253" s="23"/>
      <c r="AA253" s="23"/>
      <c r="AB253" s="23">
        <f t="shared" si="271"/>
        <v>19991.04</v>
      </c>
      <c r="AC253" s="23">
        <v>15928.31</v>
      </c>
      <c r="AD253" s="23">
        <v>4062.73</v>
      </c>
      <c r="AE253" s="23">
        <f t="shared" si="272"/>
        <v>999552.18</v>
      </c>
      <c r="AF253" s="23"/>
      <c r="AG253" s="26">
        <f t="shared" si="270"/>
        <v>999552.18</v>
      </c>
      <c r="AH253" s="27" t="s">
        <v>585</v>
      </c>
      <c r="AI253" s="28" t="s">
        <v>185</v>
      </c>
      <c r="AJ253" s="29">
        <f>148819.34+46038+153649.09+7836.15+91741.83</f>
        <v>448084.41000000003</v>
      </c>
      <c r="AK253" s="29">
        <f>28380.59+38081.31+1494.39+17308.68</f>
        <v>85264.97</v>
      </c>
    </row>
    <row r="254" spans="1:37" ht="362.25" x14ac:dyDescent="0.25">
      <c r="A254" s="12">
        <v>250</v>
      </c>
      <c r="B254" s="13">
        <v>121460</v>
      </c>
      <c r="C254" s="8">
        <v>59</v>
      </c>
      <c r="D254" s="14" t="s">
        <v>172</v>
      </c>
      <c r="E254" s="18" t="s">
        <v>165</v>
      </c>
      <c r="F254" s="75" t="s">
        <v>128</v>
      </c>
      <c r="G254" s="71" t="s">
        <v>400</v>
      </c>
      <c r="H254" s="30" t="s">
        <v>402</v>
      </c>
      <c r="I254" s="18" t="s">
        <v>349</v>
      </c>
      <c r="J254" s="19" t="s">
        <v>401</v>
      </c>
      <c r="K254" s="20">
        <v>43207</v>
      </c>
      <c r="L254" s="32">
        <v>44302</v>
      </c>
      <c r="M254" s="21">
        <f t="shared" si="266"/>
        <v>83.983863089546503</v>
      </c>
      <c r="N254" s="14" t="s">
        <v>324</v>
      </c>
      <c r="O254" s="14" t="s">
        <v>363</v>
      </c>
      <c r="P254" s="14" t="s">
        <v>363</v>
      </c>
      <c r="Q254" s="22" t="s">
        <v>157</v>
      </c>
      <c r="R254" s="14" t="s">
        <v>36</v>
      </c>
      <c r="S254" s="23">
        <f t="shared" si="268"/>
        <v>6975407.2700000005</v>
      </c>
      <c r="T254" s="23">
        <v>5625058.2300000004</v>
      </c>
      <c r="U254" s="23">
        <v>1350349.04</v>
      </c>
      <c r="V254" s="23">
        <f t="shared" si="267"/>
        <v>0</v>
      </c>
      <c r="W254" s="23">
        <v>0</v>
      </c>
      <c r="X254" s="23">
        <v>0</v>
      </c>
      <c r="Y254" s="23">
        <f t="shared" si="269"/>
        <v>1330244.57</v>
      </c>
      <c r="Z254" s="25">
        <v>992657.31</v>
      </c>
      <c r="AA254" s="23">
        <v>337587.26</v>
      </c>
      <c r="AB254" s="23">
        <f t="shared" si="271"/>
        <v>0</v>
      </c>
      <c r="AC254" s="23">
        <v>0</v>
      </c>
      <c r="AD254" s="23">
        <v>0</v>
      </c>
      <c r="AE254" s="23">
        <f t="shared" si="272"/>
        <v>8305651.8400000008</v>
      </c>
      <c r="AF254" s="23">
        <v>0</v>
      </c>
      <c r="AG254" s="26">
        <f t="shared" si="270"/>
        <v>8305651.8400000008</v>
      </c>
      <c r="AH254" s="27" t="s">
        <v>585</v>
      </c>
      <c r="AI254" s="28" t="s">
        <v>1385</v>
      </c>
      <c r="AJ254" s="29">
        <f>59335.44+64701.17+90758.49+56070.66</f>
        <v>270865.76</v>
      </c>
      <c r="AK254" s="29">
        <v>0</v>
      </c>
    </row>
    <row r="255" spans="1:37" ht="283.5" x14ac:dyDescent="0.25">
      <c r="A255" s="14">
        <v>251</v>
      </c>
      <c r="B255" s="13">
        <v>109749</v>
      </c>
      <c r="C255" s="8">
        <v>253</v>
      </c>
      <c r="D255" s="14" t="s">
        <v>1320</v>
      </c>
      <c r="E255" s="18" t="s">
        <v>165</v>
      </c>
      <c r="F255" s="75" t="s">
        <v>322</v>
      </c>
      <c r="G255" s="71" t="s">
        <v>388</v>
      </c>
      <c r="H255" s="202" t="s">
        <v>389</v>
      </c>
      <c r="I255" s="18" t="s">
        <v>185</v>
      </c>
      <c r="J255" s="19" t="s">
        <v>525</v>
      </c>
      <c r="K255" s="20">
        <v>43208</v>
      </c>
      <c r="L255" s="32">
        <v>43695</v>
      </c>
      <c r="M255" s="21">
        <f t="shared" si="266"/>
        <v>82.304185790916577</v>
      </c>
      <c r="N255" s="14" t="s">
        <v>324</v>
      </c>
      <c r="O255" s="14" t="s">
        <v>410</v>
      </c>
      <c r="P255" s="14" t="s">
        <v>410</v>
      </c>
      <c r="Q255" s="22" t="s">
        <v>326</v>
      </c>
      <c r="R255" s="18" t="s">
        <v>36</v>
      </c>
      <c r="S255" s="23">
        <f t="shared" si="268"/>
        <v>808649.72</v>
      </c>
      <c r="T255" s="25">
        <v>652105.54</v>
      </c>
      <c r="U255" s="25">
        <v>156544.18</v>
      </c>
      <c r="V255" s="23">
        <f t="shared" si="267"/>
        <v>154213.49</v>
      </c>
      <c r="W255" s="25">
        <v>115077.45</v>
      </c>
      <c r="X255" s="25">
        <v>39136.04</v>
      </c>
      <c r="Y255" s="23">
        <f t="shared" si="269"/>
        <v>0</v>
      </c>
      <c r="Z255" s="23">
        <v>0</v>
      </c>
      <c r="AA255" s="23">
        <v>0</v>
      </c>
      <c r="AB255" s="23">
        <f t="shared" si="271"/>
        <v>19650.27</v>
      </c>
      <c r="AC255" s="23">
        <v>15656.8</v>
      </c>
      <c r="AD255" s="23">
        <v>3993.47</v>
      </c>
      <c r="AE255" s="23">
        <f t="shared" si="272"/>
        <v>982513.48</v>
      </c>
      <c r="AF255" s="23"/>
      <c r="AG255" s="26">
        <f t="shared" si="270"/>
        <v>982513.48</v>
      </c>
      <c r="AH255" s="27" t="s">
        <v>585</v>
      </c>
      <c r="AI255" s="28"/>
      <c r="AJ255" s="29">
        <f>320855.76+13409.42+153292.16+833.72+98250+85029.68</f>
        <v>671670.74</v>
      </c>
      <c r="AK255" s="29">
        <f>63706.03+10496.81+18895.75+16215.58</f>
        <v>109314.17</v>
      </c>
    </row>
    <row r="256" spans="1:37" ht="362.25" x14ac:dyDescent="0.25">
      <c r="A256" s="12">
        <v>252</v>
      </c>
      <c r="B256" s="13">
        <v>109967</v>
      </c>
      <c r="C256" s="8">
        <v>177</v>
      </c>
      <c r="D256" s="14" t="s">
        <v>171</v>
      </c>
      <c r="E256" s="18" t="s">
        <v>165</v>
      </c>
      <c r="F256" s="75" t="s">
        <v>322</v>
      </c>
      <c r="G256" s="71" t="s">
        <v>394</v>
      </c>
      <c r="H256" s="30" t="s">
        <v>395</v>
      </c>
      <c r="I256" s="18" t="s">
        <v>185</v>
      </c>
      <c r="J256" s="19" t="s">
        <v>526</v>
      </c>
      <c r="K256" s="20">
        <v>43208</v>
      </c>
      <c r="L256" s="32">
        <v>43695</v>
      </c>
      <c r="M256" s="21">
        <f t="shared" si="266"/>
        <v>82.304184597190911</v>
      </c>
      <c r="N256" s="14" t="s">
        <v>324</v>
      </c>
      <c r="O256" s="14" t="s">
        <v>363</v>
      </c>
      <c r="P256" s="14" t="s">
        <v>363</v>
      </c>
      <c r="Q256" s="22" t="s">
        <v>326</v>
      </c>
      <c r="R256" s="18" t="s">
        <v>36</v>
      </c>
      <c r="S256" s="23">
        <f t="shared" si="268"/>
        <v>804452.45</v>
      </c>
      <c r="T256" s="23">
        <v>648720.82999999996</v>
      </c>
      <c r="U256" s="23">
        <v>155731.62</v>
      </c>
      <c r="V256" s="23">
        <f t="shared" si="267"/>
        <v>153413.06</v>
      </c>
      <c r="W256" s="23">
        <v>114480.15</v>
      </c>
      <c r="X256" s="23">
        <v>38932.910000000003</v>
      </c>
      <c r="Y256" s="23">
        <f t="shared" si="269"/>
        <v>0</v>
      </c>
      <c r="Z256" s="203"/>
      <c r="AA256" s="203"/>
      <c r="AB256" s="23">
        <f t="shared" si="271"/>
        <v>19548.28</v>
      </c>
      <c r="AC256" s="23">
        <v>15575.51</v>
      </c>
      <c r="AD256" s="23">
        <v>3972.77</v>
      </c>
      <c r="AE256" s="23">
        <f t="shared" si="272"/>
        <v>977413.79</v>
      </c>
      <c r="AF256" s="23"/>
      <c r="AG256" s="26">
        <f t="shared" si="270"/>
        <v>977413.79</v>
      </c>
      <c r="AH256" s="27" t="s">
        <v>585</v>
      </c>
      <c r="AI256" s="28" t="s">
        <v>1379</v>
      </c>
      <c r="AJ256" s="29">
        <f>312590.47-8868.28+88856.3+55475.75+73233.76+50351.94+43692.49</f>
        <v>615332.42999999993</v>
      </c>
      <c r="AK256" s="29">
        <f>40972.78+16948.54+8885.07+13966.04+9602.34+8332.37</f>
        <v>98707.139999999985</v>
      </c>
    </row>
    <row r="257" spans="1:37" ht="267.75" x14ac:dyDescent="0.25">
      <c r="A257" s="12">
        <v>253</v>
      </c>
      <c r="B257" s="13">
        <v>112811</v>
      </c>
      <c r="C257" s="18">
        <v>196</v>
      </c>
      <c r="D257" s="14" t="s">
        <v>171</v>
      </c>
      <c r="E257" s="18" t="s">
        <v>165</v>
      </c>
      <c r="F257" s="75" t="s">
        <v>322</v>
      </c>
      <c r="G257" s="71" t="s">
        <v>397</v>
      </c>
      <c r="H257" s="30" t="s">
        <v>398</v>
      </c>
      <c r="I257" s="18" t="s">
        <v>185</v>
      </c>
      <c r="J257" s="19" t="s">
        <v>399</v>
      </c>
      <c r="K257" s="20">
        <v>43208</v>
      </c>
      <c r="L257" s="32">
        <v>43573</v>
      </c>
      <c r="M257" s="21">
        <f t="shared" si="266"/>
        <v>82.304184666338784</v>
      </c>
      <c r="N257" s="14" t="s">
        <v>324</v>
      </c>
      <c r="O257" s="14" t="s">
        <v>363</v>
      </c>
      <c r="P257" s="14" t="s">
        <v>363</v>
      </c>
      <c r="Q257" s="22" t="s">
        <v>326</v>
      </c>
      <c r="R257" s="14" t="s">
        <v>36</v>
      </c>
      <c r="S257" s="23">
        <f t="shared" si="268"/>
        <v>760931.29</v>
      </c>
      <c r="T257" s="23">
        <v>613624.79</v>
      </c>
      <c r="U257" s="23">
        <v>147306.5</v>
      </c>
      <c r="V257" s="23">
        <f t="shared" si="267"/>
        <v>145113.35999999999</v>
      </c>
      <c r="W257" s="23">
        <v>108286.73</v>
      </c>
      <c r="X257" s="23">
        <v>36826.629999999997</v>
      </c>
      <c r="Y257" s="23">
        <f t="shared" si="269"/>
        <v>0</v>
      </c>
      <c r="Z257" s="23">
        <v>0</v>
      </c>
      <c r="AA257" s="23">
        <v>0</v>
      </c>
      <c r="AB257" s="23">
        <f t="shared" si="271"/>
        <v>18490.71</v>
      </c>
      <c r="AC257" s="23">
        <v>14732.89</v>
      </c>
      <c r="AD257" s="23">
        <v>3757.82</v>
      </c>
      <c r="AE257" s="23">
        <f t="shared" si="272"/>
        <v>924535.36</v>
      </c>
      <c r="AF257" s="23"/>
      <c r="AG257" s="26">
        <f t="shared" si="270"/>
        <v>924535.36</v>
      </c>
      <c r="AH257" s="27" t="s">
        <v>1073</v>
      </c>
      <c r="AI257" s="28"/>
      <c r="AJ257" s="29">
        <f>91800+75057.16+74073.77+121742.1-7175.16+205568.39+83432.56</f>
        <v>644498.82000000007</v>
      </c>
      <c r="AK257" s="29">
        <f>14189.24+14126.23+23216.82+16262.9+21571.65+15911</f>
        <v>105277.84</v>
      </c>
    </row>
    <row r="258" spans="1:37" ht="409.5" x14ac:dyDescent="0.25">
      <c r="A258" s="14">
        <v>254</v>
      </c>
      <c r="B258" s="13">
        <v>112080</v>
      </c>
      <c r="C258" s="8">
        <v>354</v>
      </c>
      <c r="D258" s="14" t="s">
        <v>1320</v>
      </c>
      <c r="E258" s="18" t="s">
        <v>165</v>
      </c>
      <c r="F258" s="75" t="s">
        <v>322</v>
      </c>
      <c r="G258" s="71" t="s">
        <v>409</v>
      </c>
      <c r="H258" s="71" t="s">
        <v>408</v>
      </c>
      <c r="I258" s="18" t="s">
        <v>185</v>
      </c>
      <c r="J258" s="19" t="s">
        <v>527</v>
      </c>
      <c r="K258" s="20">
        <v>43214</v>
      </c>
      <c r="L258" s="32">
        <v>43701</v>
      </c>
      <c r="M258" s="21">
        <f t="shared" ref="M258:M289" si="273">S258/AE258*100</f>
        <v>82.304185109241828</v>
      </c>
      <c r="N258" s="14" t="s">
        <v>324</v>
      </c>
      <c r="O258" s="14" t="s">
        <v>363</v>
      </c>
      <c r="P258" s="14" t="s">
        <v>363</v>
      </c>
      <c r="Q258" s="22" t="s">
        <v>326</v>
      </c>
      <c r="R258" s="18" t="s">
        <v>36</v>
      </c>
      <c r="S258" s="23">
        <f t="shared" si="268"/>
        <v>570578.29</v>
      </c>
      <c r="T258" s="23">
        <v>460121.68</v>
      </c>
      <c r="U258" s="23">
        <v>110456.61</v>
      </c>
      <c r="V258" s="23">
        <f t="shared" ref="V258:V289" si="274">W258+X258</f>
        <v>108812.1</v>
      </c>
      <c r="W258" s="23">
        <v>81197.94</v>
      </c>
      <c r="X258" s="23">
        <v>27614.16</v>
      </c>
      <c r="Y258" s="23">
        <f t="shared" si="269"/>
        <v>0</v>
      </c>
      <c r="Z258" s="23">
        <v>0</v>
      </c>
      <c r="AA258" s="23">
        <v>0</v>
      </c>
      <c r="AB258" s="23">
        <f t="shared" ref="AB258:AB271" si="275">AC258+AD258</f>
        <v>13865.11</v>
      </c>
      <c r="AC258" s="23">
        <v>11047.34</v>
      </c>
      <c r="AD258" s="23">
        <v>2817.77</v>
      </c>
      <c r="AE258" s="23">
        <f t="shared" si="272"/>
        <v>693255.5</v>
      </c>
      <c r="AF258" s="23">
        <v>0</v>
      </c>
      <c r="AG258" s="26">
        <f t="shared" si="270"/>
        <v>693255.5</v>
      </c>
      <c r="AH258" s="27" t="s">
        <v>585</v>
      </c>
      <c r="AI258" s="28" t="s">
        <v>185</v>
      </c>
      <c r="AJ258" s="29">
        <f>105536.1+45768.53+51356.28+43663.9-6908.51+43134.7</f>
        <v>282551</v>
      </c>
      <c r="AK258" s="29">
        <f>6905.53+8728.29+18120.82+6908.51</f>
        <v>40663.15</v>
      </c>
    </row>
    <row r="259" spans="1:37" ht="315" x14ac:dyDescent="0.25">
      <c r="A259" s="12">
        <v>255</v>
      </c>
      <c r="B259" s="13">
        <v>111113</v>
      </c>
      <c r="C259" s="8">
        <v>252</v>
      </c>
      <c r="D259" s="14" t="s">
        <v>1320</v>
      </c>
      <c r="E259" s="18" t="s">
        <v>165</v>
      </c>
      <c r="F259" s="75" t="s">
        <v>322</v>
      </c>
      <c r="G259" s="71" t="s">
        <v>411</v>
      </c>
      <c r="H259" s="71" t="s">
        <v>1226</v>
      </c>
      <c r="I259" s="18" t="s">
        <v>437</v>
      </c>
      <c r="J259" s="19" t="s">
        <v>413</v>
      </c>
      <c r="K259" s="20">
        <v>43214</v>
      </c>
      <c r="L259" s="32">
        <v>43578</v>
      </c>
      <c r="M259" s="21">
        <f t="shared" si="273"/>
        <v>82.304185972255567</v>
      </c>
      <c r="N259" s="14" t="s">
        <v>324</v>
      </c>
      <c r="O259" s="14" t="s">
        <v>359</v>
      </c>
      <c r="P259" s="14" t="s">
        <v>412</v>
      </c>
      <c r="Q259" s="22" t="s">
        <v>326</v>
      </c>
      <c r="R259" s="18" t="s">
        <v>36</v>
      </c>
      <c r="S259" s="23">
        <f t="shared" ref="S259:S289" si="276">T259+U259</f>
        <v>793396.18</v>
      </c>
      <c r="T259" s="23">
        <v>639804.9</v>
      </c>
      <c r="U259" s="23">
        <v>153591.28</v>
      </c>
      <c r="V259" s="23">
        <f t="shared" si="274"/>
        <v>151304.57</v>
      </c>
      <c r="W259" s="23">
        <v>112906.75</v>
      </c>
      <c r="X259" s="23">
        <v>38397.82</v>
      </c>
      <c r="Y259" s="23">
        <f t="shared" ref="Y259:Y289" si="277">Z259+AA259</f>
        <v>0</v>
      </c>
      <c r="Z259" s="23">
        <v>0</v>
      </c>
      <c r="AA259" s="23">
        <v>0</v>
      </c>
      <c r="AB259" s="23">
        <f t="shared" si="275"/>
        <v>19279.599999999999</v>
      </c>
      <c r="AC259" s="23">
        <v>15361.46</v>
      </c>
      <c r="AD259" s="23">
        <v>3918.14</v>
      </c>
      <c r="AE259" s="23">
        <f t="shared" si="272"/>
        <v>963980.35</v>
      </c>
      <c r="AF259" s="23">
        <v>0</v>
      </c>
      <c r="AG259" s="26">
        <f t="shared" si="270"/>
        <v>963980.35</v>
      </c>
      <c r="AH259" s="27" t="s">
        <v>1073</v>
      </c>
      <c r="AI259" s="28" t="s">
        <v>185</v>
      </c>
      <c r="AJ259" s="29">
        <f>360374.76+80428.02+85558.08+11319.22+96397+20389.47</f>
        <v>654466.54999999993</v>
      </c>
      <c r="AK259" s="29">
        <f>36349.9+31943.22+13703.1+20542.02+22271.75</f>
        <v>124809.99</v>
      </c>
    </row>
    <row r="260" spans="1:37" ht="409.5" x14ac:dyDescent="0.25">
      <c r="A260" s="12">
        <v>256</v>
      </c>
      <c r="B260" s="13">
        <v>109880</v>
      </c>
      <c r="C260" s="8">
        <v>261</v>
      </c>
      <c r="D260" s="14" t="s">
        <v>175</v>
      </c>
      <c r="E260" s="18" t="s">
        <v>165</v>
      </c>
      <c r="F260" s="75" t="s">
        <v>322</v>
      </c>
      <c r="G260" s="71" t="s">
        <v>420</v>
      </c>
      <c r="H260" s="204" t="s">
        <v>418</v>
      </c>
      <c r="I260" s="72" t="s">
        <v>419</v>
      </c>
      <c r="J260" s="19" t="s">
        <v>528</v>
      </c>
      <c r="K260" s="20">
        <v>43214</v>
      </c>
      <c r="L260" s="32">
        <v>43640</v>
      </c>
      <c r="M260" s="21">
        <f t="shared" si="273"/>
        <v>82.304184374786118</v>
      </c>
      <c r="N260" s="14" t="s">
        <v>324</v>
      </c>
      <c r="O260" s="14" t="s">
        <v>263</v>
      </c>
      <c r="P260" s="14" t="s">
        <v>421</v>
      </c>
      <c r="Q260" s="22" t="s">
        <v>326</v>
      </c>
      <c r="R260" s="18" t="s">
        <v>36</v>
      </c>
      <c r="S260" s="23">
        <f t="shared" si="276"/>
        <v>782828.76</v>
      </c>
      <c r="T260" s="23">
        <v>631283.18999999994</v>
      </c>
      <c r="U260" s="23">
        <v>151545.57</v>
      </c>
      <c r="V260" s="23">
        <f t="shared" si="274"/>
        <v>149289.32</v>
      </c>
      <c r="W260" s="23">
        <v>111402.93</v>
      </c>
      <c r="X260" s="23">
        <v>37886.39</v>
      </c>
      <c r="Y260" s="23">
        <f t="shared" si="277"/>
        <v>0</v>
      </c>
      <c r="Z260" s="23"/>
      <c r="AA260" s="23"/>
      <c r="AB260" s="23">
        <f t="shared" si="275"/>
        <v>19022.82</v>
      </c>
      <c r="AC260" s="23">
        <v>15156.86</v>
      </c>
      <c r="AD260" s="23">
        <v>3865.96</v>
      </c>
      <c r="AE260" s="23">
        <f t="shared" si="272"/>
        <v>951140.9</v>
      </c>
      <c r="AF260" s="23"/>
      <c r="AG260" s="26">
        <f t="shared" si="270"/>
        <v>951140.9</v>
      </c>
      <c r="AH260" s="27" t="s">
        <v>1529</v>
      </c>
      <c r="AI260" s="28" t="s">
        <v>422</v>
      </c>
      <c r="AJ260" s="29">
        <f>158718.42+71720.08+35094.89+253530.72</f>
        <v>519064.11</v>
      </c>
      <c r="AK260" s="29">
        <f>13036.61+13677.37+23924.58+31117.83</f>
        <v>81756.390000000014</v>
      </c>
    </row>
    <row r="261" spans="1:37" ht="330.75" x14ac:dyDescent="0.25">
      <c r="A261" s="14">
        <v>257</v>
      </c>
      <c r="B261" s="13">
        <v>110309</v>
      </c>
      <c r="C261" s="8">
        <v>304</v>
      </c>
      <c r="D261" s="14" t="s">
        <v>1074</v>
      </c>
      <c r="E261" s="18" t="s">
        <v>165</v>
      </c>
      <c r="F261" s="75" t="s">
        <v>322</v>
      </c>
      <c r="G261" s="17" t="s">
        <v>454</v>
      </c>
      <c r="H261" s="30" t="s">
        <v>455</v>
      </c>
      <c r="I261" s="18" t="s">
        <v>185</v>
      </c>
      <c r="J261" s="19" t="s">
        <v>456</v>
      </c>
      <c r="K261" s="20">
        <v>43217</v>
      </c>
      <c r="L261" s="32">
        <v>43704</v>
      </c>
      <c r="M261" s="21">
        <f t="shared" si="273"/>
        <v>82.304186243827388</v>
      </c>
      <c r="N261" s="14" t="s">
        <v>324</v>
      </c>
      <c r="O261" s="14" t="s">
        <v>425</v>
      </c>
      <c r="P261" s="14" t="s">
        <v>425</v>
      </c>
      <c r="Q261" s="22" t="s">
        <v>326</v>
      </c>
      <c r="R261" s="18" t="s">
        <v>36</v>
      </c>
      <c r="S261" s="23">
        <f t="shared" si="276"/>
        <v>822248.59</v>
      </c>
      <c r="T261" s="23">
        <v>663071.85</v>
      </c>
      <c r="U261" s="23">
        <v>159176.74</v>
      </c>
      <c r="V261" s="23">
        <f t="shared" si="274"/>
        <v>156806.85999999999</v>
      </c>
      <c r="W261" s="23">
        <v>117012.68</v>
      </c>
      <c r="X261" s="23">
        <v>39794.18</v>
      </c>
      <c r="Y261" s="23">
        <f t="shared" si="277"/>
        <v>0</v>
      </c>
      <c r="Z261" s="23">
        <v>0</v>
      </c>
      <c r="AA261" s="23">
        <v>0</v>
      </c>
      <c r="AB261" s="23">
        <f t="shared" si="275"/>
        <v>19980.72</v>
      </c>
      <c r="AC261" s="23">
        <v>15920.09</v>
      </c>
      <c r="AD261" s="23">
        <v>4060.63</v>
      </c>
      <c r="AE261" s="23">
        <f t="shared" si="272"/>
        <v>999036.16999999993</v>
      </c>
      <c r="AF261" s="23">
        <v>0</v>
      </c>
      <c r="AG261" s="26">
        <f t="shared" si="270"/>
        <v>999036.16999999993</v>
      </c>
      <c r="AH261" s="27" t="s">
        <v>585</v>
      </c>
      <c r="AI261" s="28" t="s">
        <v>185</v>
      </c>
      <c r="AJ261" s="29">
        <f>83798.27+102389.01-8104.35+153466.67</f>
        <v>331549.59999999998</v>
      </c>
      <c r="AK261" s="29">
        <f>11201.73+6188.13+8104.35+19616.99</f>
        <v>45111.199999999997</v>
      </c>
    </row>
    <row r="262" spans="1:37" ht="204.75" x14ac:dyDescent="0.25">
      <c r="A262" s="12">
        <v>258</v>
      </c>
      <c r="B262" s="13">
        <v>112122</v>
      </c>
      <c r="C262" s="8">
        <v>172</v>
      </c>
      <c r="D262" s="14" t="s">
        <v>171</v>
      </c>
      <c r="E262" s="18" t="s">
        <v>165</v>
      </c>
      <c r="F262" s="75" t="s">
        <v>322</v>
      </c>
      <c r="G262" s="205" t="s">
        <v>423</v>
      </c>
      <c r="H262" s="30" t="s">
        <v>424</v>
      </c>
      <c r="I262" s="18" t="s">
        <v>185</v>
      </c>
      <c r="J262" s="19" t="s">
        <v>1284</v>
      </c>
      <c r="K262" s="20">
        <v>43217</v>
      </c>
      <c r="L262" s="32">
        <v>43704</v>
      </c>
      <c r="M262" s="21">
        <f t="shared" si="273"/>
        <v>82.30418763248349</v>
      </c>
      <c r="N262" s="14" t="s">
        <v>324</v>
      </c>
      <c r="O262" s="14" t="s">
        <v>263</v>
      </c>
      <c r="P262" s="14" t="s">
        <v>421</v>
      </c>
      <c r="Q262" s="22" t="s">
        <v>326</v>
      </c>
      <c r="R262" s="18" t="s">
        <v>36</v>
      </c>
      <c r="S262" s="23">
        <f t="shared" si="276"/>
        <v>773010.27999999991</v>
      </c>
      <c r="T262" s="23">
        <v>623365.43999999994</v>
      </c>
      <c r="U262" s="23">
        <v>149644.84</v>
      </c>
      <c r="V262" s="23">
        <f t="shared" si="274"/>
        <v>147416.85999999999</v>
      </c>
      <c r="W262" s="23">
        <v>110005.65</v>
      </c>
      <c r="X262" s="23">
        <v>37411.21</v>
      </c>
      <c r="Y262" s="23">
        <f t="shared" si="277"/>
        <v>0</v>
      </c>
      <c r="Z262" s="23">
        <v>0</v>
      </c>
      <c r="AA262" s="23">
        <v>0</v>
      </c>
      <c r="AB262" s="23">
        <f t="shared" si="275"/>
        <v>18784.22</v>
      </c>
      <c r="AC262" s="23">
        <v>14966.72</v>
      </c>
      <c r="AD262" s="23">
        <v>3817.5</v>
      </c>
      <c r="AE262" s="23">
        <f t="shared" si="272"/>
        <v>939211.35999999987</v>
      </c>
      <c r="AF262" s="23">
        <v>0</v>
      </c>
      <c r="AG262" s="26">
        <f t="shared" ref="AG262:AG325" si="278">AE262+AF262</f>
        <v>939211.35999999987</v>
      </c>
      <c r="AH262" s="27" t="s">
        <v>585</v>
      </c>
      <c r="AI262" s="28" t="s">
        <v>1438</v>
      </c>
      <c r="AJ262" s="29">
        <f>203464.35+52738-9972.73+62266+18526.35+82225+36211.55+59667.9</f>
        <v>505126.42</v>
      </c>
      <c r="AK262" s="29">
        <f>20890.44+10057.4+9972.73+19214.05+7939.81+11378.95</f>
        <v>79453.37999999999</v>
      </c>
    </row>
    <row r="263" spans="1:37" ht="409.5" x14ac:dyDescent="0.25">
      <c r="A263" s="12">
        <v>259</v>
      </c>
      <c r="B263" s="13">
        <v>111683</v>
      </c>
      <c r="C263" s="8">
        <v>339</v>
      </c>
      <c r="D263" s="14" t="s">
        <v>1074</v>
      </c>
      <c r="E263" s="18" t="s">
        <v>165</v>
      </c>
      <c r="F263" s="75" t="s">
        <v>322</v>
      </c>
      <c r="G263" s="17" t="s">
        <v>438</v>
      </c>
      <c r="H263" s="17" t="s">
        <v>439</v>
      </c>
      <c r="I263" s="18" t="s">
        <v>185</v>
      </c>
      <c r="J263" s="19" t="s">
        <v>529</v>
      </c>
      <c r="K263" s="20">
        <v>43227</v>
      </c>
      <c r="L263" s="32">
        <v>43715</v>
      </c>
      <c r="M263" s="21">
        <f t="shared" si="273"/>
        <v>82.304184760647772</v>
      </c>
      <c r="N263" s="14" t="s">
        <v>324</v>
      </c>
      <c r="O263" s="14" t="s">
        <v>312</v>
      </c>
      <c r="P263" s="14" t="s">
        <v>312</v>
      </c>
      <c r="Q263" s="22" t="s">
        <v>326</v>
      </c>
      <c r="R263" s="18" t="s">
        <v>36</v>
      </c>
      <c r="S263" s="23">
        <f t="shared" si="276"/>
        <v>791387.51</v>
      </c>
      <c r="T263" s="23">
        <v>638185.07999999996</v>
      </c>
      <c r="U263" s="206">
        <v>153202.43</v>
      </c>
      <c r="V263" s="23">
        <f t="shared" si="274"/>
        <v>150921.51</v>
      </c>
      <c r="W263" s="207">
        <v>112620.9</v>
      </c>
      <c r="X263" s="23">
        <v>38300.61</v>
      </c>
      <c r="Y263" s="23">
        <f t="shared" si="277"/>
        <v>0</v>
      </c>
      <c r="Z263" s="23">
        <v>0</v>
      </c>
      <c r="AA263" s="23">
        <v>0</v>
      </c>
      <c r="AB263" s="23">
        <f t="shared" si="275"/>
        <v>19230.8</v>
      </c>
      <c r="AC263" s="23">
        <v>15322.57</v>
      </c>
      <c r="AD263" s="23">
        <v>3908.23</v>
      </c>
      <c r="AE263" s="23">
        <f t="shared" si="272"/>
        <v>961539.82000000007</v>
      </c>
      <c r="AF263" s="23"/>
      <c r="AG263" s="26">
        <f t="shared" si="278"/>
        <v>961539.82000000007</v>
      </c>
      <c r="AH263" s="27" t="s">
        <v>585</v>
      </c>
      <c r="AI263" s="28" t="s">
        <v>185</v>
      </c>
      <c r="AJ263" s="29">
        <f>96153.98-3298.47-11810.23+94334.22</f>
        <v>175379.5</v>
      </c>
      <c r="AK263" s="29">
        <f>3298.47+11810.23</f>
        <v>15108.699999999999</v>
      </c>
    </row>
    <row r="264" spans="1:37" ht="409.5" x14ac:dyDescent="0.25">
      <c r="A264" s="14">
        <v>260</v>
      </c>
      <c r="B264" s="13">
        <v>112332</v>
      </c>
      <c r="C264" s="8">
        <v>351</v>
      </c>
      <c r="D264" s="14" t="s">
        <v>1320</v>
      </c>
      <c r="E264" s="18" t="s">
        <v>165</v>
      </c>
      <c r="F264" s="75" t="s">
        <v>322</v>
      </c>
      <c r="G264" s="69" t="s">
        <v>440</v>
      </c>
      <c r="H264" s="208" t="s">
        <v>441</v>
      </c>
      <c r="I264" s="205" t="s">
        <v>442</v>
      </c>
      <c r="J264" s="19" t="s">
        <v>443</v>
      </c>
      <c r="K264" s="20">
        <v>43227</v>
      </c>
      <c r="L264" s="32">
        <v>43653</v>
      </c>
      <c r="M264" s="21">
        <f t="shared" si="273"/>
        <v>82.304185552831029</v>
      </c>
      <c r="N264" s="14" t="s">
        <v>324</v>
      </c>
      <c r="O264" s="14" t="s">
        <v>995</v>
      </c>
      <c r="P264" s="14" t="s">
        <v>996</v>
      </c>
      <c r="Q264" s="22" t="s">
        <v>326</v>
      </c>
      <c r="R264" s="18" t="s">
        <v>36</v>
      </c>
      <c r="S264" s="23">
        <f t="shared" si="276"/>
        <v>785144.49</v>
      </c>
      <c r="T264" s="23">
        <v>633150.63</v>
      </c>
      <c r="U264" s="23">
        <v>151993.85999999999</v>
      </c>
      <c r="V264" s="23">
        <f t="shared" si="274"/>
        <v>149730.93</v>
      </c>
      <c r="W264" s="23">
        <v>111732.46</v>
      </c>
      <c r="X264" s="23">
        <v>37998.47</v>
      </c>
      <c r="Y264" s="23">
        <f t="shared" si="277"/>
        <v>0</v>
      </c>
      <c r="Z264" s="23">
        <v>0</v>
      </c>
      <c r="AA264" s="23">
        <v>0</v>
      </c>
      <c r="AB264" s="23">
        <f t="shared" si="275"/>
        <v>19079.09</v>
      </c>
      <c r="AC264" s="23">
        <v>15201.7</v>
      </c>
      <c r="AD264" s="23">
        <v>3877.39</v>
      </c>
      <c r="AE264" s="23">
        <f t="shared" si="272"/>
        <v>953954.50999999989</v>
      </c>
      <c r="AF264" s="23">
        <v>0</v>
      </c>
      <c r="AG264" s="26">
        <f t="shared" si="278"/>
        <v>953954.50999999989</v>
      </c>
      <c r="AH264" s="27" t="s">
        <v>585</v>
      </c>
      <c r="AI264" s="28" t="s">
        <v>185</v>
      </c>
      <c r="AJ264" s="29">
        <f>103189.19-10344.17+64585.92+101525.85+67050.25</f>
        <v>326007.04000000004</v>
      </c>
      <c r="AK264" s="29">
        <f>6891.88+10344.17+32148.26</f>
        <v>49384.31</v>
      </c>
    </row>
    <row r="265" spans="1:37" ht="299.25" x14ac:dyDescent="0.25">
      <c r="A265" s="12">
        <v>261</v>
      </c>
      <c r="B265" s="13">
        <v>115657</v>
      </c>
      <c r="C265" s="8">
        <v>390</v>
      </c>
      <c r="D265" s="14" t="s">
        <v>173</v>
      </c>
      <c r="E265" s="18" t="s">
        <v>165</v>
      </c>
      <c r="F265" s="16" t="s">
        <v>445</v>
      </c>
      <c r="G265" s="17" t="s">
        <v>444</v>
      </c>
      <c r="H265" s="17" t="s">
        <v>42</v>
      </c>
      <c r="I265" s="14" t="s">
        <v>446</v>
      </c>
      <c r="J265" s="19" t="s">
        <v>447</v>
      </c>
      <c r="K265" s="20">
        <v>43223</v>
      </c>
      <c r="L265" s="32">
        <v>44015</v>
      </c>
      <c r="M265" s="21">
        <f t="shared" si="273"/>
        <v>83.983862800906138</v>
      </c>
      <c r="N265" s="14" t="s">
        <v>324</v>
      </c>
      <c r="O265" s="14" t="s">
        <v>363</v>
      </c>
      <c r="P265" s="14" t="s">
        <v>363</v>
      </c>
      <c r="Q265" s="22" t="s">
        <v>157</v>
      </c>
      <c r="R265" s="18" t="s">
        <v>36</v>
      </c>
      <c r="S265" s="23">
        <f t="shared" si="276"/>
        <v>5309367.55</v>
      </c>
      <c r="T265" s="23">
        <v>4281542.3499999996</v>
      </c>
      <c r="U265" s="23">
        <v>1027825.2</v>
      </c>
      <c r="V265" s="23">
        <f t="shared" si="274"/>
        <v>0</v>
      </c>
      <c r="W265" s="23">
        <v>0</v>
      </c>
      <c r="X265" s="23">
        <v>0</v>
      </c>
      <c r="Y265" s="23">
        <f t="shared" si="277"/>
        <v>1012522.6000000001</v>
      </c>
      <c r="Z265" s="23">
        <v>755566.3</v>
      </c>
      <c r="AA265" s="23">
        <v>256956.3</v>
      </c>
      <c r="AB265" s="23">
        <f t="shared" si="275"/>
        <v>0</v>
      </c>
      <c r="AC265" s="23">
        <v>0</v>
      </c>
      <c r="AD265" s="23">
        <v>0</v>
      </c>
      <c r="AE265" s="23">
        <f t="shared" si="272"/>
        <v>6321890.1500000004</v>
      </c>
      <c r="AF265" s="23">
        <v>0</v>
      </c>
      <c r="AG265" s="26">
        <f t="shared" si="278"/>
        <v>6321890.1500000004</v>
      </c>
      <c r="AH265" s="27" t="s">
        <v>585</v>
      </c>
      <c r="AI265" s="28" t="s">
        <v>1040</v>
      </c>
      <c r="AJ265" s="29">
        <f>353113.65+235442.42+97604.52</f>
        <v>686160.59000000008</v>
      </c>
      <c r="AK265" s="29">
        <v>0</v>
      </c>
    </row>
    <row r="266" spans="1:37" ht="220.5" x14ac:dyDescent="0.25">
      <c r="A266" s="12">
        <v>262</v>
      </c>
      <c r="B266" s="13">
        <v>121858</v>
      </c>
      <c r="C266" s="8">
        <v>50</v>
      </c>
      <c r="D266" s="14" t="s">
        <v>170</v>
      </c>
      <c r="E266" s="18" t="s">
        <v>165</v>
      </c>
      <c r="F266" s="75" t="s">
        <v>128</v>
      </c>
      <c r="G266" s="30" t="s">
        <v>448</v>
      </c>
      <c r="H266" s="30" t="s">
        <v>453</v>
      </c>
      <c r="I266" s="18" t="s">
        <v>349</v>
      </c>
      <c r="J266" s="19" t="s">
        <v>449</v>
      </c>
      <c r="K266" s="20">
        <v>43229</v>
      </c>
      <c r="L266" s="32">
        <v>44144</v>
      </c>
      <c r="M266" s="21">
        <f t="shared" si="273"/>
        <v>83.983862841119134</v>
      </c>
      <c r="N266" s="14" t="s">
        <v>324</v>
      </c>
      <c r="O266" s="14" t="s">
        <v>363</v>
      </c>
      <c r="P266" s="14" t="s">
        <v>363</v>
      </c>
      <c r="Q266" s="22" t="s">
        <v>157</v>
      </c>
      <c r="R266" s="14" t="s">
        <v>36</v>
      </c>
      <c r="S266" s="23">
        <f t="shared" si="276"/>
        <v>9905083.2300000004</v>
      </c>
      <c r="T266" s="23">
        <v>7987586.6500000004</v>
      </c>
      <c r="U266" s="23">
        <v>1917496.58</v>
      </c>
      <c r="V266" s="23">
        <f t="shared" si="274"/>
        <v>0</v>
      </c>
      <c r="W266" s="23">
        <v>0</v>
      </c>
      <c r="X266" s="23">
        <v>0</v>
      </c>
      <c r="Y266" s="23">
        <f t="shared" si="277"/>
        <v>1888948.2600000002</v>
      </c>
      <c r="Z266" s="25">
        <v>1409574.12</v>
      </c>
      <c r="AA266" s="23">
        <v>479374.14</v>
      </c>
      <c r="AB266" s="23">
        <f t="shared" si="275"/>
        <v>0</v>
      </c>
      <c r="AC266" s="23">
        <v>0</v>
      </c>
      <c r="AD266" s="23">
        <v>0</v>
      </c>
      <c r="AE266" s="23">
        <f t="shared" ref="AE266:AE268" si="279">S266+V266+Y266+AB266</f>
        <v>11794031.49</v>
      </c>
      <c r="AF266" s="23">
        <v>0</v>
      </c>
      <c r="AG266" s="26">
        <f t="shared" si="278"/>
        <v>11794031.49</v>
      </c>
      <c r="AH266" s="27" t="s">
        <v>585</v>
      </c>
      <c r="AI266" s="28" t="s">
        <v>185</v>
      </c>
      <c r="AJ266" s="29">
        <f>46758.01+81807.84+85847.46+78522.48</f>
        <v>292935.78999999998</v>
      </c>
      <c r="AK266" s="29">
        <v>0</v>
      </c>
    </row>
    <row r="267" spans="1:37" ht="409.5" x14ac:dyDescent="0.25">
      <c r="A267" s="14">
        <v>263</v>
      </c>
      <c r="B267" s="13">
        <v>116172</v>
      </c>
      <c r="C267" s="8">
        <v>391</v>
      </c>
      <c r="D267" s="14" t="s">
        <v>170</v>
      </c>
      <c r="E267" s="18" t="s">
        <v>165</v>
      </c>
      <c r="F267" s="16" t="s">
        <v>445</v>
      </c>
      <c r="G267" s="71" t="s">
        <v>458</v>
      </c>
      <c r="H267" s="30" t="s">
        <v>459</v>
      </c>
      <c r="I267" s="69" t="s">
        <v>460</v>
      </c>
      <c r="J267" s="112" t="s">
        <v>530</v>
      </c>
      <c r="K267" s="20">
        <v>43230</v>
      </c>
      <c r="L267" s="32">
        <v>44022</v>
      </c>
      <c r="M267" s="21">
        <f t="shared" si="273"/>
        <v>83.983862781809307</v>
      </c>
      <c r="N267" s="14" t="s">
        <v>324</v>
      </c>
      <c r="O267" s="14" t="s">
        <v>363</v>
      </c>
      <c r="P267" s="14" t="s">
        <v>363</v>
      </c>
      <c r="Q267" s="22" t="s">
        <v>157</v>
      </c>
      <c r="R267" s="14" t="s">
        <v>36</v>
      </c>
      <c r="S267" s="23">
        <f>T267+U267</f>
        <v>6564977.1999999993</v>
      </c>
      <c r="T267" s="23">
        <v>5294082.1399999997</v>
      </c>
      <c r="U267" s="23">
        <v>1270895.06</v>
      </c>
      <c r="V267" s="23">
        <f t="shared" si="274"/>
        <v>0</v>
      </c>
      <c r="W267" s="23">
        <v>0</v>
      </c>
      <c r="X267" s="23">
        <v>0</v>
      </c>
      <c r="Y267" s="23">
        <f t="shared" si="277"/>
        <v>1251973.56</v>
      </c>
      <c r="Z267" s="23">
        <v>934249.79</v>
      </c>
      <c r="AA267" s="23">
        <v>317723.77</v>
      </c>
      <c r="AB267" s="23">
        <f t="shared" si="275"/>
        <v>0</v>
      </c>
      <c r="AC267" s="23">
        <v>0</v>
      </c>
      <c r="AD267" s="23"/>
      <c r="AE267" s="23">
        <f t="shared" si="279"/>
        <v>7816950.7599999998</v>
      </c>
      <c r="AF267" s="23">
        <v>0</v>
      </c>
      <c r="AG267" s="26">
        <f t="shared" si="278"/>
        <v>7816950.7599999998</v>
      </c>
      <c r="AH267" s="27" t="s">
        <v>585</v>
      </c>
      <c r="AI267" s="28" t="s">
        <v>185</v>
      </c>
      <c r="AJ267" s="29">
        <f>25605.84+62835.23+42330.38</f>
        <v>130771.45000000001</v>
      </c>
      <c r="AK267" s="29">
        <v>0</v>
      </c>
    </row>
    <row r="268" spans="1:37" ht="299.25" x14ac:dyDescent="0.25">
      <c r="A268" s="12">
        <v>264</v>
      </c>
      <c r="B268" s="13">
        <v>111701</v>
      </c>
      <c r="C268" s="8">
        <v>251</v>
      </c>
      <c r="D268" s="14" t="s">
        <v>1320</v>
      </c>
      <c r="E268" s="18" t="s">
        <v>165</v>
      </c>
      <c r="F268" s="75" t="s">
        <v>322</v>
      </c>
      <c r="G268" s="69" t="s">
        <v>461</v>
      </c>
      <c r="H268" s="209" t="s">
        <v>462</v>
      </c>
      <c r="I268" s="209" t="s">
        <v>463</v>
      </c>
      <c r="J268" s="210" t="s">
        <v>531</v>
      </c>
      <c r="K268" s="20">
        <v>43231</v>
      </c>
      <c r="L268" s="32">
        <v>43780</v>
      </c>
      <c r="M268" s="21">
        <f t="shared" ref="M268" si="280">S268/AE268*100</f>
        <v>82.304184042493461</v>
      </c>
      <c r="N268" s="14" t="s">
        <v>324</v>
      </c>
      <c r="O268" s="14" t="s">
        <v>270</v>
      </c>
      <c r="P268" s="14" t="s">
        <v>270</v>
      </c>
      <c r="Q268" s="22" t="s">
        <v>326</v>
      </c>
      <c r="R268" s="18" t="s">
        <v>36</v>
      </c>
      <c r="S268" s="23">
        <f t="shared" ref="S268" si="281">T268+U268</f>
        <v>783324.87</v>
      </c>
      <c r="T268" s="23">
        <v>631683.26</v>
      </c>
      <c r="U268" s="23">
        <v>151641.60999999999</v>
      </c>
      <c r="V268" s="23">
        <f t="shared" ref="V268" si="282">W268+X268</f>
        <v>149383.93</v>
      </c>
      <c r="W268" s="23">
        <v>111473.52</v>
      </c>
      <c r="X268" s="23">
        <v>37910.410000000003</v>
      </c>
      <c r="Y268" s="23">
        <f t="shared" ref="Y268" si="283">Z268+AA268</f>
        <v>0</v>
      </c>
      <c r="Z268" s="23">
        <v>0</v>
      </c>
      <c r="AA268" s="23">
        <v>0</v>
      </c>
      <c r="AB268" s="23">
        <f t="shared" ref="AB268" si="284">AC268+AD268</f>
        <v>19034.879999999997</v>
      </c>
      <c r="AC268" s="23">
        <v>15166.47</v>
      </c>
      <c r="AD268" s="23">
        <v>3868.41</v>
      </c>
      <c r="AE268" s="23">
        <f t="shared" si="279"/>
        <v>951743.68</v>
      </c>
      <c r="AF268" s="23">
        <v>4162.62</v>
      </c>
      <c r="AG268" s="26">
        <f t="shared" si="278"/>
        <v>955906.3</v>
      </c>
      <c r="AH268" s="27" t="s">
        <v>585</v>
      </c>
      <c r="AI268" s="28" t="s">
        <v>185</v>
      </c>
      <c r="AJ268" s="29">
        <f>95051.96+39484.25+23955.55-8000</f>
        <v>150491.76</v>
      </c>
      <c r="AK268" s="29">
        <f>15075.6+9055.47+4568.44</f>
        <v>28699.51</v>
      </c>
    </row>
    <row r="269" spans="1:37" ht="330" x14ac:dyDescent="0.25">
      <c r="A269" s="12">
        <v>265</v>
      </c>
      <c r="B269" s="13">
        <v>111284</v>
      </c>
      <c r="C269" s="8">
        <v>182</v>
      </c>
      <c r="D269" s="14" t="s">
        <v>171</v>
      </c>
      <c r="E269" s="18" t="s">
        <v>165</v>
      </c>
      <c r="F269" s="75" t="s">
        <v>322</v>
      </c>
      <c r="G269" s="69" t="s">
        <v>468</v>
      </c>
      <c r="H269" s="14" t="s">
        <v>469</v>
      </c>
      <c r="I269" s="211"/>
      <c r="J269" s="80" t="s">
        <v>532</v>
      </c>
      <c r="K269" s="20">
        <v>43236</v>
      </c>
      <c r="L269" s="32">
        <v>43724</v>
      </c>
      <c r="M269" s="21">
        <f t="shared" si="273"/>
        <v>82.304186150868873</v>
      </c>
      <c r="N269" s="14" t="s">
        <v>324</v>
      </c>
      <c r="O269" s="14" t="s">
        <v>222</v>
      </c>
      <c r="P269" s="14" t="s">
        <v>470</v>
      </c>
      <c r="Q269" s="22" t="s">
        <v>326</v>
      </c>
      <c r="R269" s="18" t="s">
        <v>36</v>
      </c>
      <c r="S269" s="23">
        <f t="shared" si="276"/>
        <v>820224.26</v>
      </c>
      <c r="T269" s="23">
        <v>661439.4</v>
      </c>
      <c r="U269" s="23">
        <v>158784.85999999999</v>
      </c>
      <c r="V269" s="23">
        <f t="shared" si="274"/>
        <v>156420.81</v>
      </c>
      <c r="W269" s="23">
        <v>116724.6</v>
      </c>
      <c r="X269" s="23">
        <v>39696.21</v>
      </c>
      <c r="Y269" s="23">
        <f t="shared" si="277"/>
        <v>0</v>
      </c>
      <c r="Z269" s="23"/>
      <c r="AA269" s="23"/>
      <c r="AB269" s="23">
        <f t="shared" si="275"/>
        <v>19931.53</v>
      </c>
      <c r="AC269" s="23">
        <v>15880.9</v>
      </c>
      <c r="AD269" s="23">
        <v>4050.63</v>
      </c>
      <c r="AE269" s="23">
        <f t="shared" si="272"/>
        <v>996576.60000000009</v>
      </c>
      <c r="AF269" s="23"/>
      <c r="AG269" s="26">
        <f t="shared" si="278"/>
        <v>996576.60000000009</v>
      </c>
      <c r="AH269" s="27" t="s">
        <v>585</v>
      </c>
      <c r="AI269" s="28" t="s">
        <v>185</v>
      </c>
      <c r="AJ269" s="29">
        <f>89946.09+50286.21+28089.49+78330.42+133065.34+69728.09</f>
        <v>449445.6399999999</v>
      </c>
      <c r="AK269" s="29">
        <f>8053.91+20294.8+25376.22+13297.51</f>
        <v>67022.44</v>
      </c>
    </row>
    <row r="270" spans="1:37" ht="240" x14ac:dyDescent="0.25">
      <c r="A270" s="14">
        <v>266</v>
      </c>
      <c r="B270" s="13">
        <v>116994</v>
      </c>
      <c r="C270" s="8">
        <v>399</v>
      </c>
      <c r="D270" s="14" t="s">
        <v>170</v>
      </c>
      <c r="E270" s="18" t="s">
        <v>165</v>
      </c>
      <c r="F270" s="16" t="s">
        <v>445</v>
      </c>
      <c r="G270" s="69" t="s">
        <v>471</v>
      </c>
      <c r="H270" s="17" t="s">
        <v>87</v>
      </c>
      <c r="I270" s="105" t="s">
        <v>349</v>
      </c>
      <c r="J270" s="80" t="s">
        <v>533</v>
      </c>
      <c r="K270" s="20">
        <v>43236</v>
      </c>
      <c r="L270" s="32">
        <v>44028</v>
      </c>
      <c r="M270" s="21">
        <f t="shared" si="273"/>
        <v>83.983862868396045</v>
      </c>
      <c r="N270" s="14" t="s">
        <v>324</v>
      </c>
      <c r="O270" s="14" t="s">
        <v>156</v>
      </c>
      <c r="P270" s="14" t="s">
        <v>156</v>
      </c>
      <c r="Q270" s="22" t="s">
        <v>157</v>
      </c>
      <c r="R270" s="18" t="s">
        <v>36</v>
      </c>
      <c r="S270" s="23">
        <f>T270+U270</f>
        <v>6570135.6299999999</v>
      </c>
      <c r="T270" s="23">
        <v>5298241.96</v>
      </c>
      <c r="U270" s="23">
        <v>1271893.67</v>
      </c>
      <c r="V270" s="23">
        <f>W270+X270</f>
        <v>0</v>
      </c>
      <c r="W270" s="23">
        <v>0</v>
      </c>
      <c r="X270" s="23">
        <v>0</v>
      </c>
      <c r="Y270" s="23">
        <f>Z270+AA270</f>
        <v>1252957.29</v>
      </c>
      <c r="Z270" s="23">
        <v>934983.88</v>
      </c>
      <c r="AA270" s="23">
        <v>317973.40999999997</v>
      </c>
      <c r="AB270" s="23">
        <f t="shared" si="275"/>
        <v>0</v>
      </c>
      <c r="AC270" s="23">
        <v>0</v>
      </c>
      <c r="AD270" s="23">
        <v>0</v>
      </c>
      <c r="AE270" s="23">
        <f t="shared" si="272"/>
        <v>7823092.9199999999</v>
      </c>
      <c r="AF270" s="23">
        <v>0</v>
      </c>
      <c r="AG270" s="26">
        <f t="shared" si="278"/>
        <v>7823092.9199999999</v>
      </c>
      <c r="AH270" s="27" t="s">
        <v>585</v>
      </c>
      <c r="AI270" s="28"/>
      <c r="AJ270" s="29">
        <f>4248.74+31166.22+89220.52</f>
        <v>124635.48000000001</v>
      </c>
      <c r="AK270" s="29">
        <v>0</v>
      </c>
    </row>
    <row r="271" spans="1:37" ht="300" x14ac:dyDescent="0.25">
      <c r="A271" s="12">
        <v>267</v>
      </c>
      <c r="B271" s="13">
        <v>112921</v>
      </c>
      <c r="C271" s="8">
        <v>288</v>
      </c>
      <c r="D271" s="14" t="s">
        <v>1074</v>
      </c>
      <c r="E271" s="18" t="s">
        <v>165</v>
      </c>
      <c r="F271" s="16" t="s">
        <v>322</v>
      </c>
      <c r="G271" s="71" t="s">
        <v>473</v>
      </c>
      <c r="H271" s="17" t="s">
        <v>472</v>
      </c>
      <c r="I271" s="18" t="s">
        <v>474</v>
      </c>
      <c r="J271" s="80" t="s">
        <v>475</v>
      </c>
      <c r="K271" s="20">
        <v>43236</v>
      </c>
      <c r="L271" s="32">
        <v>43724</v>
      </c>
      <c r="M271" s="21">
        <f t="shared" si="273"/>
        <v>82.304184477468439</v>
      </c>
      <c r="N271" s="14" t="s">
        <v>324</v>
      </c>
      <c r="O271" s="14" t="s">
        <v>745</v>
      </c>
      <c r="P271" s="14" t="s">
        <v>745</v>
      </c>
      <c r="Q271" s="22" t="s">
        <v>326</v>
      </c>
      <c r="R271" s="18" t="s">
        <v>36</v>
      </c>
      <c r="S271" s="23">
        <f>T271+U271</f>
        <v>692528.19000000006</v>
      </c>
      <c r="T271" s="23">
        <v>558463.68000000005</v>
      </c>
      <c r="U271" s="23">
        <v>134064.51</v>
      </c>
      <c r="V271" s="23">
        <f>W271+X271</f>
        <v>132068.54999999999</v>
      </c>
      <c r="W271" s="23">
        <v>98552.39</v>
      </c>
      <c r="X271" s="23">
        <v>33516.160000000003</v>
      </c>
      <c r="Y271" s="23">
        <f>Z271+AA271</f>
        <v>0</v>
      </c>
      <c r="Z271" s="23">
        <v>0</v>
      </c>
      <c r="AA271" s="23">
        <v>0</v>
      </c>
      <c r="AB271" s="23">
        <f t="shared" si="275"/>
        <v>16828.509999999998</v>
      </c>
      <c r="AC271" s="23">
        <v>13408.49</v>
      </c>
      <c r="AD271" s="23">
        <v>3420.02</v>
      </c>
      <c r="AE271" s="23">
        <f t="shared" ref="AE271:AE289" si="285">S271+V271+Y271+AB271</f>
        <v>841425.25</v>
      </c>
      <c r="AF271" s="23">
        <v>0</v>
      </c>
      <c r="AG271" s="26">
        <f t="shared" si="278"/>
        <v>841425.25</v>
      </c>
      <c r="AH271" s="27" t="s">
        <v>585</v>
      </c>
      <c r="AI271" s="28" t="s">
        <v>1437</v>
      </c>
      <c r="AJ271" s="29">
        <f>59000+45054.47-7168.82+43487.54+82400+27588.29+82400</f>
        <v>332761.48</v>
      </c>
      <c r="AK271" s="29">
        <f>15760.94+11008.93+20975.3</f>
        <v>47745.17</v>
      </c>
    </row>
    <row r="272" spans="1:37" ht="150" x14ac:dyDescent="0.25">
      <c r="A272" s="12">
        <v>268</v>
      </c>
      <c r="B272" s="13">
        <v>122235</v>
      </c>
      <c r="C272" s="8">
        <v>60</v>
      </c>
      <c r="D272" s="14" t="s">
        <v>168</v>
      </c>
      <c r="E272" s="18" t="s">
        <v>169</v>
      </c>
      <c r="F272" s="16" t="s">
        <v>142</v>
      </c>
      <c r="G272" s="71" t="s">
        <v>476</v>
      </c>
      <c r="H272" s="14" t="s">
        <v>477</v>
      </c>
      <c r="I272" s="18" t="s">
        <v>185</v>
      </c>
      <c r="J272" s="80" t="s">
        <v>478</v>
      </c>
      <c r="K272" s="20">
        <v>43236</v>
      </c>
      <c r="L272" s="32">
        <v>44302</v>
      </c>
      <c r="M272" s="21">
        <f>S272/AE272*100</f>
        <v>83.983862861012312</v>
      </c>
      <c r="N272" s="14" t="s">
        <v>324</v>
      </c>
      <c r="O272" s="14" t="s">
        <v>312</v>
      </c>
      <c r="P272" s="14" t="s">
        <v>312</v>
      </c>
      <c r="Q272" s="22" t="s">
        <v>157</v>
      </c>
      <c r="R272" s="14" t="s">
        <v>36</v>
      </c>
      <c r="S272" s="23">
        <f>T272+U272</f>
        <v>9422880.1500000004</v>
      </c>
      <c r="T272" s="23">
        <v>7598731.8700000001</v>
      </c>
      <c r="U272" s="23">
        <v>1824148.28</v>
      </c>
      <c r="V272" s="23">
        <f t="shared" si="274"/>
        <v>0</v>
      </c>
      <c r="W272" s="23"/>
      <c r="X272" s="23"/>
      <c r="Y272" s="23">
        <f t="shared" si="277"/>
        <v>1796989.75</v>
      </c>
      <c r="Z272" s="23">
        <v>1340952.68</v>
      </c>
      <c r="AA272" s="23">
        <v>456037.07</v>
      </c>
      <c r="AB272" s="23">
        <f>AC272+AD272</f>
        <v>0</v>
      </c>
      <c r="AC272" s="23"/>
      <c r="AD272" s="23"/>
      <c r="AE272" s="23">
        <f t="shared" si="285"/>
        <v>11219869.9</v>
      </c>
      <c r="AF272" s="23">
        <v>0</v>
      </c>
      <c r="AG272" s="26">
        <f t="shared" si="278"/>
        <v>11219869.9</v>
      </c>
      <c r="AH272" s="27" t="s">
        <v>585</v>
      </c>
      <c r="AI272" s="28" t="s">
        <v>185</v>
      </c>
      <c r="AJ272" s="29">
        <f>177000+30000-137868.19+11251.1+63755.9</f>
        <v>144138.81</v>
      </c>
      <c r="AK272" s="29">
        <v>0</v>
      </c>
    </row>
    <row r="273" spans="1:37" ht="225" x14ac:dyDescent="0.25">
      <c r="A273" s="14">
        <v>269</v>
      </c>
      <c r="B273" s="13">
        <v>113205</v>
      </c>
      <c r="C273" s="8">
        <v>286</v>
      </c>
      <c r="D273" s="14" t="s">
        <v>1074</v>
      </c>
      <c r="E273" s="18" t="s">
        <v>165</v>
      </c>
      <c r="F273" s="16" t="s">
        <v>322</v>
      </c>
      <c r="G273" s="71" t="s">
        <v>479</v>
      </c>
      <c r="H273" s="17" t="s">
        <v>480</v>
      </c>
      <c r="I273" s="18" t="s">
        <v>481</v>
      </c>
      <c r="J273" s="80" t="s">
        <v>534</v>
      </c>
      <c r="K273" s="20">
        <v>43243</v>
      </c>
      <c r="L273" s="32">
        <v>43669</v>
      </c>
      <c r="M273" s="21">
        <f t="shared" si="273"/>
        <v>82.304187102769717</v>
      </c>
      <c r="N273" s="14" t="s">
        <v>324</v>
      </c>
      <c r="O273" s="14" t="s">
        <v>312</v>
      </c>
      <c r="P273" s="14" t="s">
        <v>312</v>
      </c>
      <c r="Q273" s="22" t="s">
        <v>157</v>
      </c>
      <c r="R273" s="14" t="s">
        <v>36</v>
      </c>
      <c r="S273" s="23">
        <f t="shared" si="276"/>
        <v>750653.75</v>
      </c>
      <c r="T273" s="23">
        <v>605336.84</v>
      </c>
      <c r="U273" s="23">
        <v>145316.91</v>
      </c>
      <c r="V273" s="23">
        <f t="shared" si="274"/>
        <v>143153.35999999999</v>
      </c>
      <c r="W273" s="23">
        <v>106824.15</v>
      </c>
      <c r="X273" s="23">
        <v>36329.21</v>
      </c>
      <c r="Y273" s="23">
        <f t="shared" si="277"/>
        <v>0</v>
      </c>
      <c r="Z273" s="23">
        <v>0</v>
      </c>
      <c r="AA273" s="23">
        <v>0</v>
      </c>
      <c r="AB273" s="23">
        <f t="shared" ref="AB273:AB289" si="286">AC273+AD273</f>
        <v>18240.96</v>
      </c>
      <c r="AC273" s="23">
        <v>14533.9</v>
      </c>
      <c r="AD273" s="23">
        <v>3707.06</v>
      </c>
      <c r="AE273" s="23">
        <f t="shared" si="285"/>
        <v>912048.07</v>
      </c>
      <c r="AF273" s="23">
        <v>0</v>
      </c>
      <c r="AG273" s="26">
        <f t="shared" si="278"/>
        <v>912048.07</v>
      </c>
      <c r="AH273" s="27" t="s">
        <v>585</v>
      </c>
      <c r="AI273" s="28"/>
      <c r="AJ273" s="29">
        <f>80989.07+73791.77+71604.65-11418.94+71296.47+10538.9+120276.34</f>
        <v>417078.26</v>
      </c>
      <c r="AK273" s="29">
        <f>12124.41+13655.35+11418.94+6176.71+18770.39</f>
        <v>62145.8</v>
      </c>
    </row>
    <row r="274" spans="1:37" ht="409.5" x14ac:dyDescent="0.25">
      <c r="A274" s="12">
        <v>270</v>
      </c>
      <c r="B274" s="13">
        <v>111084</v>
      </c>
      <c r="C274" s="8">
        <v>343</v>
      </c>
      <c r="D274" s="14" t="s">
        <v>1074</v>
      </c>
      <c r="E274" s="18" t="s">
        <v>165</v>
      </c>
      <c r="F274" s="16" t="s">
        <v>322</v>
      </c>
      <c r="G274" s="212" t="s">
        <v>482</v>
      </c>
      <c r="H274" s="213" t="s">
        <v>483</v>
      </c>
      <c r="I274" s="18" t="s">
        <v>482</v>
      </c>
      <c r="J274" s="80" t="s">
        <v>535</v>
      </c>
      <c r="K274" s="20">
        <v>43243</v>
      </c>
      <c r="L274" s="32">
        <v>43669</v>
      </c>
      <c r="M274" s="21">
        <f t="shared" si="273"/>
        <v>82.304185103544512</v>
      </c>
      <c r="N274" s="14" t="s">
        <v>324</v>
      </c>
      <c r="O274" s="14" t="s">
        <v>156</v>
      </c>
      <c r="P274" s="14" t="s">
        <v>156</v>
      </c>
      <c r="Q274" s="22" t="s">
        <v>326</v>
      </c>
      <c r="R274" s="14" t="s">
        <v>36</v>
      </c>
      <c r="S274" s="23">
        <f t="shared" si="276"/>
        <v>698744.26</v>
      </c>
      <c r="T274" s="214">
        <v>563476.37</v>
      </c>
      <c r="U274" s="214">
        <v>135267.89000000001</v>
      </c>
      <c r="V274" s="23">
        <f t="shared" si="274"/>
        <v>133253.97999999998</v>
      </c>
      <c r="W274" s="214">
        <v>99437.01</v>
      </c>
      <c r="X274" s="215">
        <v>33816.97</v>
      </c>
      <c r="Y274" s="23">
        <f t="shared" si="277"/>
        <v>0</v>
      </c>
      <c r="Z274" s="23"/>
      <c r="AA274" s="23"/>
      <c r="AB274" s="23">
        <f t="shared" si="286"/>
        <v>16979.560000000001</v>
      </c>
      <c r="AC274" s="214">
        <v>13528.85</v>
      </c>
      <c r="AD274" s="216">
        <v>3450.71</v>
      </c>
      <c r="AE274" s="23">
        <f t="shared" si="285"/>
        <v>848977.8</v>
      </c>
      <c r="AF274" s="23">
        <v>0</v>
      </c>
      <c r="AG274" s="26">
        <f t="shared" si="278"/>
        <v>848977.8</v>
      </c>
      <c r="AH274" s="27" t="s">
        <v>585</v>
      </c>
      <c r="AI274" s="28"/>
      <c r="AJ274" s="29">
        <f>81482.69+89509.54+12342.66+79890.06+56608.82</f>
        <v>319833.76999999996</v>
      </c>
      <c r="AK274" s="29">
        <f>12927.23+3853.32+17589.26+10795.58</f>
        <v>45165.39</v>
      </c>
    </row>
    <row r="275" spans="1:37" ht="409.5" x14ac:dyDescent="0.25">
      <c r="A275" s="12">
        <v>271</v>
      </c>
      <c r="B275" s="13">
        <v>110679</v>
      </c>
      <c r="C275" s="8">
        <v>197</v>
      </c>
      <c r="D275" s="14" t="s">
        <v>171</v>
      </c>
      <c r="E275" s="18" t="s">
        <v>165</v>
      </c>
      <c r="F275" s="16" t="s">
        <v>322</v>
      </c>
      <c r="G275" s="217" t="s">
        <v>484</v>
      </c>
      <c r="H275" s="30" t="s">
        <v>487</v>
      </c>
      <c r="I275" s="18" t="s">
        <v>185</v>
      </c>
      <c r="J275" s="19" t="s">
        <v>536</v>
      </c>
      <c r="K275" s="20">
        <v>43243</v>
      </c>
      <c r="L275" s="32">
        <v>43731</v>
      </c>
      <c r="M275" s="21">
        <f t="shared" si="273"/>
        <v>82.304185789589326</v>
      </c>
      <c r="N275" s="14" t="s">
        <v>324</v>
      </c>
      <c r="O275" s="14" t="s">
        <v>485</v>
      </c>
      <c r="P275" s="14" t="s">
        <v>486</v>
      </c>
      <c r="Q275" s="22" t="s">
        <v>326</v>
      </c>
      <c r="R275" s="14" t="s">
        <v>36</v>
      </c>
      <c r="S275" s="23">
        <f t="shared" si="276"/>
        <v>763944.72</v>
      </c>
      <c r="T275" s="23">
        <v>616054.86</v>
      </c>
      <c r="U275" s="23">
        <v>147889.85999999999</v>
      </c>
      <c r="V275" s="23">
        <f t="shared" si="274"/>
        <v>145688.03</v>
      </c>
      <c r="W275" s="23">
        <v>108715.56</v>
      </c>
      <c r="X275" s="23">
        <v>36972.47</v>
      </c>
      <c r="Y275" s="23">
        <f t="shared" si="277"/>
        <v>0</v>
      </c>
      <c r="Z275" s="23"/>
      <c r="AA275" s="23"/>
      <c r="AB275" s="23">
        <f t="shared" si="286"/>
        <v>18563.93</v>
      </c>
      <c r="AC275" s="23">
        <v>14791.23</v>
      </c>
      <c r="AD275" s="23">
        <v>3772.7</v>
      </c>
      <c r="AE275" s="23">
        <f t="shared" si="285"/>
        <v>928196.68</v>
      </c>
      <c r="AF275" s="23">
        <v>0</v>
      </c>
      <c r="AG275" s="26">
        <f t="shared" si="278"/>
        <v>928196.68</v>
      </c>
      <c r="AH275" s="27" t="s">
        <v>585</v>
      </c>
      <c r="AI275" s="218" t="s">
        <v>185</v>
      </c>
      <c r="AJ275" s="29">
        <f>155523.41+47135.61-8611.45+92000+71209.41-4305.28</f>
        <v>352951.69999999995</v>
      </c>
      <c r="AK275" s="29">
        <f>11958.04+8988.99+16058.8+13579.97+16723.79</f>
        <v>67309.59</v>
      </c>
    </row>
    <row r="276" spans="1:37" ht="299.25" x14ac:dyDescent="0.25">
      <c r="A276" s="14">
        <v>272</v>
      </c>
      <c r="B276" s="13">
        <v>112787</v>
      </c>
      <c r="C276" s="8">
        <v>276</v>
      </c>
      <c r="D276" s="14" t="s">
        <v>1074</v>
      </c>
      <c r="E276" s="18" t="s">
        <v>165</v>
      </c>
      <c r="F276" s="16" t="s">
        <v>322</v>
      </c>
      <c r="G276" s="219" t="s">
        <v>488</v>
      </c>
      <c r="H276" s="219" t="s">
        <v>489</v>
      </c>
      <c r="I276" s="18" t="s">
        <v>491</v>
      </c>
      <c r="J276" s="19" t="s">
        <v>492</v>
      </c>
      <c r="K276" s="20">
        <v>43243</v>
      </c>
      <c r="L276" s="32">
        <v>43731</v>
      </c>
      <c r="M276" s="21">
        <f t="shared" si="273"/>
        <v>82.304187377441963</v>
      </c>
      <c r="N276" s="14" t="s">
        <v>324</v>
      </c>
      <c r="O276" s="14" t="s">
        <v>490</v>
      </c>
      <c r="P276" s="14" t="s">
        <v>490</v>
      </c>
      <c r="Q276" s="22" t="s">
        <v>326</v>
      </c>
      <c r="R276" s="14" t="s">
        <v>36</v>
      </c>
      <c r="S276" s="23">
        <f t="shared" si="276"/>
        <v>813947.08000000007</v>
      </c>
      <c r="T276" s="23">
        <v>656377.4</v>
      </c>
      <c r="U276" s="23">
        <v>157569.68</v>
      </c>
      <c r="V276" s="23">
        <f t="shared" si="274"/>
        <v>155223.71000000002</v>
      </c>
      <c r="W276" s="23">
        <v>115831.3</v>
      </c>
      <c r="X276" s="23">
        <v>39392.410000000003</v>
      </c>
      <c r="Y276" s="23">
        <f t="shared" si="277"/>
        <v>0</v>
      </c>
      <c r="Z276" s="23"/>
      <c r="AA276" s="23"/>
      <c r="AB276" s="23">
        <f t="shared" si="286"/>
        <v>19778.990000000002</v>
      </c>
      <c r="AC276" s="23">
        <v>15759.36</v>
      </c>
      <c r="AD276" s="23">
        <v>4019.63</v>
      </c>
      <c r="AE276" s="23">
        <f t="shared" si="285"/>
        <v>988949.78</v>
      </c>
      <c r="AF276" s="23">
        <v>0</v>
      </c>
      <c r="AG276" s="26">
        <f t="shared" si="278"/>
        <v>988949.78</v>
      </c>
      <c r="AH276" s="27" t="s">
        <v>585</v>
      </c>
      <c r="AI276" s="28" t="s">
        <v>185</v>
      </c>
      <c r="AJ276" s="29">
        <f>188133.51-12724.93+92979.94+80602.08+76904.04</f>
        <v>425894.64</v>
      </c>
      <c r="AK276" s="29">
        <f>20686.62+12745.2+880.06+15371.21+4436.91+9586.41</f>
        <v>63706.41</v>
      </c>
    </row>
    <row r="277" spans="1:37" ht="189" x14ac:dyDescent="0.25">
      <c r="A277" s="12">
        <v>273</v>
      </c>
      <c r="B277" s="13">
        <v>110998</v>
      </c>
      <c r="C277" s="8">
        <v>333</v>
      </c>
      <c r="D277" s="14" t="s">
        <v>170</v>
      </c>
      <c r="E277" s="18" t="s">
        <v>165</v>
      </c>
      <c r="F277" s="16" t="s">
        <v>322</v>
      </c>
      <c r="G277" s="219" t="s">
        <v>493</v>
      </c>
      <c r="H277" s="219" t="s">
        <v>494</v>
      </c>
      <c r="I277" s="18" t="s">
        <v>185</v>
      </c>
      <c r="J277" s="19" t="s">
        <v>537</v>
      </c>
      <c r="K277" s="20">
        <v>43244</v>
      </c>
      <c r="L277" s="32">
        <v>43732</v>
      </c>
      <c r="M277" s="21">
        <f t="shared" si="273"/>
        <v>82.304186800362686</v>
      </c>
      <c r="N277" s="14" t="s">
        <v>324</v>
      </c>
      <c r="O277" s="14" t="s">
        <v>156</v>
      </c>
      <c r="P277" s="14" t="s">
        <v>156</v>
      </c>
      <c r="Q277" s="22" t="s">
        <v>326</v>
      </c>
      <c r="R277" s="14" t="s">
        <v>36</v>
      </c>
      <c r="S277" s="23">
        <f t="shared" si="276"/>
        <v>802303.17999999993</v>
      </c>
      <c r="T277" s="23">
        <v>646987.61</v>
      </c>
      <c r="U277" s="23">
        <v>155315.57</v>
      </c>
      <c r="V277" s="23">
        <f t="shared" si="274"/>
        <v>153003.18</v>
      </c>
      <c r="W277" s="23">
        <v>114174.29</v>
      </c>
      <c r="X277" s="23">
        <v>38828.89</v>
      </c>
      <c r="Y277" s="23">
        <f t="shared" si="277"/>
        <v>0</v>
      </c>
      <c r="Z277" s="220"/>
      <c r="AA277" s="220"/>
      <c r="AB277" s="23">
        <f t="shared" si="286"/>
        <v>19496.03</v>
      </c>
      <c r="AC277" s="23">
        <v>15533.9</v>
      </c>
      <c r="AD277" s="23">
        <v>3962.13</v>
      </c>
      <c r="AE277" s="23">
        <f t="shared" si="285"/>
        <v>974802.3899999999</v>
      </c>
      <c r="AF277" s="23">
        <v>0</v>
      </c>
      <c r="AG277" s="26">
        <f t="shared" si="278"/>
        <v>974802.3899999999</v>
      </c>
      <c r="AH277" s="27" t="s">
        <v>585</v>
      </c>
      <c r="AI277" s="28" t="s">
        <v>422</v>
      </c>
      <c r="AJ277" s="29">
        <f>140575.46+6566.7+79837.6+71604.41+17465.12+79837.6</f>
        <v>395886.89</v>
      </c>
      <c r="AK277" s="29">
        <f>11583.01+16477.73+13655.31+18556.11</f>
        <v>60272.159999999996</v>
      </c>
    </row>
    <row r="278" spans="1:37" ht="189" x14ac:dyDescent="0.25">
      <c r="A278" s="12">
        <v>274</v>
      </c>
      <c r="B278" s="13">
        <v>115539</v>
      </c>
      <c r="C278" s="8">
        <v>396</v>
      </c>
      <c r="D278" s="14" t="s">
        <v>170</v>
      </c>
      <c r="E278" s="18" t="s">
        <v>165</v>
      </c>
      <c r="F278" s="16" t="s">
        <v>445</v>
      </c>
      <c r="G278" s="17" t="s">
        <v>500</v>
      </c>
      <c r="H278" s="17" t="s">
        <v>501</v>
      </c>
      <c r="I278" s="18" t="s">
        <v>502</v>
      </c>
      <c r="J278" s="19" t="s">
        <v>538</v>
      </c>
      <c r="K278" s="20">
        <v>43249</v>
      </c>
      <c r="L278" s="32">
        <v>44041</v>
      </c>
      <c r="M278" s="21">
        <f t="shared" si="273"/>
        <v>83.983861240799271</v>
      </c>
      <c r="N278" s="14" t="s">
        <v>324</v>
      </c>
      <c r="O278" s="14" t="s">
        <v>156</v>
      </c>
      <c r="P278" s="14" t="s">
        <v>156</v>
      </c>
      <c r="Q278" s="22" t="s">
        <v>157</v>
      </c>
      <c r="R278" s="14" t="s">
        <v>36</v>
      </c>
      <c r="S278" s="23">
        <f t="shared" si="276"/>
        <v>2264152.09</v>
      </c>
      <c r="T278" s="23">
        <v>1825841.4</v>
      </c>
      <c r="U278" s="23">
        <v>438310.69</v>
      </c>
      <c r="V278" s="23">
        <f t="shared" si="274"/>
        <v>159763.60999999999</v>
      </c>
      <c r="W278" s="23">
        <v>118066.66</v>
      </c>
      <c r="X278" s="23">
        <v>41696.949999999997</v>
      </c>
      <c r="Y278" s="23">
        <f t="shared" si="277"/>
        <v>272021.42</v>
      </c>
      <c r="Z278" s="23">
        <v>204140.68</v>
      </c>
      <c r="AA278" s="23">
        <v>67880.740000000005</v>
      </c>
      <c r="AB278" s="23">
        <f t="shared" si="286"/>
        <v>0</v>
      </c>
      <c r="AC278" s="23">
        <v>0</v>
      </c>
      <c r="AD278" s="23">
        <v>0</v>
      </c>
      <c r="AE278" s="23">
        <f t="shared" si="285"/>
        <v>2695937.1199999996</v>
      </c>
      <c r="AF278" s="23">
        <v>0</v>
      </c>
      <c r="AG278" s="26">
        <f t="shared" si="278"/>
        <v>2695937.1199999996</v>
      </c>
      <c r="AH278" s="27" t="s">
        <v>585</v>
      </c>
      <c r="AI278" s="28"/>
      <c r="AJ278" s="29">
        <f>96923.08+40161.87+113985.46</f>
        <v>251070.41000000003</v>
      </c>
      <c r="AK278" s="29">
        <v>0</v>
      </c>
    </row>
    <row r="279" spans="1:37" ht="284.25" thickBot="1" x14ac:dyDescent="0.3">
      <c r="A279" s="14">
        <v>275</v>
      </c>
      <c r="B279" s="13">
        <v>118716</v>
      </c>
      <c r="C279" s="8">
        <v>455</v>
      </c>
      <c r="D279" s="14" t="s">
        <v>171</v>
      </c>
      <c r="E279" s="18" t="s">
        <v>1042</v>
      </c>
      <c r="F279" s="16" t="s">
        <v>505</v>
      </c>
      <c r="G279" s="17" t="s">
        <v>503</v>
      </c>
      <c r="H279" s="219" t="s">
        <v>504</v>
      </c>
      <c r="I279" s="18" t="s">
        <v>185</v>
      </c>
      <c r="J279" s="19" t="s">
        <v>539</v>
      </c>
      <c r="K279" s="20">
        <v>43249</v>
      </c>
      <c r="L279" s="32">
        <v>43980</v>
      </c>
      <c r="M279" s="21">
        <f t="shared" si="273"/>
        <v>83.98386320030896</v>
      </c>
      <c r="N279" s="14" t="s">
        <v>324</v>
      </c>
      <c r="O279" s="14" t="s">
        <v>156</v>
      </c>
      <c r="P279" s="14" t="s">
        <v>156</v>
      </c>
      <c r="Q279" s="22" t="s">
        <v>157</v>
      </c>
      <c r="R279" s="14" t="s">
        <v>36</v>
      </c>
      <c r="S279" s="23">
        <f t="shared" si="276"/>
        <v>2343689.4299999997</v>
      </c>
      <c r="T279" s="23">
        <v>1889981.38</v>
      </c>
      <c r="U279" s="23">
        <v>453708.05</v>
      </c>
      <c r="V279" s="23">
        <f t="shared" si="274"/>
        <v>0</v>
      </c>
      <c r="W279" s="23"/>
      <c r="X279" s="23"/>
      <c r="Y279" s="23">
        <f t="shared" si="277"/>
        <v>446953.13</v>
      </c>
      <c r="Z279" s="23">
        <v>333526.06</v>
      </c>
      <c r="AA279" s="23">
        <v>113427.07</v>
      </c>
      <c r="AB279" s="23">
        <f t="shared" si="286"/>
        <v>0</v>
      </c>
      <c r="AC279" s="23"/>
      <c r="AD279" s="23"/>
      <c r="AE279" s="23">
        <f t="shared" si="285"/>
        <v>2790642.5599999996</v>
      </c>
      <c r="AF279" s="23">
        <v>0</v>
      </c>
      <c r="AG279" s="26">
        <f t="shared" si="278"/>
        <v>2790642.5599999996</v>
      </c>
      <c r="AH279" s="27" t="s">
        <v>585</v>
      </c>
      <c r="AI279" s="28" t="s">
        <v>1528</v>
      </c>
      <c r="AJ279" s="29">
        <f>145011.94+359253.32+95755.51</f>
        <v>600020.77</v>
      </c>
      <c r="AK279" s="29">
        <v>0</v>
      </c>
    </row>
    <row r="280" spans="1:37" ht="409.5" x14ac:dyDescent="0.25">
      <c r="A280" s="12">
        <v>276</v>
      </c>
      <c r="B280" s="13">
        <v>109777</v>
      </c>
      <c r="C280" s="8">
        <v>363</v>
      </c>
      <c r="D280" s="14" t="s">
        <v>1320</v>
      </c>
      <c r="E280" s="18" t="s">
        <v>165</v>
      </c>
      <c r="F280" s="75" t="s">
        <v>322</v>
      </c>
      <c r="G280" s="69" t="s">
        <v>507</v>
      </c>
      <c r="H280" s="70" t="s">
        <v>506</v>
      </c>
      <c r="I280" s="70" t="s">
        <v>185</v>
      </c>
      <c r="J280" s="221" t="s">
        <v>508</v>
      </c>
      <c r="K280" s="32">
        <v>43251</v>
      </c>
      <c r="L280" s="32">
        <v>43708</v>
      </c>
      <c r="M280" s="21">
        <f t="shared" si="273"/>
        <v>82.304185429325983</v>
      </c>
      <c r="N280" s="14" t="s">
        <v>324</v>
      </c>
      <c r="O280" s="14" t="s">
        <v>263</v>
      </c>
      <c r="P280" s="14" t="s">
        <v>421</v>
      </c>
      <c r="Q280" s="22" t="s">
        <v>326</v>
      </c>
      <c r="R280" s="14" t="s">
        <v>36</v>
      </c>
      <c r="S280" s="23">
        <f t="shared" si="276"/>
        <v>809738</v>
      </c>
      <c r="T280" s="23">
        <v>652983.16</v>
      </c>
      <c r="U280" s="23">
        <v>156754.84</v>
      </c>
      <c r="V280" s="23">
        <f t="shared" si="274"/>
        <v>154421.03</v>
      </c>
      <c r="W280" s="23">
        <v>115232.31</v>
      </c>
      <c r="X280" s="23">
        <v>39188.720000000001</v>
      </c>
      <c r="Y280" s="23">
        <f>Z280+AA280</f>
        <v>0</v>
      </c>
      <c r="Z280" s="23">
        <v>0</v>
      </c>
      <c r="AA280" s="23">
        <v>0</v>
      </c>
      <c r="AB280" s="23">
        <f>AC280+AD280</f>
        <v>19676.72</v>
      </c>
      <c r="AC280" s="23">
        <v>15677.86</v>
      </c>
      <c r="AD280" s="23">
        <v>3998.86</v>
      </c>
      <c r="AE280" s="23">
        <f t="shared" si="285"/>
        <v>983835.75</v>
      </c>
      <c r="AF280" s="3">
        <v>0</v>
      </c>
      <c r="AG280" s="26">
        <f t="shared" si="278"/>
        <v>983835.75</v>
      </c>
      <c r="AH280" s="27" t="s">
        <v>585</v>
      </c>
      <c r="AI280" s="28"/>
      <c r="AJ280" s="222">
        <f>98383.57+67957.2+131759+61030.49+98383.57-15548.08+97077.59+100688.53</f>
        <v>639731.87</v>
      </c>
      <c r="AK280" s="29">
        <f>12959.77+25127.1+30401.05+15548.08+19201.81</f>
        <v>103237.81</v>
      </c>
    </row>
    <row r="281" spans="1:37" ht="330.75" x14ac:dyDescent="0.25">
      <c r="A281" s="12">
        <v>277</v>
      </c>
      <c r="B281" s="13">
        <v>112263</v>
      </c>
      <c r="C281" s="8">
        <v>212</v>
      </c>
      <c r="D281" s="14" t="s">
        <v>172</v>
      </c>
      <c r="E281" s="18" t="s">
        <v>165</v>
      </c>
      <c r="F281" s="16" t="s">
        <v>322</v>
      </c>
      <c r="G281" s="219" t="s">
        <v>511</v>
      </c>
      <c r="H281" s="219" t="s">
        <v>512</v>
      </c>
      <c r="I281" s="18" t="s">
        <v>185</v>
      </c>
      <c r="J281" s="19" t="s">
        <v>540</v>
      </c>
      <c r="K281" s="20">
        <v>43257</v>
      </c>
      <c r="L281" s="32">
        <v>43744</v>
      </c>
      <c r="M281" s="21">
        <f t="shared" si="273"/>
        <v>82.304186636665435</v>
      </c>
      <c r="N281" s="14" t="s">
        <v>324</v>
      </c>
      <c r="O281" s="14" t="s">
        <v>312</v>
      </c>
      <c r="P281" s="14" t="s">
        <v>541</v>
      </c>
      <c r="Q281" s="22" t="s">
        <v>326</v>
      </c>
      <c r="R281" s="14" t="s">
        <v>36</v>
      </c>
      <c r="S281" s="23">
        <f>T281+U281</f>
        <v>804068.05999999994</v>
      </c>
      <c r="T281" s="23">
        <v>648410.84</v>
      </c>
      <c r="U281" s="23">
        <v>155657.22</v>
      </c>
      <c r="V281" s="23">
        <f>W281+X281</f>
        <v>153339.75</v>
      </c>
      <c r="W281" s="23">
        <v>114425.45</v>
      </c>
      <c r="X281" s="23">
        <v>38914.300000000003</v>
      </c>
      <c r="Y281" s="223">
        <f>Z281+AA281</f>
        <v>0</v>
      </c>
      <c r="Z281" s="23">
        <v>0</v>
      </c>
      <c r="AA281" s="23">
        <v>0</v>
      </c>
      <c r="AB281" s="23">
        <f>AC281+AD281</f>
        <v>19538.919999999998</v>
      </c>
      <c r="AC281" s="23">
        <v>15568.08</v>
      </c>
      <c r="AD281" s="23">
        <v>3970.84</v>
      </c>
      <c r="AE281" s="23">
        <f>S281+V281+Y281+AB281</f>
        <v>976946.73</v>
      </c>
      <c r="AF281" s="23">
        <v>0</v>
      </c>
      <c r="AG281" s="26">
        <f t="shared" si="278"/>
        <v>976946.73</v>
      </c>
      <c r="AH281" s="27" t="s">
        <v>585</v>
      </c>
      <c r="AI281" s="28"/>
      <c r="AJ281" s="29">
        <f>84638.59+81518.25+15437.85+121639.28+42099.38+37504.88</f>
        <v>382838.23</v>
      </c>
      <c r="AK281" s="29">
        <f>13056.08+21574.93+4566.35+8028.56+23258.8</f>
        <v>70484.72</v>
      </c>
    </row>
    <row r="282" spans="1:37" ht="173.25" x14ac:dyDescent="0.25">
      <c r="A282" s="14">
        <v>278</v>
      </c>
      <c r="B282" s="13">
        <v>118978</v>
      </c>
      <c r="C282" s="8">
        <v>453</v>
      </c>
      <c r="D282" s="14" t="s">
        <v>171</v>
      </c>
      <c r="E282" s="18" t="s">
        <v>1042</v>
      </c>
      <c r="F282" s="16" t="s">
        <v>505</v>
      </c>
      <c r="G282" s="219" t="s">
        <v>510</v>
      </c>
      <c r="H282" s="219" t="s">
        <v>509</v>
      </c>
      <c r="I282" s="18" t="s">
        <v>185</v>
      </c>
      <c r="J282" s="19" t="s">
        <v>547</v>
      </c>
      <c r="K282" s="20">
        <v>43257</v>
      </c>
      <c r="L282" s="32">
        <v>44536</v>
      </c>
      <c r="M282" s="21">
        <f t="shared" si="273"/>
        <v>83.983863009633808</v>
      </c>
      <c r="N282" s="14" t="s">
        <v>324</v>
      </c>
      <c r="O282" s="14" t="s">
        <v>156</v>
      </c>
      <c r="P282" s="14" t="s">
        <v>156</v>
      </c>
      <c r="Q282" s="22" t="s">
        <v>157</v>
      </c>
      <c r="R282" s="14" t="s">
        <v>36</v>
      </c>
      <c r="S282" s="23">
        <f t="shared" si="276"/>
        <v>10919953.010000002</v>
      </c>
      <c r="T282" s="23">
        <v>8805990.7100000009</v>
      </c>
      <c r="U282" s="23">
        <v>2113962.2999999998</v>
      </c>
      <c r="V282" s="23">
        <f t="shared" si="274"/>
        <v>0</v>
      </c>
      <c r="W282" s="23">
        <v>0</v>
      </c>
      <c r="X282" s="23">
        <v>0</v>
      </c>
      <c r="Y282" s="23">
        <f t="shared" si="277"/>
        <v>2082488.9100000001</v>
      </c>
      <c r="Z282" s="23">
        <v>1553998.33</v>
      </c>
      <c r="AA282" s="23">
        <v>528490.57999999996</v>
      </c>
      <c r="AB282" s="23">
        <f t="shared" si="286"/>
        <v>0</v>
      </c>
      <c r="AC282" s="23">
        <v>0</v>
      </c>
      <c r="AD282" s="23">
        <v>0</v>
      </c>
      <c r="AE282" s="23">
        <f t="shared" si="285"/>
        <v>13002441.920000002</v>
      </c>
      <c r="AF282" s="23">
        <v>1503920</v>
      </c>
      <c r="AG282" s="26">
        <f t="shared" si="278"/>
        <v>14506361.920000002</v>
      </c>
      <c r="AH282" s="27" t="s">
        <v>585</v>
      </c>
      <c r="AI282" s="28" t="s">
        <v>1249</v>
      </c>
      <c r="AJ282" s="29">
        <f>104375.19+162416.48+52075.09+194641.75</f>
        <v>513508.51</v>
      </c>
      <c r="AK282" s="29">
        <v>0</v>
      </c>
    </row>
    <row r="283" spans="1:37" ht="141.75" x14ac:dyDescent="0.25">
      <c r="A283" s="12">
        <v>279</v>
      </c>
      <c r="B283" s="13">
        <v>119317</v>
      </c>
      <c r="C283" s="8">
        <v>456</v>
      </c>
      <c r="D283" s="14" t="s">
        <v>171</v>
      </c>
      <c r="E283" s="18" t="s">
        <v>1042</v>
      </c>
      <c r="F283" s="16" t="s">
        <v>505</v>
      </c>
      <c r="G283" s="219" t="s">
        <v>548</v>
      </c>
      <c r="H283" s="219" t="s">
        <v>623</v>
      </c>
      <c r="I283" s="18" t="s">
        <v>185</v>
      </c>
      <c r="J283" s="19" t="s">
        <v>549</v>
      </c>
      <c r="K283" s="20">
        <v>43257</v>
      </c>
      <c r="L283" s="32">
        <v>43988</v>
      </c>
      <c r="M283" s="21">
        <f t="shared" si="273"/>
        <v>83.983862821417162</v>
      </c>
      <c r="N283" s="14" t="s">
        <v>324</v>
      </c>
      <c r="O283" s="14" t="s">
        <v>156</v>
      </c>
      <c r="P283" s="14" t="s">
        <v>156</v>
      </c>
      <c r="Q283" s="22" t="s">
        <v>157</v>
      </c>
      <c r="R283" s="14" t="s">
        <v>36</v>
      </c>
      <c r="S283" s="23">
        <f t="shared" si="276"/>
        <v>26702638.32</v>
      </c>
      <c r="T283" s="23">
        <v>21533351.34</v>
      </c>
      <c r="U283" s="23">
        <v>5169286.9800000004</v>
      </c>
      <c r="V283" s="23">
        <f t="shared" si="274"/>
        <v>0</v>
      </c>
      <c r="W283" s="23"/>
      <c r="X283" s="23"/>
      <c r="Y283" s="23">
        <f t="shared" si="277"/>
        <v>5092324.93</v>
      </c>
      <c r="Z283" s="23">
        <v>3800003.18</v>
      </c>
      <c r="AA283" s="23">
        <v>1292321.75</v>
      </c>
      <c r="AB283" s="23">
        <f t="shared" si="286"/>
        <v>0</v>
      </c>
      <c r="AC283" s="23">
        <v>0</v>
      </c>
      <c r="AD283" s="23">
        <v>0</v>
      </c>
      <c r="AE283" s="23">
        <f t="shared" si="285"/>
        <v>31794963.25</v>
      </c>
      <c r="AF283" s="23">
        <v>0</v>
      </c>
      <c r="AG283" s="26">
        <f t="shared" si="278"/>
        <v>31794963.25</v>
      </c>
      <c r="AH283" s="27" t="s">
        <v>585</v>
      </c>
      <c r="AI283" s="28"/>
      <c r="AJ283" s="29">
        <f>155213.76+241470.09+76680.76+1501.26</f>
        <v>474865.87</v>
      </c>
      <c r="AK283" s="29">
        <v>0</v>
      </c>
    </row>
    <row r="284" spans="1:37" ht="409.5" x14ac:dyDescent="0.25">
      <c r="A284" s="12">
        <v>280</v>
      </c>
      <c r="B284" s="13">
        <v>111319</v>
      </c>
      <c r="C284" s="8">
        <v>359</v>
      </c>
      <c r="D284" s="14" t="s">
        <v>1320</v>
      </c>
      <c r="E284" s="18" t="s">
        <v>165</v>
      </c>
      <c r="F284" s="16" t="s">
        <v>322</v>
      </c>
      <c r="G284" s="219" t="s">
        <v>553</v>
      </c>
      <c r="H284" s="219" t="s">
        <v>551</v>
      </c>
      <c r="I284" s="14" t="s">
        <v>554</v>
      </c>
      <c r="J284" s="19" t="s">
        <v>555</v>
      </c>
      <c r="K284" s="20">
        <v>43256</v>
      </c>
      <c r="L284" s="32">
        <v>43743</v>
      </c>
      <c r="M284" s="21">
        <f t="shared" si="273"/>
        <v>82.304189744785745</v>
      </c>
      <c r="N284" s="14" t="s">
        <v>324</v>
      </c>
      <c r="O284" s="14" t="s">
        <v>817</v>
      </c>
      <c r="P284" s="14" t="s">
        <v>817</v>
      </c>
      <c r="Q284" s="22" t="s">
        <v>326</v>
      </c>
      <c r="R284" s="14" t="s">
        <v>36</v>
      </c>
      <c r="S284" s="23">
        <f t="shared" si="276"/>
        <v>822860.82000000007</v>
      </c>
      <c r="T284" s="23">
        <v>663565.56000000006</v>
      </c>
      <c r="U284" s="23">
        <v>159295.26</v>
      </c>
      <c r="V284" s="23">
        <f t="shared" si="274"/>
        <v>156923.62</v>
      </c>
      <c r="W284" s="23">
        <v>117099.8</v>
      </c>
      <c r="X284" s="23">
        <v>39823.82</v>
      </c>
      <c r="Y284" s="23">
        <f t="shared" si="277"/>
        <v>0</v>
      </c>
      <c r="Z284" s="23"/>
      <c r="AA284" s="23"/>
      <c r="AB284" s="23">
        <f t="shared" si="286"/>
        <v>19995.55</v>
      </c>
      <c r="AC284" s="23">
        <v>15931.91</v>
      </c>
      <c r="AD284" s="23">
        <v>4063.64</v>
      </c>
      <c r="AE284" s="23">
        <f t="shared" si="285"/>
        <v>999779.99000000011</v>
      </c>
      <c r="AF284" s="23">
        <v>0</v>
      </c>
      <c r="AG284" s="26">
        <f t="shared" si="278"/>
        <v>999779.99000000011</v>
      </c>
      <c r="AH284" s="27" t="s">
        <v>585</v>
      </c>
      <c r="AI284" s="28" t="s">
        <v>1065</v>
      </c>
      <c r="AJ284" s="29">
        <f>115253.85+83737.14+92702.34+29518.18+84169.97</f>
        <v>405381.48</v>
      </c>
      <c r="AK284" s="29">
        <f>18935.29+25587.45+13802.72+159.94</f>
        <v>58485.400000000009</v>
      </c>
    </row>
    <row r="285" spans="1:37" ht="409.5" x14ac:dyDescent="0.25">
      <c r="A285" s="14">
        <v>281</v>
      </c>
      <c r="B285" s="13">
        <v>111320</v>
      </c>
      <c r="C285" s="8">
        <v>132</v>
      </c>
      <c r="D285" s="14" t="s">
        <v>1074</v>
      </c>
      <c r="E285" s="18" t="s">
        <v>165</v>
      </c>
      <c r="F285" s="16" t="s">
        <v>322</v>
      </c>
      <c r="G285" s="219" t="s">
        <v>556</v>
      </c>
      <c r="H285" s="219" t="s">
        <v>557</v>
      </c>
      <c r="I285" s="18" t="s">
        <v>422</v>
      </c>
      <c r="J285" s="19" t="s">
        <v>558</v>
      </c>
      <c r="K285" s="20">
        <v>43258</v>
      </c>
      <c r="L285" s="32">
        <v>43745</v>
      </c>
      <c r="M285" s="21">
        <f t="shared" si="273"/>
        <v>82.304187096462158</v>
      </c>
      <c r="N285" s="14" t="s">
        <v>324</v>
      </c>
      <c r="O285" s="14" t="s">
        <v>312</v>
      </c>
      <c r="P285" s="14" t="s">
        <v>541</v>
      </c>
      <c r="Q285" s="22" t="s">
        <v>326</v>
      </c>
      <c r="R285" s="14" t="s">
        <v>36</v>
      </c>
      <c r="S285" s="23">
        <f t="shared" si="276"/>
        <v>745773.49</v>
      </c>
      <c r="T285" s="23">
        <v>601401.34</v>
      </c>
      <c r="U285" s="23">
        <v>144372.15</v>
      </c>
      <c r="V285" s="23">
        <f t="shared" si="274"/>
        <v>142222.68</v>
      </c>
      <c r="W285" s="23">
        <v>106129.65</v>
      </c>
      <c r="X285" s="23">
        <v>36093.03</v>
      </c>
      <c r="Y285" s="23">
        <f t="shared" si="277"/>
        <v>0</v>
      </c>
      <c r="Z285" s="23"/>
      <c r="AA285" s="23"/>
      <c r="AB285" s="23">
        <f t="shared" si="286"/>
        <v>18122.359700000001</v>
      </c>
      <c r="AC285" s="23">
        <v>14439.398999999999</v>
      </c>
      <c r="AD285" s="23">
        <v>3682.9607000000001</v>
      </c>
      <c r="AE285" s="23">
        <f t="shared" si="285"/>
        <v>906118.52969999996</v>
      </c>
      <c r="AF285" s="23"/>
      <c r="AG285" s="26">
        <f t="shared" si="278"/>
        <v>906118.52969999996</v>
      </c>
      <c r="AH285" s="27" t="s">
        <v>585</v>
      </c>
      <c r="AI285" s="28"/>
      <c r="AJ285" s="29">
        <f>218312.37+90611.85+214.38+90611.85+7774.08+90611.85</f>
        <v>498136.38</v>
      </c>
      <c r="AK285" s="29">
        <f>23379.78+18253.47+17321.01+18762.68</f>
        <v>77716.94</v>
      </c>
    </row>
    <row r="286" spans="1:37" ht="220.5" x14ac:dyDescent="0.25">
      <c r="A286" s="12">
        <v>282</v>
      </c>
      <c r="B286" s="13">
        <v>110527</v>
      </c>
      <c r="C286" s="8">
        <v>353</v>
      </c>
      <c r="D286" s="14" t="s">
        <v>1320</v>
      </c>
      <c r="E286" s="18" t="s">
        <v>165</v>
      </c>
      <c r="F286" s="16" t="s">
        <v>322</v>
      </c>
      <c r="G286" s="219" t="s">
        <v>559</v>
      </c>
      <c r="H286" s="219" t="s">
        <v>560</v>
      </c>
      <c r="I286" s="18" t="s">
        <v>561</v>
      </c>
      <c r="J286" s="19" t="s">
        <v>562</v>
      </c>
      <c r="K286" s="20">
        <v>43258</v>
      </c>
      <c r="L286" s="32">
        <v>43745</v>
      </c>
      <c r="M286" s="21">
        <f t="shared" si="273"/>
        <v>82.304183804307399</v>
      </c>
      <c r="N286" s="14" t="s">
        <v>324</v>
      </c>
      <c r="O286" s="14" t="s">
        <v>312</v>
      </c>
      <c r="P286" s="14" t="s">
        <v>312</v>
      </c>
      <c r="Q286" s="22" t="s">
        <v>326</v>
      </c>
      <c r="R286" s="14" t="s">
        <v>36</v>
      </c>
      <c r="S286" s="23">
        <f t="shared" si="276"/>
        <v>797101.36999999988</v>
      </c>
      <c r="T286" s="23">
        <v>642792.81999999995</v>
      </c>
      <c r="U286" s="23">
        <v>154308.54999999999</v>
      </c>
      <c r="V286" s="23">
        <f t="shared" si="274"/>
        <v>152011.18</v>
      </c>
      <c r="W286" s="23">
        <v>113434.03</v>
      </c>
      <c r="X286" s="23">
        <v>38577.15</v>
      </c>
      <c r="Y286" s="23">
        <f t="shared" si="277"/>
        <v>0</v>
      </c>
      <c r="Z286" s="23"/>
      <c r="AA286" s="23"/>
      <c r="AB286" s="23">
        <f t="shared" si="286"/>
        <v>19369.649999999998</v>
      </c>
      <c r="AC286" s="23">
        <v>15433.21</v>
      </c>
      <c r="AD286" s="23">
        <v>3936.44</v>
      </c>
      <c r="AE286" s="23">
        <f t="shared" si="285"/>
        <v>968482.19999999984</v>
      </c>
      <c r="AF286" s="23"/>
      <c r="AG286" s="26">
        <f t="shared" si="278"/>
        <v>968482.19999999984</v>
      </c>
      <c r="AH286" s="27" t="s">
        <v>585</v>
      </c>
      <c r="AI286" s="28"/>
      <c r="AJ286" s="29">
        <f>151069.39+15306.08+96848.21+24994.02+61062.29+191670.85</f>
        <v>540950.84</v>
      </c>
      <c r="AK286" s="29">
        <f>10340.24+21388.37+4766.48+30114.35+18083.14</f>
        <v>84692.58</v>
      </c>
    </row>
    <row r="287" spans="1:37" ht="283.5" x14ac:dyDescent="0.25">
      <c r="A287" s="12">
        <v>283</v>
      </c>
      <c r="B287" s="13">
        <v>112412</v>
      </c>
      <c r="C287" s="8">
        <v>269</v>
      </c>
      <c r="D287" s="14" t="s">
        <v>175</v>
      </c>
      <c r="E287" s="18" t="s">
        <v>165</v>
      </c>
      <c r="F287" s="16" t="s">
        <v>322</v>
      </c>
      <c r="G287" s="219" t="s">
        <v>563</v>
      </c>
      <c r="H287" s="219" t="s">
        <v>564</v>
      </c>
      <c r="I287" s="14" t="s">
        <v>565</v>
      </c>
      <c r="J287" s="19" t="s">
        <v>566</v>
      </c>
      <c r="K287" s="20">
        <v>43259</v>
      </c>
      <c r="L287" s="32">
        <v>43746</v>
      </c>
      <c r="M287" s="21">
        <f t="shared" si="273"/>
        <v>82.304183541065214</v>
      </c>
      <c r="N287" s="14" t="s">
        <v>324</v>
      </c>
      <c r="O287" s="14" t="s">
        <v>312</v>
      </c>
      <c r="P287" s="14" t="s">
        <v>312</v>
      </c>
      <c r="Q287" s="22" t="s">
        <v>326</v>
      </c>
      <c r="R287" s="14" t="s">
        <v>36</v>
      </c>
      <c r="S287" s="23">
        <f t="shared" si="276"/>
        <v>789670.74</v>
      </c>
      <c r="T287" s="23">
        <v>636800.65</v>
      </c>
      <c r="U287" s="23">
        <v>152870.09</v>
      </c>
      <c r="V287" s="23">
        <f t="shared" si="274"/>
        <v>150594.14000000001</v>
      </c>
      <c r="W287" s="23">
        <v>112376.61</v>
      </c>
      <c r="X287" s="23">
        <v>38217.53</v>
      </c>
      <c r="Y287" s="23">
        <f t="shared" si="277"/>
        <v>0</v>
      </c>
      <c r="Z287" s="23"/>
      <c r="AA287" s="23"/>
      <c r="AB287" s="23">
        <f t="shared" si="286"/>
        <v>19189.07</v>
      </c>
      <c r="AC287" s="23">
        <v>15289.33</v>
      </c>
      <c r="AD287" s="23">
        <v>3899.74</v>
      </c>
      <c r="AE287" s="23">
        <f t="shared" si="285"/>
        <v>959453.95</v>
      </c>
      <c r="AF287" s="23"/>
      <c r="AG287" s="26">
        <f t="shared" si="278"/>
        <v>959453.95</v>
      </c>
      <c r="AH287" s="27" t="s">
        <v>585</v>
      </c>
      <c r="AI287" s="28" t="s">
        <v>422</v>
      </c>
      <c r="AJ287" s="29">
        <f>95945.38+5019.44+25010.26+9763.75+114260.12+16124.2+16125.04</f>
        <v>282248.19</v>
      </c>
      <c r="AK287" s="29">
        <f>7941.36+4769.59+16667.83+3074.99+3075.12</f>
        <v>35528.890000000007</v>
      </c>
    </row>
    <row r="288" spans="1:37" ht="409.5" x14ac:dyDescent="0.25">
      <c r="A288" s="14">
        <v>284</v>
      </c>
      <c r="B288" s="13">
        <v>113035</v>
      </c>
      <c r="C288" s="8">
        <v>332</v>
      </c>
      <c r="D288" s="14" t="s">
        <v>170</v>
      </c>
      <c r="E288" s="18" t="s">
        <v>165</v>
      </c>
      <c r="F288" s="16" t="s">
        <v>322</v>
      </c>
      <c r="G288" s="71" t="s">
        <v>567</v>
      </c>
      <c r="H288" s="30" t="s">
        <v>568</v>
      </c>
      <c r="I288" s="18" t="s">
        <v>422</v>
      </c>
      <c r="J288" s="19" t="s">
        <v>569</v>
      </c>
      <c r="K288" s="20">
        <v>43258</v>
      </c>
      <c r="L288" s="32">
        <v>43745</v>
      </c>
      <c r="M288" s="21">
        <f t="shared" si="273"/>
        <v>82.304188758643321</v>
      </c>
      <c r="N288" s="14" t="s">
        <v>324</v>
      </c>
      <c r="O288" s="14" t="s">
        <v>312</v>
      </c>
      <c r="P288" s="14" t="s">
        <v>312</v>
      </c>
      <c r="Q288" s="22" t="s">
        <v>326</v>
      </c>
      <c r="R288" s="14" t="s">
        <v>36</v>
      </c>
      <c r="S288" s="23">
        <f t="shared" si="276"/>
        <v>813615.63</v>
      </c>
      <c r="T288" s="23">
        <v>656110.09</v>
      </c>
      <c r="U288" s="23">
        <v>157505.54</v>
      </c>
      <c r="V288" s="23">
        <f t="shared" si="274"/>
        <v>155160.46</v>
      </c>
      <c r="W288" s="23">
        <v>115784.14</v>
      </c>
      <c r="X288" s="23">
        <v>39376.32</v>
      </c>
      <c r="Y288" s="23">
        <f t="shared" si="277"/>
        <v>0</v>
      </c>
      <c r="Z288" s="23">
        <v>0</v>
      </c>
      <c r="AA288" s="23">
        <v>0</v>
      </c>
      <c r="AB288" s="23">
        <f t="shared" si="286"/>
        <v>19770.96</v>
      </c>
      <c r="AC288" s="23">
        <v>15752.94</v>
      </c>
      <c r="AD288" s="23">
        <v>4018.02</v>
      </c>
      <c r="AE288" s="23">
        <f t="shared" si="285"/>
        <v>988547.04999999993</v>
      </c>
      <c r="AF288" s="23">
        <v>0</v>
      </c>
      <c r="AG288" s="26">
        <f t="shared" si="278"/>
        <v>988547.04999999993</v>
      </c>
      <c r="AH288" s="27" t="s">
        <v>585</v>
      </c>
      <c r="AI288" s="28" t="s">
        <v>1211</v>
      </c>
      <c r="AJ288" s="29">
        <f>239002.19+7716.3+76236.18+77866.17-9062.7+110648.92+47012.15</f>
        <v>549419.21</v>
      </c>
      <c r="AK288" s="29">
        <f>26726.95+18388.45+12471.15+9062.7+10310.26+8965.45</f>
        <v>85924.959999999992</v>
      </c>
    </row>
    <row r="289" spans="1:37" ht="393.75" x14ac:dyDescent="0.25">
      <c r="A289" s="12">
        <v>285</v>
      </c>
      <c r="B289" s="13">
        <v>112992</v>
      </c>
      <c r="C289" s="67">
        <v>233</v>
      </c>
      <c r="D289" s="13" t="s">
        <v>170</v>
      </c>
      <c r="E289" s="18" t="s">
        <v>165</v>
      </c>
      <c r="F289" s="16" t="s">
        <v>322</v>
      </c>
      <c r="G289" s="224" t="s">
        <v>570</v>
      </c>
      <c r="H289" s="30" t="s">
        <v>571</v>
      </c>
      <c r="I289" s="18" t="s">
        <v>422</v>
      </c>
      <c r="J289" s="112" t="s">
        <v>572</v>
      </c>
      <c r="K289" s="20">
        <v>43259</v>
      </c>
      <c r="L289" s="32">
        <v>43746</v>
      </c>
      <c r="M289" s="21">
        <f t="shared" si="273"/>
        <v>82.304185804634827</v>
      </c>
      <c r="N289" s="14" t="s">
        <v>324</v>
      </c>
      <c r="O289" s="14" t="s">
        <v>312</v>
      </c>
      <c r="P289" s="14" t="s">
        <v>312</v>
      </c>
      <c r="Q289" s="22" t="s">
        <v>326</v>
      </c>
      <c r="R289" s="14" t="s">
        <v>36</v>
      </c>
      <c r="S289" s="23">
        <f t="shared" si="276"/>
        <v>413202.42000000004</v>
      </c>
      <c r="T289" s="23">
        <v>333211.76</v>
      </c>
      <c r="U289" s="23">
        <v>79990.66</v>
      </c>
      <c r="V289" s="23">
        <f t="shared" si="274"/>
        <v>78799.740000000005</v>
      </c>
      <c r="W289" s="23">
        <v>58802.080000000002</v>
      </c>
      <c r="X289" s="23">
        <v>19997.66</v>
      </c>
      <c r="Y289" s="23">
        <f t="shared" si="277"/>
        <v>0</v>
      </c>
      <c r="Z289" s="23"/>
      <c r="AA289" s="23"/>
      <c r="AB289" s="23">
        <f t="shared" si="286"/>
        <v>10040.86</v>
      </c>
      <c r="AC289" s="23">
        <v>8000.27</v>
      </c>
      <c r="AD289" s="23">
        <v>2040.59</v>
      </c>
      <c r="AE289" s="23">
        <f t="shared" si="285"/>
        <v>502043.02</v>
      </c>
      <c r="AF289" s="23">
        <v>96.29</v>
      </c>
      <c r="AG289" s="26">
        <f t="shared" si="278"/>
        <v>502139.31</v>
      </c>
      <c r="AH289" s="27" t="s">
        <v>585</v>
      </c>
      <c r="AI289" s="28" t="s">
        <v>422</v>
      </c>
      <c r="AJ289" s="29">
        <f>86645.8-7709.4+41322.63-2793.73+353.36+111180.69</f>
        <v>228999.35</v>
      </c>
      <c r="AK289" s="29">
        <f>6949.62+7709.4+2793.73+5015.84+11628.57</f>
        <v>34097.160000000003</v>
      </c>
    </row>
    <row r="290" spans="1:37" ht="315" x14ac:dyDescent="0.25">
      <c r="A290" s="12">
        <v>286</v>
      </c>
      <c r="B290" s="13">
        <v>109834</v>
      </c>
      <c r="C290" s="67">
        <v>202</v>
      </c>
      <c r="D290" s="13" t="s">
        <v>172</v>
      </c>
      <c r="E290" s="18" t="s">
        <v>165</v>
      </c>
      <c r="F290" s="16" t="s">
        <v>322</v>
      </c>
      <c r="G290" s="224" t="s">
        <v>577</v>
      </c>
      <c r="H290" s="30" t="s">
        <v>578</v>
      </c>
      <c r="I290" s="18" t="s">
        <v>422</v>
      </c>
      <c r="J290" s="112" t="s">
        <v>579</v>
      </c>
      <c r="K290" s="20">
        <v>43264</v>
      </c>
      <c r="L290" s="32">
        <v>43751</v>
      </c>
      <c r="M290" s="21">
        <f>S290/AE290*100</f>
        <v>82.304184351416225</v>
      </c>
      <c r="N290" s="14" t="s">
        <v>324</v>
      </c>
      <c r="O290" s="14" t="s">
        <v>312</v>
      </c>
      <c r="P290" s="14" t="s">
        <v>312</v>
      </c>
      <c r="Q290" s="22" t="s">
        <v>326</v>
      </c>
      <c r="R290" s="14" t="s">
        <v>36</v>
      </c>
      <c r="S290" s="23">
        <f>T290+U290</f>
        <v>757659.49</v>
      </c>
      <c r="T290" s="23">
        <v>610986.4</v>
      </c>
      <c r="U290" s="23">
        <v>146673.09</v>
      </c>
      <c r="V290" s="23">
        <f>W290+X290</f>
        <v>144489.43</v>
      </c>
      <c r="W290" s="23">
        <v>107821.13</v>
      </c>
      <c r="X290" s="23">
        <v>36668.300000000003</v>
      </c>
      <c r="Y290" s="23">
        <f>Z290+AA290</f>
        <v>0</v>
      </c>
      <c r="Z290" s="23"/>
      <c r="AA290" s="23"/>
      <c r="AB290" s="23">
        <f>AC290+AD290</f>
        <v>18411.190000000002</v>
      </c>
      <c r="AC290" s="23">
        <v>14669.52</v>
      </c>
      <c r="AD290" s="23">
        <v>3741.67</v>
      </c>
      <c r="AE290" s="23">
        <f>S290+V290+Y290+AB290</f>
        <v>920560.10999999987</v>
      </c>
      <c r="AF290" s="23">
        <v>0</v>
      </c>
      <c r="AG290" s="26">
        <f t="shared" si="278"/>
        <v>920560.10999999987</v>
      </c>
      <c r="AH290" s="27" t="s">
        <v>585</v>
      </c>
      <c r="AI290" s="28" t="s">
        <v>1393</v>
      </c>
      <c r="AJ290" s="29">
        <f>213672.38+10844.44+40106.9-4967.47+69008.21+10185.97-7830.59+48891.76</f>
        <v>379911.6</v>
      </c>
      <c r="AK290" s="29">
        <f>23567.39+2068.09+7666.13+12212.88+1942.51+7830.59</f>
        <v>55287.59</v>
      </c>
    </row>
    <row r="291" spans="1:37" ht="409.5" x14ac:dyDescent="0.25">
      <c r="A291" s="14">
        <v>287</v>
      </c>
      <c r="B291" s="13">
        <v>111613</v>
      </c>
      <c r="C291" s="67">
        <v>289</v>
      </c>
      <c r="D291" s="13" t="s">
        <v>1320</v>
      </c>
      <c r="E291" s="18" t="s">
        <v>165</v>
      </c>
      <c r="F291" s="16" t="s">
        <v>322</v>
      </c>
      <c r="G291" s="224" t="s">
        <v>580</v>
      </c>
      <c r="H291" s="30" t="s">
        <v>581</v>
      </c>
      <c r="I291" s="18" t="s">
        <v>582</v>
      </c>
      <c r="J291" s="112" t="s">
        <v>583</v>
      </c>
      <c r="K291" s="20">
        <v>43264</v>
      </c>
      <c r="L291" s="32">
        <v>43751</v>
      </c>
      <c r="M291" s="21">
        <f t="shared" ref="M291:M293" si="287">S291/AE291*100</f>
        <v>82.304185024184278</v>
      </c>
      <c r="N291" s="14" t="s">
        <v>324</v>
      </c>
      <c r="O291" s="14" t="s">
        <v>584</v>
      </c>
      <c r="P291" s="14" t="s">
        <v>584</v>
      </c>
      <c r="Q291" s="22" t="s">
        <v>326</v>
      </c>
      <c r="R291" s="14" t="s">
        <v>36</v>
      </c>
      <c r="S291" s="23">
        <f>T291+U291</f>
        <v>790560.66</v>
      </c>
      <c r="T291" s="23">
        <v>637518.30000000005</v>
      </c>
      <c r="U291" s="23">
        <v>153042.35999999999</v>
      </c>
      <c r="V291" s="23">
        <f>W291+X291</f>
        <v>150763.83000000002</v>
      </c>
      <c r="W291" s="23">
        <v>112503.22</v>
      </c>
      <c r="X291" s="23">
        <v>38260.61</v>
      </c>
      <c r="Y291" s="23">
        <v>0</v>
      </c>
      <c r="Z291" s="23"/>
      <c r="AA291" s="23"/>
      <c r="AB291" s="23">
        <f>AC291+AD291</f>
        <v>19210.7</v>
      </c>
      <c r="AC291" s="23">
        <v>15306.57</v>
      </c>
      <c r="AD291" s="23">
        <v>3904.13</v>
      </c>
      <c r="AE291" s="23">
        <f>S291+V291+Y291+AB291</f>
        <v>960535.19</v>
      </c>
      <c r="AF291" s="23">
        <v>67830</v>
      </c>
      <c r="AG291" s="26">
        <f t="shared" si="278"/>
        <v>1028365.19</v>
      </c>
      <c r="AH291" s="27" t="s">
        <v>585</v>
      </c>
      <c r="AI291" s="28" t="s">
        <v>422</v>
      </c>
      <c r="AJ291" s="29">
        <f>151237.06+59857.57+64477.1+31001.93+68841.22+91071.02</f>
        <v>466485.9</v>
      </c>
      <c r="AK291" s="29">
        <f>10523.78+11415.13+12296.1+5912.22+30496.07</f>
        <v>70643.3</v>
      </c>
    </row>
    <row r="292" spans="1:37" ht="299.25" x14ac:dyDescent="0.25">
      <c r="A292" s="12">
        <v>288</v>
      </c>
      <c r="B292" s="13">
        <v>112219</v>
      </c>
      <c r="C292" s="67">
        <v>274</v>
      </c>
      <c r="D292" s="13" t="s">
        <v>175</v>
      </c>
      <c r="E292" s="18" t="s">
        <v>165</v>
      </c>
      <c r="F292" s="16" t="s">
        <v>322</v>
      </c>
      <c r="G292" s="219" t="s">
        <v>590</v>
      </c>
      <c r="H292" s="30" t="s">
        <v>591</v>
      </c>
      <c r="I292" s="18" t="s">
        <v>592</v>
      </c>
      <c r="J292" s="112" t="s">
        <v>595</v>
      </c>
      <c r="K292" s="20">
        <v>43262</v>
      </c>
      <c r="L292" s="32">
        <v>43749</v>
      </c>
      <c r="M292" s="21">
        <f t="shared" si="287"/>
        <v>82.30418549066529</v>
      </c>
      <c r="N292" s="14" t="s">
        <v>324</v>
      </c>
      <c r="O292" s="14" t="s">
        <v>593</v>
      </c>
      <c r="P292" s="14" t="s">
        <v>594</v>
      </c>
      <c r="Q292" s="22" t="s">
        <v>326</v>
      </c>
      <c r="R292" s="14" t="s">
        <v>36</v>
      </c>
      <c r="S292" s="23">
        <f t="shared" ref="S292:S360" si="288">T292+U292</f>
        <v>796961.1399999999</v>
      </c>
      <c r="T292" s="23">
        <v>642679.71</v>
      </c>
      <c r="U292" s="23">
        <v>154281.43</v>
      </c>
      <c r="V292" s="23">
        <f t="shared" ref="V292:V360" si="289">W292+X292</f>
        <v>151984.41</v>
      </c>
      <c r="W292" s="23">
        <v>113414.08</v>
      </c>
      <c r="X292" s="23">
        <v>38570.33</v>
      </c>
      <c r="Y292" s="23">
        <f t="shared" ref="Y292" si="290">Z292+AA292</f>
        <v>0</v>
      </c>
      <c r="Z292" s="23"/>
      <c r="AA292" s="23"/>
      <c r="AB292" s="23">
        <f t="shared" ref="AB292:AB293" si="291">AC292+AD292</f>
        <v>19366.25</v>
      </c>
      <c r="AC292" s="23">
        <v>15430.49</v>
      </c>
      <c r="AD292" s="23">
        <v>3935.76</v>
      </c>
      <c r="AE292" s="23">
        <f t="shared" ref="AE292:AE360" si="292">S292+V292+Y292+AB292</f>
        <v>968311.79999999993</v>
      </c>
      <c r="AF292" s="23"/>
      <c r="AG292" s="26">
        <f t="shared" si="278"/>
        <v>968311.79999999993</v>
      </c>
      <c r="AH292" s="27" t="s">
        <v>585</v>
      </c>
      <c r="AI292" s="28" t="s">
        <v>422</v>
      </c>
      <c r="AJ292" s="29">
        <f>191558.95+82810.85-11941.24+189135.5</f>
        <v>451564.06000000006</v>
      </c>
      <c r="AK292" s="29">
        <f>18065.03+15792.44+11941.24+3307.22+18543.36</f>
        <v>67649.290000000008</v>
      </c>
    </row>
    <row r="293" spans="1:37" ht="173.25" x14ac:dyDescent="0.25">
      <c r="A293" s="12">
        <v>289</v>
      </c>
      <c r="B293" s="13">
        <v>111981</v>
      </c>
      <c r="C293" s="67">
        <v>264</v>
      </c>
      <c r="D293" s="13" t="s">
        <v>175</v>
      </c>
      <c r="E293" s="18" t="s">
        <v>165</v>
      </c>
      <c r="F293" s="16" t="s">
        <v>322</v>
      </c>
      <c r="G293" s="219" t="s">
        <v>596</v>
      </c>
      <c r="H293" s="30" t="s">
        <v>597</v>
      </c>
      <c r="I293" s="18" t="s">
        <v>598</v>
      </c>
      <c r="J293" s="112" t="s">
        <v>600</v>
      </c>
      <c r="K293" s="20">
        <v>43264</v>
      </c>
      <c r="L293" s="32">
        <v>43751</v>
      </c>
      <c r="M293" s="21">
        <f t="shared" si="287"/>
        <v>82.304187524210803</v>
      </c>
      <c r="N293" s="14" t="s">
        <v>324</v>
      </c>
      <c r="O293" s="14" t="s">
        <v>599</v>
      </c>
      <c r="P293" s="14" t="s">
        <v>421</v>
      </c>
      <c r="Q293" s="22" t="s">
        <v>326</v>
      </c>
      <c r="R293" s="14" t="s">
        <v>36</v>
      </c>
      <c r="S293" s="23">
        <f t="shared" si="288"/>
        <v>771066.18</v>
      </c>
      <c r="T293" s="23">
        <v>621797.65</v>
      </c>
      <c r="U293" s="23">
        <v>149268.53</v>
      </c>
      <c r="V293" s="23">
        <f t="shared" si="289"/>
        <v>147046.1</v>
      </c>
      <c r="W293" s="23">
        <v>109729</v>
      </c>
      <c r="X293" s="23">
        <v>37317.1</v>
      </c>
      <c r="Y293" s="23">
        <f t="shared" ref="Y293:Y360" si="293">Z293+AA293</f>
        <v>0</v>
      </c>
      <c r="Z293" s="23"/>
      <c r="AA293" s="23"/>
      <c r="AB293" s="23">
        <f t="shared" si="291"/>
        <v>18736.989999999998</v>
      </c>
      <c r="AC293" s="23">
        <v>14929.14</v>
      </c>
      <c r="AD293" s="23">
        <v>3807.85</v>
      </c>
      <c r="AE293" s="23">
        <f t="shared" si="292"/>
        <v>936849.27</v>
      </c>
      <c r="AF293" s="23"/>
      <c r="AG293" s="26">
        <f t="shared" si="278"/>
        <v>936849.27</v>
      </c>
      <c r="AH293" s="27" t="s">
        <v>585</v>
      </c>
      <c r="AI293" s="28" t="s">
        <v>422</v>
      </c>
      <c r="AJ293" s="29">
        <f>90931+53329.56+57210.46+106559.17+87755.66-53.91+41459.09+61861.47</f>
        <v>499052.5</v>
      </c>
      <c r="AK293" s="29">
        <f>10170.21+10910.32+23029.37+14027.44+53.91+7906.45+11797.29</f>
        <v>77894.989999999991</v>
      </c>
    </row>
    <row r="294" spans="1:37" ht="409.5" x14ac:dyDescent="0.25">
      <c r="A294" s="14">
        <v>290</v>
      </c>
      <c r="B294" s="13">
        <v>113037</v>
      </c>
      <c r="C294" s="67">
        <v>280</v>
      </c>
      <c r="D294" s="13" t="s">
        <v>1074</v>
      </c>
      <c r="E294" s="18" t="s">
        <v>165</v>
      </c>
      <c r="F294" s="16" t="s">
        <v>322</v>
      </c>
      <c r="G294" s="219" t="s">
        <v>614</v>
      </c>
      <c r="H294" s="30" t="s">
        <v>612</v>
      </c>
      <c r="I294" s="18" t="s">
        <v>613</v>
      </c>
      <c r="J294" s="112" t="s">
        <v>615</v>
      </c>
      <c r="K294" s="20">
        <v>43269</v>
      </c>
      <c r="L294" s="32">
        <v>43756</v>
      </c>
      <c r="M294" s="21">
        <f t="shared" ref="M294:M360" si="294">S294/AE294*100</f>
        <v>82.304185659324261</v>
      </c>
      <c r="N294" s="14" t="s">
        <v>324</v>
      </c>
      <c r="O294" s="14" t="s">
        <v>156</v>
      </c>
      <c r="P294" s="14" t="s">
        <v>156</v>
      </c>
      <c r="Q294" s="22" t="s">
        <v>326</v>
      </c>
      <c r="R294" s="14" t="s">
        <v>36</v>
      </c>
      <c r="S294" s="23">
        <f t="shared" si="288"/>
        <v>812766.5</v>
      </c>
      <c r="T294" s="23">
        <v>655425.36</v>
      </c>
      <c r="U294" s="23">
        <v>157341.14000000001</v>
      </c>
      <c r="V294" s="23">
        <f t="shared" si="289"/>
        <v>154998.59</v>
      </c>
      <c r="W294" s="23">
        <v>115663.31</v>
      </c>
      <c r="X294" s="23">
        <v>39335.279999999999</v>
      </c>
      <c r="Y294" s="23">
        <f t="shared" si="293"/>
        <v>0</v>
      </c>
      <c r="Z294" s="23"/>
      <c r="AA294" s="23"/>
      <c r="AB294" s="23">
        <f t="shared" ref="AB294:AB360" si="295">AC294+AD294</f>
        <v>19750.3</v>
      </c>
      <c r="AC294" s="23">
        <v>15736.51</v>
      </c>
      <c r="AD294" s="23">
        <v>4013.79</v>
      </c>
      <c r="AE294" s="23">
        <f t="shared" si="292"/>
        <v>987515.39</v>
      </c>
      <c r="AF294" s="23"/>
      <c r="AG294" s="26">
        <f t="shared" si="278"/>
        <v>987515.39</v>
      </c>
      <c r="AH294" s="27" t="s">
        <v>585</v>
      </c>
      <c r="AI294" s="28" t="s">
        <v>422</v>
      </c>
      <c r="AJ294" s="29">
        <f>98751.53+76285.17-2339.65+174517.47</f>
        <v>347214.52</v>
      </c>
      <c r="AK294" s="29">
        <f>14547.96+18386.23+14448.94</f>
        <v>47383.130000000005</v>
      </c>
    </row>
    <row r="295" spans="1:37" ht="141.75" x14ac:dyDescent="0.25">
      <c r="A295" s="12">
        <v>291</v>
      </c>
      <c r="B295" s="13">
        <v>111983</v>
      </c>
      <c r="C295" s="67">
        <v>238</v>
      </c>
      <c r="D295" s="13" t="s">
        <v>170</v>
      </c>
      <c r="E295" s="18" t="s">
        <v>165</v>
      </c>
      <c r="F295" s="16" t="s">
        <v>322</v>
      </c>
      <c r="G295" s="219" t="s">
        <v>616</v>
      </c>
      <c r="H295" s="30" t="s">
        <v>617</v>
      </c>
      <c r="I295" s="18" t="s">
        <v>422</v>
      </c>
      <c r="J295" s="112" t="s">
        <v>618</v>
      </c>
      <c r="K295" s="20">
        <v>43270</v>
      </c>
      <c r="L295" s="32">
        <v>43757</v>
      </c>
      <c r="M295" s="21">
        <f t="shared" si="294"/>
        <v>82.304184684756876</v>
      </c>
      <c r="N295" s="14" t="s">
        <v>324</v>
      </c>
      <c r="O295" s="14" t="s">
        <v>156</v>
      </c>
      <c r="P295" s="14" t="s">
        <v>156</v>
      </c>
      <c r="Q295" s="22" t="s">
        <v>326</v>
      </c>
      <c r="R295" s="14" t="s">
        <v>36</v>
      </c>
      <c r="S295" s="23">
        <f t="shared" si="288"/>
        <v>768299.49</v>
      </c>
      <c r="T295" s="23">
        <v>619566.6</v>
      </c>
      <c r="U295" s="23">
        <v>148732.89000000001</v>
      </c>
      <c r="V295" s="23">
        <f t="shared" si="289"/>
        <v>146518.51</v>
      </c>
      <c r="W295" s="23">
        <v>109335.29</v>
      </c>
      <c r="X295" s="23">
        <v>37183.22</v>
      </c>
      <c r="Y295" s="23">
        <f t="shared" si="293"/>
        <v>0</v>
      </c>
      <c r="Z295" s="23"/>
      <c r="AA295" s="23"/>
      <c r="AB295" s="23">
        <f t="shared" si="295"/>
        <v>18669.759999999998</v>
      </c>
      <c r="AC295" s="23">
        <v>14875.55</v>
      </c>
      <c r="AD295" s="23">
        <v>3794.21</v>
      </c>
      <c r="AE295" s="23">
        <f t="shared" si="292"/>
        <v>933487.76</v>
      </c>
      <c r="AF295" s="23">
        <v>0</v>
      </c>
      <c r="AG295" s="26">
        <f t="shared" si="278"/>
        <v>933487.76</v>
      </c>
      <c r="AH295" s="27" t="s">
        <v>585</v>
      </c>
      <c r="AI295" s="28" t="s">
        <v>422</v>
      </c>
      <c r="AJ295" s="29">
        <f>81982.44+68790.33-12682.51+93000-3589.63+93000</f>
        <v>320500.63</v>
      </c>
      <c r="AK295" s="29">
        <f>11017.56+15316.94+17051</f>
        <v>43385.5</v>
      </c>
    </row>
    <row r="296" spans="1:37" ht="393.75" x14ac:dyDescent="0.25">
      <c r="A296" s="12">
        <v>292</v>
      </c>
      <c r="B296" s="225">
        <v>115759</v>
      </c>
      <c r="C296" s="226">
        <v>400</v>
      </c>
      <c r="D296" s="225" t="s">
        <v>170</v>
      </c>
      <c r="E296" s="227" t="s">
        <v>165</v>
      </c>
      <c r="F296" s="228" t="s">
        <v>445</v>
      </c>
      <c r="G296" s="229" t="s">
        <v>619</v>
      </c>
      <c r="H296" s="230" t="s">
        <v>620</v>
      </c>
      <c r="I296" s="227" t="s">
        <v>621</v>
      </c>
      <c r="J296" s="231" t="s">
        <v>622</v>
      </c>
      <c r="K296" s="232">
        <v>43270</v>
      </c>
      <c r="L296" s="32">
        <v>44062</v>
      </c>
      <c r="M296" s="233">
        <f t="shared" si="294"/>
        <v>83.983862848432537</v>
      </c>
      <c r="N296" s="234" t="s">
        <v>324</v>
      </c>
      <c r="O296" s="234" t="s">
        <v>156</v>
      </c>
      <c r="P296" s="234" t="s">
        <v>156</v>
      </c>
      <c r="Q296" s="235" t="s">
        <v>157</v>
      </c>
      <c r="R296" s="234" t="s">
        <v>36</v>
      </c>
      <c r="S296" s="23">
        <f t="shared" si="288"/>
        <v>11840890.029999999</v>
      </c>
      <c r="T296" s="23">
        <v>9548646.1699999999</v>
      </c>
      <c r="U296" s="23">
        <v>2292243.86</v>
      </c>
      <c r="V296" s="23">
        <f t="shared" si="289"/>
        <v>0</v>
      </c>
      <c r="W296" s="23"/>
      <c r="X296" s="23"/>
      <c r="Y296" s="23">
        <f t="shared" si="293"/>
        <v>2258116.17</v>
      </c>
      <c r="Z296" s="23">
        <v>1685055.21</v>
      </c>
      <c r="AA296" s="23">
        <v>573060.96</v>
      </c>
      <c r="AB296" s="23">
        <f t="shared" si="295"/>
        <v>0</v>
      </c>
      <c r="AC296" s="23"/>
      <c r="AD296" s="23"/>
      <c r="AE296" s="23">
        <f t="shared" si="292"/>
        <v>14099006.199999999</v>
      </c>
      <c r="AF296" s="23"/>
      <c r="AG296" s="26">
        <f t="shared" si="278"/>
        <v>14099006.199999999</v>
      </c>
      <c r="AH296" s="27" t="s">
        <v>585</v>
      </c>
      <c r="AI296" s="28" t="s">
        <v>185</v>
      </c>
      <c r="AJ296" s="29">
        <f>821485.68+1164341.89+225959.67+840790.22+382.88+832032.46</f>
        <v>3884992.8</v>
      </c>
      <c r="AK296" s="29">
        <v>0</v>
      </c>
    </row>
    <row r="297" spans="1:37" ht="220.5" x14ac:dyDescent="0.25">
      <c r="A297" s="14">
        <v>293</v>
      </c>
      <c r="B297" s="13">
        <v>111409</v>
      </c>
      <c r="C297" s="67">
        <v>193</v>
      </c>
      <c r="D297" s="13" t="s">
        <v>171</v>
      </c>
      <c r="E297" s="18" t="s">
        <v>165</v>
      </c>
      <c r="F297" s="16" t="s">
        <v>322</v>
      </c>
      <c r="G297" s="236" t="s">
        <v>628</v>
      </c>
      <c r="H297" s="237" t="s">
        <v>627</v>
      </c>
      <c r="I297" s="18" t="s">
        <v>422</v>
      </c>
      <c r="J297" s="112" t="s">
        <v>629</v>
      </c>
      <c r="K297" s="20">
        <v>43271</v>
      </c>
      <c r="L297" s="32">
        <v>43758</v>
      </c>
      <c r="M297" s="21">
        <f t="shared" si="294"/>
        <v>82.304194845785176</v>
      </c>
      <c r="N297" s="14" t="s">
        <v>324</v>
      </c>
      <c r="O297" s="70" t="s">
        <v>156</v>
      </c>
      <c r="P297" s="70" t="s">
        <v>156</v>
      </c>
      <c r="Q297" s="22" t="s">
        <v>326</v>
      </c>
      <c r="R297" s="14" t="s">
        <v>36</v>
      </c>
      <c r="S297" s="238">
        <f>T297+U297</f>
        <v>813056.82000000007</v>
      </c>
      <c r="T297" s="23">
        <v>655659.42000000004</v>
      </c>
      <c r="U297" s="23">
        <v>157397.4</v>
      </c>
      <c r="V297" s="23">
        <f t="shared" si="289"/>
        <v>155053.85</v>
      </c>
      <c r="W297" s="23">
        <v>115704.6</v>
      </c>
      <c r="X297" s="23">
        <v>39349.25</v>
      </c>
      <c r="Y297" s="23">
        <f t="shared" si="293"/>
        <v>0</v>
      </c>
      <c r="Z297" s="23"/>
      <c r="AA297" s="23"/>
      <c r="AB297" s="23">
        <f t="shared" si="295"/>
        <v>19757.350000000002</v>
      </c>
      <c r="AC297" s="23">
        <v>15742.12</v>
      </c>
      <c r="AD297" s="23">
        <v>4015.23</v>
      </c>
      <c r="AE297" s="23">
        <f>S297+V297+Y297+AB297</f>
        <v>987868.02</v>
      </c>
      <c r="AF297" s="23">
        <v>0</v>
      </c>
      <c r="AG297" s="26">
        <f t="shared" si="278"/>
        <v>987868.02</v>
      </c>
      <c r="AH297" s="27" t="s">
        <v>585</v>
      </c>
      <c r="AI297" s="28" t="s">
        <v>1392</v>
      </c>
      <c r="AJ297" s="29">
        <f>104036.05+83299.38+40723.7+153044.06+23273.36+53101.78+28583.42</f>
        <v>486061.74999999994</v>
      </c>
      <c r="AK297" s="29">
        <f>16886.65+26605.33+10347.13+4438.35+10126.8+5451</f>
        <v>73855.259999999995</v>
      </c>
    </row>
    <row r="298" spans="1:37" ht="141.75" x14ac:dyDescent="0.25">
      <c r="A298" s="12">
        <v>294</v>
      </c>
      <c r="B298" s="13">
        <v>118676</v>
      </c>
      <c r="C298" s="67">
        <v>432</v>
      </c>
      <c r="D298" s="13" t="s">
        <v>171</v>
      </c>
      <c r="E298" s="18" t="s">
        <v>1083</v>
      </c>
      <c r="F298" s="16" t="s">
        <v>630</v>
      </c>
      <c r="G298" s="224" t="s">
        <v>631</v>
      </c>
      <c r="H298" s="30" t="s">
        <v>632</v>
      </c>
      <c r="I298" s="18" t="s">
        <v>633</v>
      </c>
      <c r="J298" s="112" t="s">
        <v>634</v>
      </c>
      <c r="K298" s="20">
        <v>43270</v>
      </c>
      <c r="L298" s="32">
        <v>43818</v>
      </c>
      <c r="M298" s="21">
        <f t="shared" si="294"/>
        <v>83.983861980210861</v>
      </c>
      <c r="N298" s="14" t="s">
        <v>324</v>
      </c>
      <c r="O298" s="70" t="s">
        <v>156</v>
      </c>
      <c r="P298" s="70" t="s">
        <v>156</v>
      </c>
      <c r="Q298" s="22" t="s">
        <v>157</v>
      </c>
      <c r="R298" s="14" t="s">
        <v>36</v>
      </c>
      <c r="S298" s="23">
        <f t="shared" si="288"/>
        <v>3030823.88</v>
      </c>
      <c r="T298" s="23">
        <v>2444095.39</v>
      </c>
      <c r="U298" s="23">
        <v>586728.49</v>
      </c>
      <c r="V298" s="23">
        <f t="shared" si="289"/>
        <v>0</v>
      </c>
      <c r="W298" s="23"/>
      <c r="X298" s="23"/>
      <c r="Y298" s="23">
        <f t="shared" si="293"/>
        <v>577993.11</v>
      </c>
      <c r="Z298" s="23">
        <v>431310.99</v>
      </c>
      <c r="AA298" s="23">
        <v>146682.12</v>
      </c>
      <c r="AB298" s="23">
        <f t="shared" si="295"/>
        <v>0</v>
      </c>
      <c r="AC298" s="23"/>
      <c r="AD298" s="23"/>
      <c r="AE298" s="23">
        <f t="shared" si="292"/>
        <v>3608816.9899999998</v>
      </c>
      <c r="AF298" s="23">
        <v>0</v>
      </c>
      <c r="AG298" s="26">
        <f t="shared" si="278"/>
        <v>3608816.9899999998</v>
      </c>
      <c r="AH298" s="27" t="s">
        <v>585</v>
      </c>
      <c r="AI298" s="28" t="s">
        <v>185</v>
      </c>
      <c r="AJ298" s="29">
        <f>43102.2+366371.99+199.89+120510.92</f>
        <v>530185</v>
      </c>
      <c r="AK298" s="29">
        <v>0</v>
      </c>
    </row>
    <row r="299" spans="1:37" ht="409.5" x14ac:dyDescent="0.25">
      <c r="A299" s="12">
        <v>295</v>
      </c>
      <c r="B299" s="13">
        <v>111610</v>
      </c>
      <c r="C299" s="67">
        <v>374</v>
      </c>
      <c r="D299" s="13" t="s">
        <v>168</v>
      </c>
      <c r="E299" s="18" t="s">
        <v>1084</v>
      </c>
      <c r="F299" s="16" t="s">
        <v>635</v>
      </c>
      <c r="G299" s="224" t="s">
        <v>637</v>
      </c>
      <c r="H299" s="30" t="s">
        <v>636</v>
      </c>
      <c r="I299" s="18" t="s">
        <v>638</v>
      </c>
      <c r="J299" s="112" t="s">
        <v>642</v>
      </c>
      <c r="K299" s="20">
        <v>43272</v>
      </c>
      <c r="L299" s="32">
        <v>43637</v>
      </c>
      <c r="M299" s="21">
        <f t="shared" si="294"/>
        <v>82.30418774976819</v>
      </c>
      <c r="N299" s="14" t="s">
        <v>324</v>
      </c>
      <c r="O299" s="70" t="s">
        <v>156</v>
      </c>
      <c r="P299" s="70" t="s">
        <v>156</v>
      </c>
      <c r="Q299" s="22" t="s">
        <v>326</v>
      </c>
      <c r="R299" s="14" t="s">
        <v>36</v>
      </c>
      <c r="S299" s="23">
        <f t="shared" si="288"/>
        <v>3413208.46</v>
      </c>
      <c r="T299" s="23">
        <v>2752455.25</v>
      </c>
      <c r="U299" s="23">
        <v>660753.21</v>
      </c>
      <c r="V299" s="23">
        <f t="shared" si="289"/>
        <v>650915.6</v>
      </c>
      <c r="W299" s="23">
        <v>485727.33</v>
      </c>
      <c r="X299" s="23">
        <v>165188.26999999999</v>
      </c>
      <c r="Y299" s="23">
        <f t="shared" si="293"/>
        <v>0</v>
      </c>
      <c r="Z299" s="23">
        <v>0</v>
      </c>
      <c r="AA299" s="23">
        <v>0</v>
      </c>
      <c r="AB299" s="23">
        <f t="shared" si="295"/>
        <v>82941.300000000017</v>
      </c>
      <c r="AC299" s="23">
        <v>66085.326136337957</v>
      </c>
      <c r="AD299" s="23">
        <v>16855.97386366206</v>
      </c>
      <c r="AE299" s="23">
        <f>S299+V299+Y299+AB299</f>
        <v>4147065.36</v>
      </c>
      <c r="AF299" s="23">
        <v>0</v>
      </c>
      <c r="AG299" s="26">
        <f t="shared" si="278"/>
        <v>4147065.36</v>
      </c>
      <c r="AH299" s="27" t="s">
        <v>585</v>
      </c>
      <c r="AI299" s="28" t="s">
        <v>1131</v>
      </c>
      <c r="AJ299" s="29">
        <f>413506.52+39634.08+203862.73+22675.21+238112.3-5677.61+315671.54+256839.5+48499.95</f>
        <v>1533124.22</v>
      </c>
      <c r="AK299" s="29">
        <f>51329.52+25659.99+79433+5677.61+44422.4+12020.11</f>
        <v>218542.63</v>
      </c>
    </row>
    <row r="300" spans="1:37" ht="141.75" x14ac:dyDescent="0.25">
      <c r="A300" s="14">
        <v>296</v>
      </c>
      <c r="B300" s="13">
        <v>110423</v>
      </c>
      <c r="C300" s="67">
        <v>207</v>
      </c>
      <c r="D300" s="13" t="s">
        <v>172</v>
      </c>
      <c r="E300" s="18" t="s">
        <v>165</v>
      </c>
      <c r="F300" s="16" t="s">
        <v>322</v>
      </c>
      <c r="G300" s="224" t="s">
        <v>639</v>
      </c>
      <c r="H300" s="239" t="s">
        <v>640</v>
      </c>
      <c r="I300" s="18" t="s">
        <v>422</v>
      </c>
      <c r="J300" s="112" t="s">
        <v>641</v>
      </c>
      <c r="K300" s="20">
        <v>43272</v>
      </c>
      <c r="L300" s="32">
        <v>43758</v>
      </c>
      <c r="M300" s="21">
        <f t="shared" si="294"/>
        <v>82.304186780774501</v>
      </c>
      <c r="N300" s="14" t="s">
        <v>324</v>
      </c>
      <c r="O300" s="14" t="s">
        <v>312</v>
      </c>
      <c r="P300" s="14" t="s">
        <v>312</v>
      </c>
      <c r="Q300" s="22" t="s">
        <v>326</v>
      </c>
      <c r="R300" s="14" t="s">
        <v>36</v>
      </c>
      <c r="S300" s="23">
        <f t="shared" si="288"/>
        <v>823039.16</v>
      </c>
      <c r="T300" s="23">
        <v>663709.38</v>
      </c>
      <c r="U300" s="23">
        <v>159329.78</v>
      </c>
      <c r="V300" s="23">
        <f>W300+X300</f>
        <v>156957.62</v>
      </c>
      <c r="W300" s="23">
        <v>117125.17</v>
      </c>
      <c r="X300" s="23">
        <v>39832.449999999997</v>
      </c>
      <c r="Y300" s="23">
        <f>Z300+AA300</f>
        <v>0</v>
      </c>
      <c r="Z300" s="23"/>
      <c r="AA300" s="23"/>
      <c r="AB300" s="23">
        <f t="shared" si="295"/>
        <v>19999.93</v>
      </c>
      <c r="AC300" s="23">
        <v>15935.4</v>
      </c>
      <c r="AD300" s="23">
        <v>4064.53</v>
      </c>
      <c r="AE300" s="23">
        <f t="shared" si="292"/>
        <v>999996.71000000008</v>
      </c>
      <c r="AF300" s="23">
        <v>0</v>
      </c>
      <c r="AG300" s="26">
        <f t="shared" si="278"/>
        <v>999996.71000000008</v>
      </c>
      <c r="AH300" s="27" t="s">
        <v>585</v>
      </c>
      <c r="AI300" s="28" t="s">
        <v>1403</v>
      </c>
      <c r="AJ300" s="29">
        <f>55440+153663.31-12607.53+78717.62+110523.84</f>
        <v>385737.24</v>
      </c>
      <c r="AK300" s="29">
        <f>20806.72+12607.53+21077.43</f>
        <v>54491.68</v>
      </c>
    </row>
    <row r="301" spans="1:37" ht="220.5" x14ac:dyDescent="0.25">
      <c r="A301" s="12">
        <v>297</v>
      </c>
      <c r="B301" s="13">
        <v>111199</v>
      </c>
      <c r="C301" s="67">
        <v>147</v>
      </c>
      <c r="D301" s="13" t="s">
        <v>1320</v>
      </c>
      <c r="E301" s="18" t="s">
        <v>165</v>
      </c>
      <c r="F301" s="16" t="s">
        <v>322</v>
      </c>
      <c r="G301" s="224" t="s">
        <v>686</v>
      </c>
      <c r="H301" s="30" t="s">
        <v>687</v>
      </c>
      <c r="I301" s="18" t="s">
        <v>688</v>
      </c>
      <c r="J301" s="112" t="s">
        <v>689</v>
      </c>
      <c r="K301" s="20">
        <v>43277</v>
      </c>
      <c r="L301" s="32">
        <v>44190</v>
      </c>
      <c r="M301" s="21">
        <f t="shared" si="294"/>
        <v>82.524995224288418</v>
      </c>
      <c r="N301" s="14" t="s">
        <v>324</v>
      </c>
      <c r="O301" s="14" t="s">
        <v>312</v>
      </c>
      <c r="P301" s="14" t="s">
        <v>312</v>
      </c>
      <c r="Q301" s="22" t="s">
        <v>326</v>
      </c>
      <c r="R301" s="14" t="s">
        <v>36</v>
      </c>
      <c r="S301" s="23">
        <f>T301+U301</f>
        <v>825126.99</v>
      </c>
      <c r="T301" s="23">
        <v>665393.03</v>
      </c>
      <c r="U301" s="23">
        <v>159733.96</v>
      </c>
      <c r="V301" s="23">
        <f t="shared" si="289"/>
        <v>154726.99</v>
      </c>
      <c r="W301" s="23">
        <v>115327.75</v>
      </c>
      <c r="X301" s="23">
        <v>39399.24</v>
      </c>
      <c r="Y301" s="23">
        <f>Z301+AA301</f>
        <v>0</v>
      </c>
      <c r="Z301" s="23">
        <v>0</v>
      </c>
      <c r="AA301" s="23">
        <v>0</v>
      </c>
      <c r="AB301" s="23">
        <f>AC301+AD301</f>
        <v>19997.02</v>
      </c>
      <c r="AC301" s="23">
        <v>15933.08</v>
      </c>
      <c r="AD301" s="23">
        <v>4063.94</v>
      </c>
      <c r="AE301" s="23">
        <f t="shared" si="292"/>
        <v>999851</v>
      </c>
      <c r="AF301" s="23">
        <v>0</v>
      </c>
      <c r="AG301" s="26">
        <f t="shared" si="278"/>
        <v>999851</v>
      </c>
      <c r="AH301" s="27" t="s">
        <v>585</v>
      </c>
      <c r="AI301" s="28" t="s">
        <v>185</v>
      </c>
      <c r="AJ301" s="29">
        <f>99985.1+89695.95+1370.47+76616.64+5407.01+89703.31</f>
        <v>362778.48</v>
      </c>
      <c r="AK301" s="29">
        <f>17105.45+14284.79+17404.21</f>
        <v>48794.45</v>
      </c>
    </row>
    <row r="302" spans="1:37" ht="299.25" x14ac:dyDescent="0.25">
      <c r="A302" s="12">
        <v>298</v>
      </c>
      <c r="B302" s="13">
        <v>109686</v>
      </c>
      <c r="C302" s="67">
        <v>122</v>
      </c>
      <c r="D302" s="13" t="s">
        <v>843</v>
      </c>
      <c r="E302" s="15" t="s">
        <v>968</v>
      </c>
      <c r="F302" s="16" t="s">
        <v>331</v>
      </c>
      <c r="G302" s="17" t="s">
        <v>652</v>
      </c>
      <c r="H302" s="30" t="s">
        <v>653</v>
      </c>
      <c r="I302" s="18" t="s">
        <v>422</v>
      </c>
      <c r="J302" s="112" t="s">
        <v>654</v>
      </c>
      <c r="K302" s="20">
        <v>43276</v>
      </c>
      <c r="L302" s="32">
        <v>43763</v>
      </c>
      <c r="M302" s="21">
        <f t="shared" si="294"/>
        <v>85.000000118226325</v>
      </c>
      <c r="N302" s="14">
        <v>2</v>
      </c>
      <c r="O302" s="14" t="s">
        <v>655</v>
      </c>
      <c r="P302" s="14" t="s">
        <v>655</v>
      </c>
      <c r="Q302" s="22" t="s">
        <v>212</v>
      </c>
      <c r="R302" s="14" t="s">
        <v>36</v>
      </c>
      <c r="S302" s="23">
        <f t="shared" si="288"/>
        <v>359480.02</v>
      </c>
      <c r="T302" s="23">
        <v>359480.02</v>
      </c>
      <c r="U302" s="23">
        <v>0</v>
      </c>
      <c r="V302" s="23">
        <f t="shared" si="289"/>
        <v>54979.3</v>
      </c>
      <c r="W302" s="23">
        <v>54979.3</v>
      </c>
      <c r="X302" s="23">
        <v>0</v>
      </c>
      <c r="Y302" s="23">
        <f t="shared" si="293"/>
        <v>8458.35</v>
      </c>
      <c r="Z302" s="23">
        <v>8458.35</v>
      </c>
      <c r="AA302" s="23">
        <v>0</v>
      </c>
      <c r="AB302" s="23">
        <f t="shared" si="295"/>
        <v>0</v>
      </c>
      <c r="AC302" s="23"/>
      <c r="AD302" s="23"/>
      <c r="AE302" s="23">
        <f t="shared" si="292"/>
        <v>422917.67</v>
      </c>
      <c r="AF302" s="23">
        <v>0</v>
      </c>
      <c r="AG302" s="26">
        <f t="shared" si="278"/>
        <v>422917.67</v>
      </c>
      <c r="AH302" s="27" t="s">
        <v>585</v>
      </c>
      <c r="AI302" s="28" t="s">
        <v>185</v>
      </c>
      <c r="AJ302" s="1">
        <f>31070.04+37860.62+76874</f>
        <v>145804.66</v>
      </c>
      <c r="AK302" s="29">
        <f>4751.89+5790.44+11757.2</f>
        <v>22299.53</v>
      </c>
    </row>
    <row r="303" spans="1:37" ht="409.5" x14ac:dyDescent="0.25">
      <c r="A303" s="14">
        <v>299</v>
      </c>
      <c r="B303" s="13">
        <v>111846</v>
      </c>
      <c r="C303" s="67">
        <v>165</v>
      </c>
      <c r="D303" s="13" t="s">
        <v>1074</v>
      </c>
      <c r="E303" s="18" t="s">
        <v>165</v>
      </c>
      <c r="F303" s="16" t="s">
        <v>322</v>
      </c>
      <c r="G303" s="17" t="s">
        <v>661</v>
      </c>
      <c r="H303" s="30" t="s">
        <v>662</v>
      </c>
      <c r="I303" s="18" t="s">
        <v>422</v>
      </c>
      <c r="J303" s="112" t="s">
        <v>663</v>
      </c>
      <c r="K303" s="20">
        <v>43278</v>
      </c>
      <c r="L303" s="32">
        <v>43643</v>
      </c>
      <c r="M303" s="21">
        <f t="shared" si="294"/>
        <v>82.304186166768261</v>
      </c>
      <c r="N303" s="14" t="s">
        <v>324</v>
      </c>
      <c r="O303" s="14" t="s">
        <v>312</v>
      </c>
      <c r="P303" s="14" t="s">
        <v>312</v>
      </c>
      <c r="Q303" s="22" t="s">
        <v>326</v>
      </c>
      <c r="R303" s="14" t="s">
        <v>36</v>
      </c>
      <c r="S303" s="23">
        <f t="shared" si="288"/>
        <v>693954.33</v>
      </c>
      <c r="T303" s="23">
        <v>559613.69999999995</v>
      </c>
      <c r="U303" s="23">
        <v>134340.63</v>
      </c>
      <c r="V303" s="23">
        <f t="shared" si="289"/>
        <v>132340.51</v>
      </c>
      <c r="W303" s="23">
        <v>98755.36</v>
      </c>
      <c r="X303" s="23">
        <v>33585.15</v>
      </c>
      <c r="Y303" s="23">
        <f>Z303+AA303</f>
        <v>0</v>
      </c>
      <c r="Z303" s="23">
        <v>0</v>
      </c>
      <c r="AA303" s="23">
        <v>0</v>
      </c>
      <c r="AB303" s="23">
        <f>AC303+AD303</f>
        <v>16863.16</v>
      </c>
      <c r="AC303" s="23">
        <v>13436.1</v>
      </c>
      <c r="AD303" s="23">
        <v>3427.06</v>
      </c>
      <c r="AE303" s="23">
        <f t="shared" si="292"/>
        <v>843158</v>
      </c>
      <c r="AF303" s="23">
        <v>0</v>
      </c>
      <c r="AG303" s="26">
        <f t="shared" si="278"/>
        <v>843158</v>
      </c>
      <c r="AH303" s="27" t="s">
        <v>1529</v>
      </c>
      <c r="AI303" s="28" t="s">
        <v>185</v>
      </c>
      <c r="AJ303" s="29">
        <f>137170.68-7903.65+194328.98+89918.19+31054.2+67873.86+26987.16</f>
        <v>539429.42000000004</v>
      </c>
      <c r="AK303" s="29">
        <f>10079.83+14572.02+20980.21+17147.84+5922.18+12943.9+5146.58</f>
        <v>86792.559999999983</v>
      </c>
    </row>
    <row r="304" spans="1:37" ht="409.5" x14ac:dyDescent="0.25">
      <c r="A304" s="12">
        <v>300</v>
      </c>
      <c r="B304" s="13">
        <v>110795</v>
      </c>
      <c r="C304" s="67">
        <v>127</v>
      </c>
      <c r="D304" s="13" t="s">
        <v>1320</v>
      </c>
      <c r="E304" s="18" t="s">
        <v>165</v>
      </c>
      <c r="F304" s="16" t="s">
        <v>322</v>
      </c>
      <c r="G304" s="17" t="s">
        <v>664</v>
      </c>
      <c r="H304" s="30" t="s">
        <v>669</v>
      </c>
      <c r="I304" s="18" t="s">
        <v>670</v>
      </c>
      <c r="J304" s="240" t="s">
        <v>671</v>
      </c>
      <c r="K304" s="20">
        <v>43278</v>
      </c>
      <c r="L304" s="32">
        <v>43765</v>
      </c>
      <c r="M304" s="21">
        <f t="shared" si="294"/>
        <v>82.304181171723172</v>
      </c>
      <c r="N304" s="14" t="s">
        <v>324</v>
      </c>
      <c r="O304" s="14" t="s">
        <v>312</v>
      </c>
      <c r="P304" s="14" t="s">
        <v>312</v>
      </c>
      <c r="Q304" s="22" t="s">
        <v>326</v>
      </c>
      <c r="R304" s="14" t="s">
        <v>36</v>
      </c>
      <c r="S304" s="23">
        <f t="shared" si="288"/>
        <v>818511.09</v>
      </c>
      <c r="T304" s="23">
        <v>660057.88</v>
      </c>
      <c r="U304" s="23">
        <v>158453.21</v>
      </c>
      <c r="V304" s="23">
        <f t="shared" si="289"/>
        <v>156094.12</v>
      </c>
      <c r="W304" s="23">
        <v>116480.81</v>
      </c>
      <c r="X304" s="23">
        <v>39613.31</v>
      </c>
      <c r="Y304" s="23">
        <f t="shared" si="293"/>
        <v>0</v>
      </c>
      <c r="Z304" s="23"/>
      <c r="AA304" s="23"/>
      <c r="AB304" s="23">
        <f t="shared" si="295"/>
        <v>19889.939999999999</v>
      </c>
      <c r="AC304" s="23">
        <v>15847.76</v>
      </c>
      <c r="AD304" s="23">
        <v>4042.18</v>
      </c>
      <c r="AE304" s="23">
        <f t="shared" si="292"/>
        <v>994495.14999999991</v>
      </c>
      <c r="AF304" s="23"/>
      <c r="AG304" s="26">
        <f t="shared" si="278"/>
        <v>994495.14999999991</v>
      </c>
      <c r="AH304" s="27" t="s">
        <v>585</v>
      </c>
      <c r="AI304" s="28"/>
      <c r="AJ304" s="29">
        <f>157838.38+70218+75120.05-9400.61+77188.42+38669.17-7483.51+148856.55+42278.62</f>
        <v>593285.06999999995</v>
      </c>
      <c r="AK304" s="29">
        <f>11135.04+27716.68+9400.61+3526.85+11840.91+7483.51+15010.54+8062.74</f>
        <v>94176.87999999999</v>
      </c>
    </row>
    <row r="305" spans="1:37" ht="267.75" x14ac:dyDescent="0.25">
      <c r="A305" s="12">
        <v>301</v>
      </c>
      <c r="B305" s="13">
        <v>110651</v>
      </c>
      <c r="C305" s="67">
        <v>226</v>
      </c>
      <c r="D305" s="13" t="s">
        <v>172</v>
      </c>
      <c r="E305" s="18" t="s">
        <v>165</v>
      </c>
      <c r="F305" s="16" t="s">
        <v>322</v>
      </c>
      <c r="G305" s="224" t="s">
        <v>665</v>
      </c>
      <c r="H305" s="30" t="s">
        <v>666</v>
      </c>
      <c r="I305" s="18" t="s">
        <v>667</v>
      </c>
      <c r="J305" s="240" t="s">
        <v>668</v>
      </c>
      <c r="K305" s="20">
        <v>43278</v>
      </c>
      <c r="L305" s="32">
        <v>43765</v>
      </c>
      <c r="M305" s="21">
        <f t="shared" si="294"/>
        <v>82.795862353225218</v>
      </c>
      <c r="N305" s="14" t="s">
        <v>324</v>
      </c>
      <c r="O305" s="14" t="s">
        <v>312</v>
      </c>
      <c r="P305" s="14" t="s">
        <v>312</v>
      </c>
      <c r="Q305" s="22" t="s">
        <v>326</v>
      </c>
      <c r="R305" s="14" t="s">
        <v>36</v>
      </c>
      <c r="S305" s="23">
        <f t="shared" si="288"/>
        <v>774090.94000000006</v>
      </c>
      <c r="T305" s="23">
        <v>624236.92000000004</v>
      </c>
      <c r="U305" s="23">
        <v>149854.01999999999</v>
      </c>
      <c r="V305" s="23">
        <f t="shared" si="289"/>
        <v>142149.4</v>
      </c>
      <c r="W305" s="23">
        <v>105798.26</v>
      </c>
      <c r="X305" s="23">
        <v>36351.14</v>
      </c>
      <c r="Y305" s="23">
        <f t="shared" si="293"/>
        <v>0</v>
      </c>
      <c r="Z305" s="23"/>
      <c r="AA305" s="23"/>
      <c r="AB305" s="23">
        <f t="shared" si="295"/>
        <v>18698.82</v>
      </c>
      <c r="AC305" s="23">
        <v>14898.69</v>
      </c>
      <c r="AD305" s="23">
        <v>3800.13</v>
      </c>
      <c r="AE305" s="23">
        <f t="shared" si="292"/>
        <v>934939.16</v>
      </c>
      <c r="AF305" s="23">
        <v>0</v>
      </c>
      <c r="AG305" s="26">
        <f t="shared" si="278"/>
        <v>934939.16</v>
      </c>
      <c r="AH305" s="27" t="s">
        <v>585</v>
      </c>
      <c r="AI305" s="28" t="s">
        <v>185</v>
      </c>
      <c r="AJ305" s="29">
        <f>93127.69-32382.23+82358.09+30059.24-7220.89+50009.03</f>
        <v>215950.92999999996</v>
      </c>
      <c r="AK305" s="29">
        <f>9460.82+5699.03+7815.58</f>
        <v>22975.43</v>
      </c>
    </row>
    <row r="306" spans="1:37" ht="409.5" x14ac:dyDescent="0.25">
      <c r="A306" s="14">
        <v>302</v>
      </c>
      <c r="B306" s="13">
        <v>111787</v>
      </c>
      <c r="C306" s="67">
        <v>169</v>
      </c>
      <c r="D306" s="13" t="s">
        <v>1074</v>
      </c>
      <c r="E306" s="18" t="s">
        <v>165</v>
      </c>
      <c r="F306" s="16" t="s">
        <v>322</v>
      </c>
      <c r="G306" s="17" t="s">
        <v>672</v>
      </c>
      <c r="H306" s="30" t="s">
        <v>673</v>
      </c>
      <c r="I306" s="18" t="s">
        <v>422</v>
      </c>
      <c r="J306" s="240" t="s">
        <v>674</v>
      </c>
      <c r="K306" s="20">
        <v>43278</v>
      </c>
      <c r="L306" s="32">
        <v>43765</v>
      </c>
      <c r="M306" s="21">
        <f t="shared" si="294"/>
        <v>82.304186085847633</v>
      </c>
      <c r="N306" s="14" t="s">
        <v>324</v>
      </c>
      <c r="O306" s="14" t="s">
        <v>312</v>
      </c>
      <c r="P306" s="14" t="s">
        <v>312</v>
      </c>
      <c r="Q306" s="22" t="s">
        <v>326</v>
      </c>
      <c r="R306" s="14" t="s">
        <v>36</v>
      </c>
      <c r="S306" s="23">
        <f t="shared" si="288"/>
        <v>822921.16999999993</v>
      </c>
      <c r="T306" s="23">
        <v>663614.22</v>
      </c>
      <c r="U306" s="23">
        <v>159306.95000000001</v>
      </c>
      <c r="V306" s="23">
        <f t="shared" si="289"/>
        <v>156935.12</v>
      </c>
      <c r="W306" s="23">
        <v>117108.4</v>
      </c>
      <c r="X306" s="23">
        <v>39826.720000000001</v>
      </c>
      <c r="Y306" s="23">
        <f t="shared" si="293"/>
        <v>0</v>
      </c>
      <c r="Z306" s="23"/>
      <c r="AA306" s="23"/>
      <c r="AB306" s="23">
        <f t="shared" si="295"/>
        <v>19997.07</v>
      </c>
      <c r="AC306" s="23">
        <v>15933.11</v>
      </c>
      <c r="AD306" s="23">
        <v>4063.96</v>
      </c>
      <c r="AE306" s="23">
        <f t="shared" si="292"/>
        <v>999853.35999999987</v>
      </c>
      <c r="AF306" s="23"/>
      <c r="AG306" s="26">
        <f t="shared" si="278"/>
        <v>999853.35999999987</v>
      </c>
      <c r="AH306" s="27" t="s">
        <v>585</v>
      </c>
      <c r="AI306" s="28"/>
      <c r="AJ306" s="29">
        <f>73296.53+95514.85+3270.71+99985.33+65010.91+99985.33-954</f>
        <v>436109.66</v>
      </c>
      <c r="AK306" s="29">
        <f>13125.47+19691.44+31465.6+954</f>
        <v>65236.509999999995</v>
      </c>
    </row>
    <row r="307" spans="1:37" ht="409.5" x14ac:dyDescent="0.25">
      <c r="A307" s="12">
        <v>303</v>
      </c>
      <c r="B307" s="13">
        <v>113139</v>
      </c>
      <c r="C307" s="67">
        <v>387</v>
      </c>
      <c r="D307" s="13" t="s">
        <v>168</v>
      </c>
      <c r="E307" s="18" t="s">
        <v>1084</v>
      </c>
      <c r="F307" s="16" t="s">
        <v>635</v>
      </c>
      <c r="G307" s="17" t="s">
        <v>681</v>
      </c>
      <c r="H307" s="30" t="s">
        <v>680</v>
      </c>
      <c r="I307" s="18" t="s">
        <v>682</v>
      </c>
      <c r="J307" s="240" t="s">
        <v>683</v>
      </c>
      <c r="K307" s="20">
        <v>43273</v>
      </c>
      <c r="L307" s="32">
        <v>43760</v>
      </c>
      <c r="M307" s="21">
        <f t="shared" si="294"/>
        <v>82.304185106128585</v>
      </c>
      <c r="N307" s="14" t="s">
        <v>324</v>
      </c>
      <c r="O307" s="14" t="s">
        <v>312</v>
      </c>
      <c r="P307" s="14" t="s">
        <v>312</v>
      </c>
      <c r="Q307" s="22" t="s">
        <v>326</v>
      </c>
      <c r="R307" s="14" t="s">
        <v>36</v>
      </c>
      <c r="S307" s="23">
        <f t="shared" si="288"/>
        <v>3201407.46</v>
      </c>
      <c r="T307" s="23">
        <v>2581656.2000000002</v>
      </c>
      <c r="U307" s="23">
        <v>619751.26</v>
      </c>
      <c r="V307" s="23">
        <f t="shared" si="289"/>
        <v>610524.23</v>
      </c>
      <c r="W307" s="23">
        <v>455586.4</v>
      </c>
      <c r="X307" s="23">
        <v>154937.82999999999</v>
      </c>
      <c r="Y307" s="23">
        <f t="shared" si="293"/>
        <v>0</v>
      </c>
      <c r="Z307" s="23">
        <v>0</v>
      </c>
      <c r="AA307" s="23">
        <v>0</v>
      </c>
      <c r="AB307" s="23">
        <f t="shared" si="295"/>
        <v>77794.52</v>
      </c>
      <c r="AC307" s="23">
        <v>61984.53</v>
      </c>
      <c r="AD307" s="23">
        <v>15809.99</v>
      </c>
      <c r="AE307" s="23">
        <f t="shared" si="292"/>
        <v>3889726.21</v>
      </c>
      <c r="AF307" s="23">
        <v>0</v>
      </c>
      <c r="AG307" s="26">
        <f t="shared" si="278"/>
        <v>3889726.21</v>
      </c>
      <c r="AH307" s="27" t="s">
        <v>585</v>
      </c>
      <c r="AI307" s="28" t="s">
        <v>185</v>
      </c>
      <c r="AJ307" s="29">
        <f>388971+375144.58-54672.24+342821.17+4731.32+402737.67</f>
        <v>1459733.5</v>
      </c>
      <c r="AK307" s="29">
        <f>71541.92+54951.43+44725.39+32980.93</f>
        <v>204199.66999999998</v>
      </c>
    </row>
    <row r="308" spans="1:37" ht="409.5" x14ac:dyDescent="0.25">
      <c r="A308" s="12">
        <v>304</v>
      </c>
      <c r="B308" s="13">
        <v>111603</v>
      </c>
      <c r="C308" s="67">
        <v>195</v>
      </c>
      <c r="D308" s="13" t="s">
        <v>171</v>
      </c>
      <c r="E308" s="18" t="s">
        <v>165</v>
      </c>
      <c r="F308" s="16" t="s">
        <v>322</v>
      </c>
      <c r="G308" s="241" t="s">
        <v>696</v>
      </c>
      <c r="H308" s="241" t="s">
        <v>694</v>
      </c>
      <c r="I308" s="14" t="s">
        <v>693</v>
      </c>
      <c r="J308" s="240" t="s">
        <v>695</v>
      </c>
      <c r="K308" s="20">
        <v>43283</v>
      </c>
      <c r="L308" s="32">
        <v>43832</v>
      </c>
      <c r="M308" s="21">
        <f t="shared" si="294"/>
        <v>82.586398931908917</v>
      </c>
      <c r="N308" s="14" t="s">
        <v>324</v>
      </c>
      <c r="O308" s="14" t="s">
        <v>312</v>
      </c>
      <c r="P308" s="14" t="s">
        <v>312</v>
      </c>
      <c r="Q308" s="22" t="s">
        <v>326</v>
      </c>
      <c r="R308" s="14" t="s">
        <v>36</v>
      </c>
      <c r="S308" s="23">
        <f t="shared" si="288"/>
        <v>822323.37</v>
      </c>
      <c r="T308" s="23">
        <v>663132.13</v>
      </c>
      <c r="U308" s="23">
        <v>159191.24</v>
      </c>
      <c r="V308" s="23">
        <f t="shared" si="289"/>
        <v>153475.07</v>
      </c>
      <c r="W308" s="23">
        <v>114357.34</v>
      </c>
      <c r="X308" s="23">
        <v>39117.730000000003</v>
      </c>
      <c r="Y308" s="23">
        <f t="shared" si="293"/>
        <v>0</v>
      </c>
      <c r="Z308" s="23">
        <v>0</v>
      </c>
      <c r="AA308" s="23">
        <v>0</v>
      </c>
      <c r="AB308" s="23">
        <f t="shared" si="295"/>
        <v>19914.39</v>
      </c>
      <c r="AC308" s="23">
        <v>15867.2</v>
      </c>
      <c r="AD308" s="23">
        <v>4047.19</v>
      </c>
      <c r="AE308" s="23">
        <f t="shared" si="292"/>
        <v>995712.83</v>
      </c>
      <c r="AF308" s="23">
        <v>0</v>
      </c>
      <c r="AG308" s="26">
        <f t="shared" si="278"/>
        <v>995712.83</v>
      </c>
      <c r="AH308" s="27" t="s">
        <v>585</v>
      </c>
      <c r="AI308" s="28" t="s">
        <v>1475</v>
      </c>
      <c r="AJ308" s="29">
        <f>99571.31-9242.96+89177.68+83254.45+30280.79+7839.21</f>
        <v>300880.48</v>
      </c>
      <c r="AK308" s="29">
        <f>15946.32+15174.65+5774.69+4031.4</f>
        <v>40927.060000000005</v>
      </c>
    </row>
    <row r="309" spans="1:37" ht="141.75" x14ac:dyDescent="0.25">
      <c r="A309" s="14">
        <v>305</v>
      </c>
      <c r="B309" s="13">
        <v>113188</v>
      </c>
      <c r="C309" s="67">
        <v>246</v>
      </c>
      <c r="D309" s="13" t="s">
        <v>170</v>
      </c>
      <c r="E309" s="18" t="s">
        <v>165</v>
      </c>
      <c r="F309" s="16" t="s">
        <v>322</v>
      </c>
      <c r="G309" s="224" t="s">
        <v>701</v>
      </c>
      <c r="H309" s="30" t="s">
        <v>702</v>
      </c>
      <c r="I309" s="18" t="s">
        <v>422</v>
      </c>
      <c r="J309" s="240" t="s">
        <v>703</v>
      </c>
      <c r="K309" s="20">
        <v>43284</v>
      </c>
      <c r="L309" s="32">
        <v>43711</v>
      </c>
      <c r="M309" s="21">
        <f t="shared" si="294"/>
        <v>82.304188575115816</v>
      </c>
      <c r="N309" s="14" t="s">
        <v>324</v>
      </c>
      <c r="O309" s="14" t="s">
        <v>312</v>
      </c>
      <c r="P309" s="14" t="s">
        <v>312</v>
      </c>
      <c r="Q309" s="22" t="s">
        <v>326</v>
      </c>
      <c r="R309" s="14" t="s">
        <v>36</v>
      </c>
      <c r="S309" s="23">
        <f t="shared" si="288"/>
        <v>745468.83000000007</v>
      </c>
      <c r="T309" s="23">
        <v>601155.66</v>
      </c>
      <c r="U309" s="23">
        <v>144313.17000000001</v>
      </c>
      <c r="V309" s="23">
        <f t="shared" si="289"/>
        <v>142164.54</v>
      </c>
      <c r="W309" s="23">
        <v>106086.28</v>
      </c>
      <c r="X309" s="23">
        <v>36078.26</v>
      </c>
      <c r="Y309" s="23">
        <f t="shared" si="293"/>
        <v>0</v>
      </c>
      <c r="Z309" s="23">
        <v>0</v>
      </c>
      <c r="AA309" s="23">
        <v>0</v>
      </c>
      <c r="AB309" s="23">
        <f t="shared" si="295"/>
        <v>18114.98</v>
      </c>
      <c r="AC309" s="23">
        <v>14433.5</v>
      </c>
      <c r="AD309" s="23">
        <v>3681.48</v>
      </c>
      <c r="AE309" s="23">
        <f t="shared" si="292"/>
        <v>905748.35000000009</v>
      </c>
      <c r="AF309" s="23">
        <v>0</v>
      </c>
      <c r="AG309" s="26">
        <f t="shared" si="278"/>
        <v>905748.35000000009</v>
      </c>
      <c r="AH309" s="27" t="s">
        <v>585</v>
      </c>
      <c r="AI309" s="28" t="s">
        <v>185</v>
      </c>
      <c r="AJ309" s="29">
        <f>76816.8+130770.26-14027.52+87583.68+55112.77+22177.11+95479.67+15632.7+2054.36</f>
        <v>471599.82999999996</v>
      </c>
      <c r="AK309" s="29">
        <f>13758.03+8556.79+14027.52+10510.28+4229.28+10710.03+10479.69+17664.84</f>
        <v>89936.459999999992</v>
      </c>
    </row>
    <row r="310" spans="1:37" ht="315" x14ac:dyDescent="0.25">
      <c r="A310" s="12">
        <v>306</v>
      </c>
      <c r="B310" s="13">
        <v>116097</v>
      </c>
      <c r="C310" s="67">
        <v>394</v>
      </c>
      <c r="D310" s="13" t="s">
        <v>170</v>
      </c>
      <c r="E310" s="227" t="s">
        <v>165</v>
      </c>
      <c r="F310" s="41" t="s">
        <v>445</v>
      </c>
      <c r="G310" s="240" t="s">
        <v>713</v>
      </c>
      <c r="H310" s="30" t="s">
        <v>712</v>
      </c>
      <c r="I310" s="18" t="s">
        <v>502</v>
      </c>
      <c r="J310" s="240" t="s">
        <v>714</v>
      </c>
      <c r="K310" s="20">
        <v>43284</v>
      </c>
      <c r="L310" s="32">
        <v>44077</v>
      </c>
      <c r="M310" s="21">
        <f t="shared" si="294"/>
        <v>83.983862774791262</v>
      </c>
      <c r="N310" s="14" t="s">
        <v>324</v>
      </c>
      <c r="O310" s="14" t="s">
        <v>312</v>
      </c>
      <c r="P310" s="14" t="s">
        <v>312</v>
      </c>
      <c r="Q310" s="22" t="s">
        <v>157</v>
      </c>
      <c r="R310" s="14" t="s">
        <v>36</v>
      </c>
      <c r="S310" s="23">
        <f t="shared" si="288"/>
        <v>6396515.5899999999</v>
      </c>
      <c r="T310" s="23">
        <v>5158232.53</v>
      </c>
      <c r="U310" s="23">
        <v>1238283.06</v>
      </c>
      <c r="V310" s="23">
        <f t="shared" si="289"/>
        <v>472527.32999999996</v>
      </c>
      <c r="W310" s="23">
        <v>349201.67</v>
      </c>
      <c r="X310" s="23">
        <v>123325.66</v>
      </c>
      <c r="Y310" s="23">
        <f t="shared" si="293"/>
        <v>747319.77</v>
      </c>
      <c r="Z310" s="23">
        <v>561074.66</v>
      </c>
      <c r="AA310" s="23">
        <v>186245.11</v>
      </c>
      <c r="AB310" s="23">
        <f t="shared" si="295"/>
        <v>0</v>
      </c>
      <c r="AC310" s="23">
        <v>0</v>
      </c>
      <c r="AD310" s="23">
        <v>0</v>
      </c>
      <c r="AE310" s="23">
        <f t="shared" si="292"/>
        <v>7616362.6899999995</v>
      </c>
      <c r="AF310" s="23">
        <v>0</v>
      </c>
      <c r="AG310" s="26">
        <f t="shared" si="278"/>
        <v>7616362.6899999995</v>
      </c>
      <c r="AH310" s="27" t="s">
        <v>585</v>
      </c>
      <c r="AI310" s="28" t="s">
        <v>185</v>
      </c>
      <c r="AJ310" s="29">
        <f>253980+93643.83</f>
        <v>347623.83</v>
      </c>
      <c r="AK310" s="29">
        <v>4416.62</v>
      </c>
    </row>
    <row r="311" spans="1:37" ht="409.5" x14ac:dyDescent="0.25">
      <c r="A311" s="12">
        <v>307</v>
      </c>
      <c r="B311" s="13">
        <v>109966</v>
      </c>
      <c r="C311" s="67">
        <v>368</v>
      </c>
      <c r="D311" s="13" t="s">
        <v>1320</v>
      </c>
      <c r="E311" s="18" t="s">
        <v>165</v>
      </c>
      <c r="F311" s="16" t="s">
        <v>322</v>
      </c>
      <c r="G311" s="239" t="s">
        <v>709</v>
      </c>
      <c r="H311" s="239" t="s">
        <v>710</v>
      </c>
      <c r="I311" s="18" t="s">
        <v>422</v>
      </c>
      <c r="J311" s="240" t="s">
        <v>711</v>
      </c>
      <c r="K311" s="20">
        <v>43284</v>
      </c>
      <c r="L311" s="32">
        <v>43772</v>
      </c>
      <c r="M311" s="21">
        <f t="shared" si="294"/>
        <v>82.304190385931335</v>
      </c>
      <c r="N311" s="14" t="s">
        <v>324</v>
      </c>
      <c r="O311" s="14" t="s">
        <v>320</v>
      </c>
      <c r="P311" s="14" t="s">
        <v>997</v>
      </c>
      <c r="Q311" s="22" t="s">
        <v>326</v>
      </c>
      <c r="R311" s="14" t="s">
        <v>36</v>
      </c>
      <c r="S311" s="23">
        <f t="shared" si="288"/>
        <v>820713.65</v>
      </c>
      <c r="T311" s="23">
        <v>661834.04</v>
      </c>
      <c r="U311" s="23">
        <v>158879.60999999999</v>
      </c>
      <c r="V311" s="23">
        <f t="shared" si="289"/>
        <v>156514.07999999999</v>
      </c>
      <c r="W311" s="23">
        <v>116794.2</v>
      </c>
      <c r="X311" s="23">
        <v>39719.879999999997</v>
      </c>
      <c r="Y311" s="23">
        <f t="shared" si="293"/>
        <v>0</v>
      </c>
      <c r="Z311" s="23">
        <v>0</v>
      </c>
      <c r="AA311" s="23">
        <v>0</v>
      </c>
      <c r="AB311" s="23">
        <f t="shared" si="295"/>
        <v>19943.43</v>
      </c>
      <c r="AC311" s="23">
        <v>15890.39</v>
      </c>
      <c r="AD311" s="23">
        <v>4053.04</v>
      </c>
      <c r="AE311" s="23">
        <f t="shared" si="292"/>
        <v>997171.16</v>
      </c>
      <c r="AF311" s="23">
        <v>0</v>
      </c>
      <c r="AG311" s="26">
        <f t="shared" si="278"/>
        <v>997171.16</v>
      </c>
      <c r="AH311" s="27" t="s">
        <v>585</v>
      </c>
      <c r="AI311" s="28" t="s">
        <v>185</v>
      </c>
      <c r="AJ311" s="29">
        <f>97719.31+82606.17+3211.32+89251.39-12691.77+101574.57</f>
        <v>361670.99</v>
      </c>
      <c r="AK311" s="29">
        <f>16734.59+7125.74+9148.44+12691.77+4258.59</f>
        <v>49959.130000000005</v>
      </c>
    </row>
    <row r="312" spans="1:37" ht="141.75" x14ac:dyDescent="0.25">
      <c r="A312" s="14">
        <v>308</v>
      </c>
      <c r="B312" s="13">
        <v>112133</v>
      </c>
      <c r="C312" s="67">
        <v>149</v>
      </c>
      <c r="D312" s="13" t="s">
        <v>1320</v>
      </c>
      <c r="E312" s="18" t="s">
        <v>165</v>
      </c>
      <c r="F312" s="16" t="s">
        <v>322</v>
      </c>
      <c r="G312" s="242" t="s">
        <v>716</v>
      </c>
      <c r="H312" s="30" t="s">
        <v>717</v>
      </c>
      <c r="I312" s="18" t="s">
        <v>718</v>
      </c>
      <c r="J312" s="243" t="s">
        <v>719</v>
      </c>
      <c r="K312" s="20">
        <v>43286</v>
      </c>
      <c r="L312" s="32">
        <v>43773</v>
      </c>
      <c r="M312" s="21">
        <f t="shared" si="294"/>
        <v>82.304192989201169</v>
      </c>
      <c r="N312" s="14" t="s">
        <v>324</v>
      </c>
      <c r="O312" s="14" t="s">
        <v>720</v>
      </c>
      <c r="P312" s="14" t="s">
        <v>708</v>
      </c>
      <c r="Q312" s="22" t="s">
        <v>326</v>
      </c>
      <c r="R312" s="14" t="s">
        <v>36</v>
      </c>
      <c r="S312" s="23">
        <v>615782.40000000002</v>
      </c>
      <c r="T312" s="23">
        <v>496574.82</v>
      </c>
      <c r="U312" s="23">
        <v>119207.58</v>
      </c>
      <c r="V312" s="23">
        <f t="shared" si="289"/>
        <v>117432.69</v>
      </c>
      <c r="W312" s="23">
        <v>87630.81</v>
      </c>
      <c r="X312" s="23">
        <v>29801.88</v>
      </c>
      <c r="Y312" s="23">
        <f>Z312+AA312</f>
        <v>0</v>
      </c>
      <c r="Z312" s="23"/>
      <c r="AA312" s="23"/>
      <c r="AB312" s="23">
        <f>AC312+AD312</f>
        <v>14963.56</v>
      </c>
      <c r="AC312" s="23">
        <v>11922.59</v>
      </c>
      <c r="AD312" s="23">
        <v>3040.97</v>
      </c>
      <c r="AE312" s="23">
        <f t="shared" si="292"/>
        <v>748178.65000000014</v>
      </c>
      <c r="AF312" s="23"/>
      <c r="AG312" s="26">
        <f t="shared" si="278"/>
        <v>748178.65000000014</v>
      </c>
      <c r="AH312" s="27" t="s">
        <v>585</v>
      </c>
      <c r="AI312" s="28" t="s">
        <v>185</v>
      </c>
      <c r="AJ312" s="29">
        <f>67020+7797+44875.55+3783.2+14368.2-5518.28+131016.07+9271.15+23657.27</f>
        <v>296270.16000000003</v>
      </c>
      <c r="AK312" s="29">
        <f>8557.98+2208.4+1253.17+10049.33+13883.73+1768.06+17631.4</f>
        <v>55352.07</v>
      </c>
    </row>
    <row r="313" spans="1:37" ht="195" x14ac:dyDescent="0.25">
      <c r="A313" s="12">
        <v>309</v>
      </c>
      <c r="B313" s="13">
        <v>112698</v>
      </c>
      <c r="C313" s="67">
        <v>231</v>
      </c>
      <c r="D313" s="13" t="s">
        <v>170</v>
      </c>
      <c r="E313" s="18" t="s">
        <v>165</v>
      </c>
      <c r="F313" s="16" t="s">
        <v>322</v>
      </c>
      <c r="G313" s="242" t="s">
        <v>725</v>
      </c>
      <c r="H313" s="30" t="s">
        <v>726</v>
      </c>
      <c r="I313" s="18" t="s">
        <v>727</v>
      </c>
      <c r="J313" s="243" t="s">
        <v>728</v>
      </c>
      <c r="K313" s="20">
        <v>43273</v>
      </c>
      <c r="L313" s="32">
        <v>43730</v>
      </c>
      <c r="M313" s="21">
        <f t="shared" si="294"/>
        <v>82.525665803949437</v>
      </c>
      <c r="N313" s="14" t="s">
        <v>324</v>
      </c>
      <c r="O313" s="14" t="s">
        <v>312</v>
      </c>
      <c r="P313" s="14" t="s">
        <v>312</v>
      </c>
      <c r="Q313" s="22" t="s">
        <v>326</v>
      </c>
      <c r="R313" s="14" t="s">
        <v>36</v>
      </c>
      <c r="S313" s="23">
        <f t="shared" si="288"/>
        <v>814877.24</v>
      </c>
      <c r="T313" s="23">
        <v>657127.51</v>
      </c>
      <c r="U313" s="23">
        <v>157749.73000000001</v>
      </c>
      <c r="V313" s="23">
        <f t="shared" si="289"/>
        <v>134548.1</v>
      </c>
      <c r="W313" s="23">
        <v>100402.7</v>
      </c>
      <c r="X313" s="23">
        <v>34145.4</v>
      </c>
      <c r="Y313" s="23">
        <f t="shared" si="293"/>
        <v>20853.009999999998</v>
      </c>
      <c r="Z313" s="23">
        <v>15560.97</v>
      </c>
      <c r="AA313" s="23">
        <v>5292.04</v>
      </c>
      <c r="AB313" s="23">
        <f t="shared" si="295"/>
        <v>17144.45</v>
      </c>
      <c r="AC313" s="23">
        <v>13660.23</v>
      </c>
      <c r="AD313" s="23">
        <v>3484.22</v>
      </c>
      <c r="AE313" s="23">
        <f t="shared" si="292"/>
        <v>987422.79999999993</v>
      </c>
      <c r="AF313" s="23"/>
      <c r="AG313" s="26">
        <f t="shared" si="278"/>
        <v>987422.79999999993</v>
      </c>
      <c r="AH313" s="27" t="s">
        <v>585</v>
      </c>
      <c r="AI313" s="28" t="s">
        <v>1509</v>
      </c>
      <c r="AJ313" s="29">
        <f>85822.98+78186.5</f>
        <v>164009.47999999998</v>
      </c>
      <c r="AK313" s="29">
        <v>14910.56</v>
      </c>
    </row>
    <row r="314" spans="1:37" ht="409.5" x14ac:dyDescent="0.25">
      <c r="A314" s="12">
        <v>310</v>
      </c>
      <c r="B314" s="13">
        <v>112427</v>
      </c>
      <c r="C314" s="67">
        <v>367</v>
      </c>
      <c r="D314" s="13" t="s">
        <v>1320</v>
      </c>
      <c r="E314" s="18" t="s">
        <v>165</v>
      </c>
      <c r="F314" s="16" t="s">
        <v>322</v>
      </c>
      <c r="G314" s="242" t="s">
        <v>732</v>
      </c>
      <c r="H314" s="30" t="s">
        <v>733</v>
      </c>
      <c r="I314" s="18" t="s">
        <v>735</v>
      </c>
      <c r="J314" s="240" t="s">
        <v>734</v>
      </c>
      <c r="K314" s="20">
        <v>43290</v>
      </c>
      <c r="L314" s="32">
        <v>43778</v>
      </c>
      <c r="M314" s="21">
        <f t="shared" si="294"/>
        <v>82.304189883139372</v>
      </c>
      <c r="N314" s="14" t="s">
        <v>324</v>
      </c>
      <c r="O314" s="14" t="s">
        <v>312</v>
      </c>
      <c r="P314" s="14" t="s">
        <v>312</v>
      </c>
      <c r="Q314" s="22" t="s">
        <v>326</v>
      </c>
      <c r="R314" s="14" t="s">
        <v>36</v>
      </c>
      <c r="S314" s="23">
        <f t="shared" si="288"/>
        <v>785233.14</v>
      </c>
      <c r="T314" s="23">
        <v>633222.11</v>
      </c>
      <c r="U314" s="23">
        <v>152011.03</v>
      </c>
      <c r="V314" s="23">
        <f t="shared" si="289"/>
        <v>149747.75</v>
      </c>
      <c r="W314" s="23">
        <v>111745.03</v>
      </c>
      <c r="X314" s="23">
        <v>38002.720000000001</v>
      </c>
      <c r="Y314" s="23">
        <f t="shared" si="293"/>
        <v>0</v>
      </c>
      <c r="Z314" s="23">
        <v>0</v>
      </c>
      <c r="AA314" s="23">
        <v>0</v>
      </c>
      <c r="AB314" s="23">
        <f t="shared" si="295"/>
        <v>19081.28</v>
      </c>
      <c r="AC314" s="23">
        <v>15203.43</v>
      </c>
      <c r="AD314" s="23">
        <v>3877.85</v>
      </c>
      <c r="AE314" s="23">
        <f t="shared" si="292"/>
        <v>954062.17</v>
      </c>
      <c r="AF314" s="23">
        <v>0</v>
      </c>
      <c r="AG314" s="26">
        <f t="shared" si="278"/>
        <v>954062.17</v>
      </c>
      <c r="AH314" s="27" t="s">
        <v>585</v>
      </c>
      <c r="AI314" s="28" t="s">
        <v>185</v>
      </c>
      <c r="AJ314" s="29">
        <f>57915.69+124630.09-868.64+54803.2+81029.88</f>
        <v>317510.21999999997</v>
      </c>
      <c r="AK314" s="29">
        <f>16617.93+10285.59+15452.81</f>
        <v>42356.33</v>
      </c>
    </row>
    <row r="315" spans="1:37" ht="157.5" x14ac:dyDescent="0.25">
      <c r="A315" s="14">
        <v>311</v>
      </c>
      <c r="B315" s="13">
        <v>112409</v>
      </c>
      <c r="C315" s="67">
        <v>150</v>
      </c>
      <c r="D315" s="13" t="s">
        <v>1320</v>
      </c>
      <c r="E315" s="18" t="s">
        <v>165</v>
      </c>
      <c r="F315" s="16" t="s">
        <v>322</v>
      </c>
      <c r="G315" s="242" t="s">
        <v>736</v>
      </c>
      <c r="H315" s="30" t="s">
        <v>737</v>
      </c>
      <c r="I315" s="18" t="s">
        <v>353</v>
      </c>
      <c r="J315" s="240" t="s">
        <v>738</v>
      </c>
      <c r="K315" s="20">
        <v>43291</v>
      </c>
      <c r="L315" s="32">
        <v>43778</v>
      </c>
      <c r="M315" s="21">
        <f t="shared" si="294"/>
        <v>82.304188969946821</v>
      </c>
      <c r="N315" s="14" t="s">
        <v>324</v>
      </c>
      <c r="O315" s="14" t="s">
        <v>429</v>
      </c>
      <c r="P315" s="14" t="s">
        <v>304</v>
      </c>
      <c r="Q315" s="22" t="s">
        <v>326</v>
      </c>
      <c r="R315" s="14" t="s">
        <v>36</v>
      </c>
      <c r="S315" s="23">
        <f t="shared" si="288"/>
        <v>780523.20000000007</v>
      </c>
      <c r="T315" s="23">
        <v>629423.91</v>
      </c>
      <c r="U315" s="23">
        <v>151099.29</v>
      </c>
      <c r="V315" s="23">
        <f t="shared" si="289"/>
        <v>148849.57</v>
      </c>
      <c r="W315" s="23">
        <v>111074.8</v>
      </c>
      <c r="X315" s="23">
        <v>37774.769999999997</v>
      </c>
      <c r="Y315" s="23">
        <f t="shared" si="293"/>
        <v>0</v>
      </c>
      <c r="Z315" s="23"/>
      <c r="AA315" s="23"/>
      <c r="AB315" s="23">
        <f t="shared" si="295"/>
        <v>18966.810000000001</v>
      </c>
      <c r="AC315" s="23">
        <v>15112.25</v>
      </c>
      <c r="AD315" s="23">
        <v>3854.56</v>
      </c>
      <c r="AE315" s="23">
        <f t="shared" si="292"/>
        <v>948339.58000000007</v>
      </c>
      <c r="AF315" s="23">
        <v>0</v>
      </c>
      <c r="AG315" s="26">
        <f t="shared" si="278"/>
        <v>948339.58000000007</v>
      </c>
      <c r="AH315" s="27" t="s">
        <v>585</v>
      </c>
      <c r="AI315" s="28" t="s">
        <v>185</v>
      </c>
      <c r="AJ315" s="29">
        <f>94833+71891.83-13619.36+85035.24+67213.99+63619.47</f>
        <v>368974.17000000004</v>
      </c>
      <c r="AK315" s="29">
        <f>13710.12+13619.36+12818.03+12132.54</f>
        <v>52280.05</v>
      </c>
    </row>
    <row r="316" spans="1:37" ht="173.25" x14ac:dyDescent="0.25">
      <c r="A316" s="12">
        <v>312</v>
      </c>
      <c r="B316" s="13">
        <v>112861</v>
      </c>
      <c r="C316" s="67">
        <v>324</v>
      </c>
      <c r="D316" s="13" t="s">
        <v>168</v>
      </c>
      <c r="E316" s="18" t="s">
        <v>165</v>
      </c>
      <c r="F316" s="16" t="s">
        <v>322</v>
      </c>
      <c r="G316" s="224" t="s">
        <v>739</v>
      </c>
      <c r="H316" s="30" t="s">
        <v>740</v>
      </c>
      <c r="I316" s="18" t="s">
        <v>353</v>
      </c>
      <c r="J316" s="48" t="s">
        <v>741</v>
      </c>
      <c r="K316" s="20">
        <v>43290</v>
      </c>
      <c r="L316" s="32">
        <v>43777</v>
      </c>
      <c r="M316" s="21">
        <f t="shared" si="294"/>
        <v>82.304190691615503</v>
      </c>
      <c r="N316" s="14" t="s">
        <v>324</v>
      </c>
      <c r="O316" s="14" t="s">
        <v>156</v>
      </c>
      <c r="P316" s="14" t="s">
        <v>156</v>
      </c>
      <c r="Q316" s="22"/>
      <c r="R316" s="14" t="s">
        <v>36</v>
      </c>
      <c r="S316" s="23">
        <f t="shared" si="288"/>
        <v>649951.84000000008</v>
      </c>
      <c r="T316" s="23">
        <v>524129.52</v>
      </c>
      <c r="U316" s="23">
        <v>125822.32</v>
      </c>
      <c r="V316" s="23">
        <f t="shared" si="289"/>
        <v>123949</v>
      </c>
      <c r="W316" s="23">
        <v>92493.43</v>
      </c>
      <c r="X316" s="23">
        <v>31455.57</v>
      </c>
      <c r="Y316" s="23">
        <f t="shared" si="293"/>
        <v>0</v>
      </c>
      <c r="Z316" s="23"/>
      <c r="AA316" s="23"/>
      <c r="AB316" s="23">
        <f>AC316+AD316</f>
        <v>15793.869999999999</v>
      </c>
      <c r="AC316" s="23">
        <v>12584.14</v>
      </c>
      <c r="AD316" s="23">
        <v>3209.73</v>
      </c>
      <c r="AE316" s="23">
        <f t="shared" si="292"/>
        <v>789694.71000000008</v>
      </c>
      <c r="AF316" s="23">
        <v>0</v>
      </c>
      <c r="AG316" s="26">
        <f t="shared" si="278"/>
        <v>789694.71000000008</v>
      </c>
      <c r="AH316" s="27" t="s">
        <v>585</v>
      </c>
      <c r="AI316" s="28" t="s">
        <v>1154</v>
      </c>
      <c r="AJ316" s="29">
        <f>78969.47+33506.04+30781.72+5848.53+60387.9</f>
        <v>209493.66</v>
      </c>
      <c r="AK316" s="29">
        <f>6389.76+5870.23+1115.34+11516.25</f>
        <v>24891.58</v>
      </c>
    </row>
    <row r="317" spans="1:37" ht="315" x14ac:dyDescent="0.25">
      <c r="A317" s="12">
        <v>313</v>
      </c>
      <c r="B317" s="13">
        <v>110709</v>
      </c>
      <c r="C317" s="67">
        <v>313</v>
      </c>
      <c r="D317" s="13" t="s">
        <v>168</v>
      </c>
      <c r="E317" s="18" t="s">
        <v>165</v>
      </c>
      <c r="F317" s="16" t="s">
        <v>322</v>
      </c>
      <c r="G317" s="224" t="s">
        <v>742</v>
      </c>
      <c r="H317" s="30" t="s">
        <v>743</v>
      </c>
      <c r="I317" s="18" t="s">
        <v>353</v>
      </c>
      <c r="J317" s="48" t="s">
        <v>744</v>
      </c>
      <c r="K317" s="20">
        <v>43291</v>
      </c>
      <c r="L317" s="32">
        <v>43779</v>
      </c>
      <c r="M317" s="21">
        <f t="shared" si="294"/>
        <v>82.304183081659716</v>
      </c>
      <c r="N317" s="14" t="s">
        <v>324</v>
      </c>
      <c r="O317" s="14" t="s">
        <v>156</v>
      </c>
      <c r="P317" s="14" t="s">
        <v>156</v>
      </c>
      <c r="Q317" s="22"/>
      <c r="R317" s="14" t="s">
        <v>36</v>
      </c>
      <c r="S317" s="23">
        <f t="shared" si="288"/>
        <v>821857.62999999989</v>
      </c>
      <c r="T317" s="23">
        <v>662756.56999999995</v>
      </c>
      <c r="U317" s="23">
        <v>159101.06</v>
      </c>
      <c r="V317" s="23">
        <f t="shared" si="289"/>
        <v>156732.34</v>
      </c>
      <c r="W317" s="23">
        <v>116957.1</v>
      </c>
      <c r="X317" s="23">
        <v>39775.24</v>
      </c>
      <c r="Y317" s="23">
        <f t="shared" si="293"/>
        <v>0</v>
      </c>
      <c r="Z317" s="23"/>
      <c r="AA317" s="23"/>
      <c r="AB317" s="23">
        <f t="shared" si="295"/>
        <v>19971.22</v>
      </c>
      <c r="AC317" s="23">
        <v>15912.5</v>
      </c>
      <c r="AD317" s="23">
        <v>4058.72</v>
      </c>
      <c r="AE317" s="23">
        <f t="shared" si="292"/>
        <v>998561.18999999983</v>
      </c>
      <c r="AF317" s="23">
        <v>576</v>
      </c>
      <c r="AG317" s="26">
        <f t="shared" si="278"/>
        <v>999137.18999999983</v>
      </c>
      <c r="AH317" s="27" t="s">
        <v>585</v>
      </c>
      <c r="AI317" s="28" t="s">
        <v>185</v>
      </c>
      <c r="AJ317" s="29">
        <f>99856.11-15338.74+81959.76+84034.35-9577.08+99856</f>
        <v>340790.4</v>
      </c>
      <c r="AK317" s="29">
        <f>15338.74+13810.74+2195.85+14602.08</f>
        <v>45947.409999999996</v>
      </c>
    </row>
    <row r="318" spans="1:37" ht="409.5" x14ac:dyDescent="0.25">
      <c r="A318" s="14">
        <v>314</v>
      </c>
      <c r="B318" s="13">
        <v>113039</v>
      </c>
      <c r="C318" s="67">
        <v>200</v>
      </c>
      <c r="D318" s="13" t="s">
        <v>172</v>
      </c>
      <c r="E318" s="18" t="s">
        <v>165</v>
      </c>
      <c r="F318" s="16" t="s">
        <v>322</v>
      </c>
      <c r="G318" s="103" t="s">
        <v>751</v>
      </c>
      <c r="H318" s="244" t="s">
        <v>752</v>
      </c>
      <c r="I318" s="18" t="s">
        <v>353</v>
      </c>
      <c r="J318" s="240" t="s">
        <v>753</v>
      </c>
      <c r="K318" s="20">
        <v>43291</v>
      </c>
      <c r="L318" s="32">
        <v>43779</v>
      </c>
      <c r="M318" s="21">
        <f>S318/AE318*100</f>
        <v>82.30418382046426</v>
      </c>
      <c r="N318" s="14" t="s">
        <v>324</v>
      </c>
      <c r="O318" s="14" t="s">
        <v>275</v>
      </c>
      <c r="P318" s="14" t="s">
        <v>754</v>
      </c>
      <c r="Q318" s="22" t="s">
        <v>326</v>
      </c>
      <c r="R318" s="14" t="s">
        <v>36</v>
      </c>
      <c r="S318" s="23">
        <f t="shared" si="288"/>
        <v>812437.94000000006</v>
      </c>
      <c r="T318" s="23">
        <v>655160.41</v>
      </c>
      <c r="U318" s="23">
        <v>157277.53</v>
      </c>
      <c r="V318" s="23">
        <f t="shared" si="289"/>
        <v>154935.91999999998</v>
      </c>
      <c r="W318" s="23">
        <v>115616.54</v>
      </c>
      <c r="X318" s="23">
        <v>39319.379999999997</v>
      </c>
      <c r="Y318" s="23">
        <f t="shared" si="293"/>
        <v>0</v>
      </c>
      <c r="Z318" s="23">
        <v>0</v>
      </c>
      <c r="AA318" s="23">
        <v>0</v>
      </c>
      <c r="AB318" s="23">
        <f t="shared" si="295"/>
        <v>19742.349999999999</v>
      </c>
      <c r="AC318" s="23">
        <v>15730.16</v>
      </c>
      <c r="AD318" s="23">
        <v>4012.19</v>
      </c>
      <c r="AE318" s="23">
        <f t="shared" si="292"/>
        <v>987116.21000000008</v>
      </c>
      <c r="AF318" s="23">
        <v>0</v>
      </c>
      <c r="AG318" s="26">
        <f t="shared" si="278"/>
        <v>987116.21000000008</v>
      </c>
      <c r="AH318" s="27" t="s">
        <v>585</v>
      </c>
      <c r="AI318" s="28" t="s">
        <v>185</v>
      </c>
      <c r="AJ318" s="29">
        <f>98711.62+82894.54-376.83+73798.02</f>
        <v>255027.34999999998</v>
      </c>
      <c r="AK318" s="29">
        <f>15808.4+376.83+15333.49</f>
        <v>31518.720000000001</v>
      </c>
    </row>
    <row r="319" spans="1:37" ht="173.25" x14ac:dyDescent="0.25">
      <c r="A319" s="12">
        <v>315</v>
      </c>
      <c r="B319" s="13">
        <v>113125</v>
      </c>
      <c r="C319" s="67">
        <v>230</v>
      </c>
      <c r="D319" s="13" t="s">
        <v>170</v>
      </c>
      <c r="E319" s="18" t="s">
        <v>165</v>
      </c>
      <c r="F319" s="16" t="s">
        <v>322</v>
      </c>
      <c r="G319" s="224" t="s">
        <v>761</v>
      </c>
      <c r="H319" s="30" t="s">
        <v>762</v>
      </c>
      <c r="I319" s="18" t="s">
        <v>353</v>
      </c>
      <c r="J319" s="14" t="s">
        <v>763</v>
      </c>
      <c r="K319" s="20">
        <v>43291</v>
      </c>
      <c r="L319" s="32">
        <v>43718</v>
      </c>
      <c r="M319" s="21">
        <f t="shared" si="294"/>
        <v>82.304188716846156</v>
      </c>
      <c r="N319" s="14" t="s">
        <v>324</v>
      </c>
      <c r="O319" s="14" t="s">
        <v>312</v>
      </c>
      <c r="P319" s="14" t="s">
        <v>312</v>
      </c>
      <c r="Q319" s="22" t="s">
        <v>326</v>
      </c>
      <c r="R319" s="14" t="s">
        <v>36</v>
      </c>
      <c r="S319" s="23">
        <f t="shared" si="288"/>
        <v>736342.77</v>
      </c>
      <c r="T319" s="23">
        <v>593796.28</v>
      </c>
      <c r="U319" s="23">
        <v>142546.49</v>
      </c>
      <c r="V319" s="23">
        <f t="shared" si="289"/>
        <v>140424.16999999998</v>
      </c>
      <c r="W319" s="23">
        <v>104787.58</v>
      </c>
      <c r="X319" s="23">
        <v>35636.589999999997</v>
      </c>
      <c r="Y319" s="23">
        <f t="shared" si="293"/>
        <v>0</v>
      </c>
      <c r="Z319" s="23"/>
      <c r="AA319" s="23"/>
      <c r="AB319" s="23">
        <f t="shared" si="295"/>
        <v>17893.2</v>
      </c>
      <c r="AC319" s="23">
        <v>14256.8</v>
      </c>
      <c r="AD319" s="23">
        <v>3636.4</v>
      </c>
      <c r="AE319" s="23">
        <f t="shared" si="292"/>
        <v>894660.1399999999</v>
      </c>
      <c r="AF319" s="23">
        <v>0</v>
      </c>
      <c r="AG319" s="26">
        <f t="shared" si="278"/>
        <v>894660.1399999999</v>
      </c>
      <c r="AH319" s="27" t="s">
        <v>585</v>
      </c>
      <c r="AI319" s="28" t="s">
        <v>422</v>
      </c>
      <c r="AJ319" s="29">
        <f>89466-9346.06+57163.11+27481.97+21414.56</f>
        <v>186179.58</v>
      </c>
      <c r="AK319" s="29">
        <f>9346.06+20716.82+4083.85</f>
        <v>34146.729999999996</v>
      </c>
    </row>
    <row r="320" spans="1:37" ht="315" x14ac:dyDescent="0.25">
      <c r="A320" s="12">
        <v>316</v>
      </c>
      <c r="B320" s="13">
        <v>112435</v>
      </c>
      <c r="C320" s="67">
        <v>323</v>
      </c>
      <c r="D320" s="13" t="s">
        <v>168</v>
      </c>
      <c r="E320" s="18" t="s">
        <v>165</v>
      </c>
      <c r="F320" s="16" t="s">
        <v>322</v>
      </c>
      <c r="G320" s="224" t="s">
        <v>764</v>
      </c>
      <c r="H320" s="30" t="s">
        <v>765</v>
      </c>
      <c r="I320" s="18" t="s">
        <v>766</v>
      </c>
      <c r="J320" s="240" t="s">
        <v>767</v>
      </c>
      <c r="K320" s="20">
        <v>43292</v>
      </c>
      <c r="L320" s="32">
        <v>43656</v>
      </c>
      <c r="M320" s="21">
        <f t="shared" si="294"/>
        <v>82.304182891954625</v>
      </c>
      <c r="N320" s="14" t="s">
        <v>324</v>
      </c>
      <c r="O320" s="14" t="s">
        <v>334</v>
      </c>
      <c r="P320" s="14" t="s">
        <v>334</v>
      </c>
      <c r="Q320" s="22" t="s">
        <v>326</v>
      </c>
      <c r="R320" s="14" t="s">
        <v>36</v>
      </c>
      <c r="S320" s="23">
        <f t="shared" si="288"/>
        <v>815316.89</v>
      </c>
      <c r="T320" s="23">
        <v>657481.98</v>
      </c>
      <c r="U320" s="23">
        <v>157834.91</v>
      </c>
      <c r="V320" s="23">
        <f t="shared" si="289"/>
        <v>155484.97999999998</v>
      </c>
      <c r="W320" s="23">
        <v>116026.31</v>
      </c>
      <c r="X320" s="23">
        <v>39458.67</v>
      </c>
      <c r="Y320" s="23">
        <f t="shared" si="293"/>
        <v>0</v>
      </c>
      <c r="Z320" s="23"/>
      <c r="AA320" s="23"/>
      <c r="AB320" s="23">
        <f t="shared" si="295"/>
        <v>19812.29</v>
      </c>
      <c r="AC320" s="23">
        <v>15785.9</v>
      </c>
      <c r="AD320" s="23">
        <v>4026.39</v>
      </c>
      <c r="AE320" s="23">
        <f t="shared" si="292"/>
        <v>990614.16</v>
      </c>
      <c r="AF320" s="23"/>
      <c r="AG320" s="26">
        <f t="shared" si="278"/>
        <v>990614.16</v>
      </c>
      <c r="AH320" s="27" t="s">
        <v>585</v>
      </c>
      <c r="AI320" s="28" t="s">
        <v>185</v>
      </c>
      <c r="AJ320" s="29">
        <f>181405.8+121986.95+126239.9+103787.17</f>
        <v>533419.82000000007</v>
      </c>
      <c r="AK320" s="29">
        <f>15703.63+42154.87+5183.15+19792.72</f>
        <v>82834.37</v>
      </c>
    </row>
    <row r="321" spans="1:37" ht="189" x14ac:dyDescent="0.25">
      <c r="A321" s="14">
        <v>317</v>
      </c>
      <c r="B321" s="13">
        <v>110839</v>
      </c>
      <c r="C321" s="67">
        <v>306</v>
      </c>
      <c r="D321" s="13" t="s">
        <v>168</v>
      </c>
      <c r="E321" s="18" t="s">
        <v>165</v>
      </c>
      <c r="F321" s="16" t="s">
        <v>322</v>
      </c>
      <c r="G321" s="224" t="s">
        <v>768</v>
      </c>
      <c r="H321" s="30" t="s">
        <v>769</v>
      </c>
      <c r="I321" s="18" t="s">
        <v>771</v>
      </c>
      <c r="J321" s="17" t="s">
        <v>770</v>
      </c>
      <c r="K321" s="20">
        <v>43292</v>
      </c>
      <c r="L321" s="32">
        <v>43779</v>
      </c>
      <c r="M321" s="21">
        <f t="shared" si="294"/>
        <v>82.304186604752402</v>
      </c>
      <c r="N321" s="14" t="s">
        <v>324</v>
      </c>
      <c r="O321" s="14" t="s">
        <v>772</v>
      </c>
      <c r="P321" s="14" t="s">
        <v>772</v>
      </c>
      <c r="Q321" s="22" t="s">
        <v>326</v>
      </c>
      <c r="R321" s="14" t="s">
        <v>36</v>
      </c>
      <c r="S321" s="23">
        <f t="shared" si="288"/>
        <v>800537.35</v>
      </c>
      <c r="T321" s="23">
        <v>645563.62</v>
      </c>
      <c r="U321" s="23">
        <v>154973.73000000001</v>
      </c>
      <c r="V321" s="23">
        <f t="shared" si="289"/>
        <v>152666.38</v>
      </c>
      <c r="W321" s="23">
        <v>113922.98</v>
      </c>
      <c r="X321" s="23">
        <v>38743.4</v>
      </c>
      <c r="Y321" s="23">
        <f t="shared" si="293"/>
        <v>0</v>
      </c>
      <c r="Z321" s="23"/>
      <c r="AA321" s="23"/>
      <c r="AB321" s="23">
        <f t="shared" si="295"/>
        <v>19453.169999999998</v>
      </c>
      <c r="AC321" s="23">
        <v>15499.74</v>
      </c>
      <c r="AD321" s="23">
        <v>3953.43</v>
      </c>
      <c r="AE321" s="23">
        <f t="shared" si="292"/>
        <v>972656.9</v>
      </c>
      <c r="AF321" s="23"/>
      <c r="AG321" s="26">
        <f t="shared" si="278"/>
        <v>972656.9</v>
      </c>
      <c r="AH321" s="27" t="s">
        <v>585</v>
      </c>
      <c r="AI321" s="28" t="s">
        <v>185</v>
      </c>
      <c r="AJ321" s="29">
        <f>97265.68-4932.42-9631.06+90930.16+45566.01+97265.68</f>
        <v>316464.05</v>
      </c>
      <c r="AK321" s="29">
        <f>4932.42+9631.06+27238.7</f>
        <v>41802.18</v>
      </c>
    </row>
    <row r="322" spans="1:37" ht="157.5" x14ac:dyDescent="0.25">
      <c r="A322" s="12">
        <v>318</v>
      </c>
      <c r="B322" s="13">
        <v>115895</v>
      </c>
      <c r="C322" s="67">
        <v>389</v>
      </c>
      <c r="D322" s="13" t="s">
        <v>171</v>
      </c>
      <c r="E322" s="227" t="s">
        <v>165</v>
      </c>
      <c r="F322" s="228" t="s">
        <v>445</v>
      </c>
      <c r="G322" s="224" t="s">
        <v>777</v>
      </c>
      <c r="H322" s="30" t="s">
        <v>778</v>
      </c>
      <c r="I322" s="18" t="s">
        <v>779</v>
      </c>
      <c r="J322" s="240" t="s">
        <v>780</v>
      </c>
      <c r="K322" s="20">
        <v>43293</v>
      </c>
      <c r="L322" s="32">
        <v>44085</v>
      </c>
      <c r="M322" s="21">
        <f t="shared" si="294"/>
        <v>83.983862876254179</v>
      </c>
      <c r="N322" s="14" t="s">
        <v>324</v>
      </c>
      <c r="O322" s="14" t="s">
        <v>312</v>
      </c>
      <c r="P322" s="14" t="s">
        <v>312</v>
      </c>
      <c r="Q322" s="22" t="s">
        <v>157</v>
      </c>
      <c r="R322" s="14" t="s">
        <v>36</v>
      </c>
      <c r="S322" s="23">
        <f t="shared" si="288"/>
        <v>2511117.5</v>
      </c>
      <c r="T322" s="23">
        <v>2024997.5</v>
      </c>
      <c r="U322" s="23">
        <v>486120</v>
      </c>
      <c r="V322" s="23">
        <f t="shared" si="289"/>
        <v>0</v>
      </c>
      <c r="W322" s="23"/>
      <c r="X322" s="23"/>
      <c r="Y322" s="23">
        <f t="shared" si="293"/>
        <v>478882.5</v>
      </c>
      <c r="Z322" s="23">
        <v>357352.51</v>
      </c>
      <c r="AA322" s="23">
        <v>121529.99</v>
      </c>
      <c r="AB322" s="23">
        <f t="shared" si="295"/>
        <v>0</v>
      </c>
      <c r="AC322" s="23"/>
      <c r="AD322" s="23"/>
      <c r="AE322" s="23">
        <f t="shared" si="292"/>
        <v>2990000</v>
      </c>
      <c r="AF322" s="23">
        <v>0</v>
      </c>
      <c r="AG322" s="26">
        <f t="shared" si="278"/>
        <v>2990000</v>
      </c>
      <c r="AH322" s="27" t="s">
        <v>585</v>
      </c>
      <c r="AI322" s="28" t="s">
        <v>422</v>
      </c>
      <c r="AJ322" s="29">
        <f>22377.18+70503.9</f>
        <v>92881.079999999987</v>
      </c>
      <c r="AK322" s="29">
        <v>0</v>
      </c>
    </row>
    <row r="323" spans="1:37" ht="409.5" x14ac:dyDescent="0.25">
      <c r="A323" s="12">
        <v>319</v>
      </c>
      <c r="B323" s="13">
        <v>111830</v>
      </c>
      <c r="C323" s="67">
        <v>377</v>
      </c>
      <c r="D323" s="13" t="s">
        <v>168</v>
      </c>
      <c r="E323" s="18" t="s">
        <v>1084</v>
      </c>
      <c r="F323" s="228" t="s">
        <v>635</v>
      </c>
      <c r="G323" s="224" t="s">
        <v>781</v>
      </c>
      <c r="H323" s="30" t="s">
        <v>782</v>
      </c>
      <c r="I323" s="18" t="s">
        <v>783</v>
      </c>
      <c r="J323" s="240" t="s">
        <v>784</v>
      </c>
      <c r="K323" s="20">
        <v>43297</v>
      </c>
      <c r="L323" s="32">
        <v>43785</v>
      </c>
      <c r="M323" s="21">
        <f t="shared" si="294"/>
        <v>83.143853391521404</v>
      </c>
      <c r="N323" s="14" t="s">
        <v>324</v>
      </c>
      <c r="O323" s="14" t="s">
        <v>312</v>
      </c>
      <c r="P323" s="14" t="s">
        <v>312</v>
      </c>
      <c r="Q323" s="22" t="s">
        <v>157</v>
      </c>
      <c r="R323" s="14" t="s">
        <v>36</v>
      </c>
      <c r="S323" s="23">
        <f t="shared" si="288"/>
        <v>5525318.4000000004</v>
      </c>
      <c r="T323" s="23">
        <v>4455687.92</v>
      </c>
      <c r="U323" s="23">
        <v>1069630.48</v>
      </c>
      <c r="V323" s="23">
        <f t="shared" si="289"/>
        <v>987264.15</v>
      </c>
      <c r="W323" s="23">
        <v>733359.16</v>
      </c>
      <c r="X323" s="23">
        <v>253904.99</v>
      </c>
      <c r="Y323" s="23">
        <f t="shared" si="293"/>
        <v>0</v>
      </c>
      <c r="Z323" s="23">
        <v>0</v>
      </c>
      <c r="AA323" s="23">
        <v>0</v>
      </c>
      <c r="AB323" s="23">
        <f t="shared" si="295"/>
        <v>132909.78</v>
      </c>
      <c r="AC323" s="23">
        <v>105898.92</v>
      </c>
      <c r="AD323" s="23">
        <v>27010.86</v>
      </c>
      <c r="AE323" s="23">
        <f t="shared" si="292"/>
        <v>6645492.330000001</v>
      </c>
      <c r="AF323" s="23">
        <v>0</v>
      </c>
      <c r="AG323" s="26">
        <f t="shared" si="278"/>
        <v>6645492.330000001</v>
      </c>
      <c r="AH323" s="27" t="s">
        <v>585</v>
      </c>
      <c r="AI323" s="28"/>
      <c r="AJ323" s="29">
        <f>548484.27-41743+295621.66+234985.63-55420.85+55420.85-13710.7+526395.38+34736.49+361108.85</f>
        <v>1945878.58</v>
      </c>
      <c r="AK323" s="29">
        <f>41743.03+36457.11+62913.45+29950.16+6624.41+62702.66</f>
        <v>240390.82</v>
      </c>
    </row>
    <row r="324" spans="1:37" ht="315" x14ac:dyDescent="0.25">
      <c r="A324" s="14">
        <v>320</v>
      </c>
      <c r="B324" s="13">
        <v>115784</v>
      </c>
      <c r="C324" s="67">
        <v>388</v>
      </c>
      <c r="D324" s="13" t="s">
        <v>170</v>
      </c>
      <c r="E324" s="227" t="s">
        <v>165</v>
      </c>
      <c r="F324" s="228" t="s">
        <v>445</v>
      </c>
      <c r="G324" s="224" t="s">
        <v>785</v>
      </c>
      <c r="H324" s="30" t="s">
        <v>51</v>
      </c>
      <c r="I324" s="18" t="s">
        <v>349</v>
      </c>
      <c r="J324" s="240" t="s">
        <v>786</v>
      </c>
      <c r="K324" s="20">
        <v>43297</v>
      </c>
      <c r="L324" s="32">
        <v>44090</v>
      </c>
      <c r="M324" s="21">
        <f t="shared" si="294"/>
        <v>83.98386251542432</v>
      </c>
      <c r="N324" s="14" t="s">
        <v>324</v>
      </c>
      <c r="O324" s="14" t="s">
        <v>312</v>
      </c>
      <c r="P324" s="14" t="s">
        <v>312</v>
      </c>
      <c r="Q324" s="22" t="s">
        <v>157</v>
      </c>
      <c r="R324" s="14" t="s">
        <v>36</v>
      </c>
      <c r="S324" s="23">
        <f t="shared" ref="S324" si="296">T324+U324</f>
        <v>2474673.0699999998</v>
      </c>
      <c r="T324" s="23">
        <v>1995608.24</v>
      </c>
      <c r="U324" s="23">
        <v>479064.83</v>
      </c>
      <c r="V324" s="23">
        <f t="shared" ref="V324" si="297">W324+X324</f>
        <v>0</v>
      </c>
      <c r="W324" s="23"/>
      <c r="X324" s="23"/>
      <c r="Y324" s="23">
        <f t="shared" ref="Y324" si="298">Z324+AA324</f>
        <v>471932.38</v>
      </c>
      <c r="Z324" s="23">
        <v>352166.15</v>
      </c>
      <c r="AA324" s="23">
        <v>119766.23</v>
      </c>
      <c r="AB324" s="23">
        <f t="shared" ref="AB324" si="299">AC324+AD324</f>
        <v>0</v>
      </c>
      <c r="AC324" s="23"/>
      <c r="AD324" s="23"/>
      <c r="AE324" s="23">
        <f t="shared" ref="AE324" si="300">S324+V324+Y324+AB324</f>
        <v>2946605.4499999997</v>
      </c>
      <c r="AF324" s="23">
        <v>0</v>
      </c>
      <c r="AG324" s="26">
        <f t="shared" si="278"/>
        <v>2946605.4499999997</v>
      </c>
      <c r="AH324" s="27" t="s">
        <v>585</v>
      </c>
      <c r="AI324" s="28" t="s">
        <v>422</v>
      </c>
      <c r="AJ324" s="29">
        <f>16075.53+34286.38+114041.85</f>
        <v>164403.76</v>
      </c>
      <c r="AK324" s="29">
        <v>0</v>
      </c>
    </row>
    <row r="325" spans="1:37" ht="173.25" x14ac:dyDescent="0.25">
      <c r="A325" s="12">
        <v>321</v>
      </c>
      <c r="B325" s="13">
        <v>109927</v>
      </c>
      <c r="C325" s="67">
        <v>334</v>
      </c>
      <c r="D325" s="13" t="s">
        <v>170</v>
      </c>
      <c r="E325" s="18" t="s">
        <v>165</v>
      </c>
      <c r="F325" s="16" t="s">
        <v>322</v>
      </c>
      <c r="G325" s="224" t="s">
        <v>787</v>
      </c>
      <c r="H325" s="30" t="s">
        <v>788</v>
      </c>
      <c r="I325" s="18" t="s">
        <v>349</v>
      </c>
      <c r="J325" s="240" t="s">
        <v>789</v>
      </c>
      <c r="K325" s="20">
        <v>43297</v>
      </c>
      <c r="L325" s="32">
        <v>43785</v>
      </c>
      <c r="M325" s="21">
        <f t="shared" si="294"/>
        <v>82.304185890830638</v>
      </c>
      <c r="N325" s="14" t="s">
        <v>324</v>
      </c>
      <c r="O325" s="14" t="s">
        <v>312</v>
      </c>
      <c r="P325" s="14" t="s">
        <v>312</v>
      </c>
      <c r="Q325" s="22" t="s">
        <v>157</v>
      </c>
      <c r="R325" s="14" t="s">
        <v>36</v>
      </c>
      <c r="S325" s="23">
        <f t="shared" si="288"/>
        <v>793991.64999999991</v>
      </c>
      <c r="T325" s="23">
        <v>640285.07999999996</v>
      </c>
      <c r="U325" s="23">
        <v>153706.57</v>
      </c>
      <c r="V325" s="23">
        <f t="shared" si="289"/>
        <v>151418.12</v>
      </c>
      <c r="W325" s="23">
        <v>112991.49</v>
      </c>
      <c r="X325" s="23">
        <v>38426.629999999997</v>
      </c>
      <c r="Y325" s="23">
        <f t="shared" si="293"/>
        <v>0</v>
      </c>
      <c r="Z325" s="23"/>
      <c r="AA325" s="23"/>
      <c r="AB325" s="23">
        <f t="shared" si="295"/>
        <v>19294.080000000002</v>
      </c>
      <c r="AC325" s="23">
        <v>15373</v>
      </c>
      <c r="AD325" s="23">
        <v>3921.08</v>
      </c>
      <c r="AE325" s="23">
        <f t="shared" si="292"/>
        <v>964703.84999999986</v>
      </c>
      <c r="AF325" s="23">
        <v>0</v>
      </c>
      <c r="AG325" s="26">
        <f t="shared" si="278"/>
        <v>964703.84999999986</v>
      </c>
      <c r="AH325" s="27" t="s">
        <v>585</v>
      </c>
      <c r="AI325" s="28" t="s">
        <v>422</v>
      </c>
      <c r="AJ325" s="29">
        <f>96470.38-14469.9+90345.75-11972.92+74755.32</f>
        <v>235128.63</v>
      </c>
      <c r="AK325" s="29">
        <f>14469.9+11972.92</f>
        <v>26442.82</v>
      </c>
    </row>
    <row r="326" spans="1:37" ht="141.75" x14ac:dyDescent="0.25">
      <c r="A326" s="12">
        <v>322</v>
      </c>
      <c r="B326" s="13">
        <v>111446</v>
      </c>
      <c r="C326" s="67">
        <v>161</v>
      </c>
      <c r="D326" s="13" t="s">
        <v>1320</v>
      </c>
      <c r="E326" s="18" t="s">
        <v>165</v>
      </c>
      <c r="F326" s="16" t="s">
        <v>322</v>
      </c>
      <c r="G326" s="224" t="s">
        <v>790</v>
      </c>
      <c r="H326" s="30" t="s">
        <v>791</v>
      </c>
      <c r="I326" s="18" t="s">
        <v>349</v>
      </c>
      <c r="J326" s="240" t="s">
        <v>792</v>
      </c>
      <c r="K326" s="20">
        <v>43297</v>
      </c>
      <c r="L326" s="32">
        <v>43785</v>
      </c>
      <c r="M326" s="21">
        <f t="shared" si="294"/>
        <v>82.304180439174772</v>
      </c>
      <c r="N326" s="14" t="s">
        <v>324</v>
      </c>
      <c r="O326" s="14" t="s">
        <v>312</v>
      </c>
      <c r="P326" s="14" t="s">
        <v>312</v>
      </c>
      <c r="Q326" s="22" t="s">
        <v>326</v>
      </c>
      <c r="R326" s="14" t="s">
        <v>36</v>
      </c>
      <c r="S326" s="23">
        <f t="shared" si="288"/>
        <v>820476.63</v>
      </c>
      <c r="T326" s="23">
        <v>661642.92000000004</v>
      </c>
      <c r="U326" s="23">
        <v>158833.71</v>
      </c>
      <c r="V326" s="23">
        <f t="shared" si="289"/>
        <v>156469</v>
      </c>
      <c r="W326" s="23">
        <v>116760.53</v>
      </c>
      <c r="X326" s="23">
        <v>39708.47</v>
      </c>
      <c r="Y326" s="23">
        <f t="shared" si="293"/>
        <v>0</v>
      </c>
      <c r="Z326" s="23"/>
      <c r="AA326" s="23"/>
      <c r="AB326" s="23">
        <f t="shared" si="295"/>
        <v>19937.669999999998</v>
      </c>
      <c r="AC326" s="23">
        <v>15885.81</v>
      </c>
      <c r="AD326" s="23">
        <v>4051.86</v>
      </c>
      <c r="AE326" s="23">
        <f t="shared" si="292"/>
        <v>996883.3</v>
      </c>
      <c r="AF326" s="23"/>
      <c r="AG326" s="26">
        <f t="shared" ref="AG326:AG384" si="301">AE326+AF326</f>
        <v>996883.3</v>
      </c>
      <c r="AH326" s="27" t="s">
        <v>585</v>
      </c>
      <c r="AI326" s="28" t="s">
        <v>349</v>
      </c>
      <c r="AJ326" s="29">
        <f>172463.58+91295.09-2619.6+99688.33+6676.64</f>
        <v>367504.04</v>
      </c>
      <c r="AK326" s="29">
        <f>13878.6+17410.43+18511.49+20284.35</f>
        <v>70084.87</v>
      </c>
    </row>
    <row r="327" spans="1:37" ht="173.25" x14ac:dyDescent="0.25">
      <c r="A327" s="14">
        <v>323</v>
      </c>
      <c r="B327" s="13">
        <v>111890</v>
      </c>
      <c r="C327" s="67">
        <v>249</v>
      </c>
      <c r="D327" s="13" t="s">
        <v>170</v>
      </c>
      <c r="E327" s="18" t="s">
        <v>165</v>
      </c>
      <c r="F327" s="16" t="s">
        <v>322</v>
      </c>
      <c r="G327" s="224" t="s">
        <v>813</v>
      </c>
      <c r="H327" s="30" t="s">
        <v>814</v>
      </c>
      <c r="I327" s="18" t="s">
        <v>815</v>
      </c>
      <c r="J327" s="245" t="s">
        <v>816</v>
      </c>
      <c r="K327" s="20">
        <v>43301</v>
      </c>
      <c r="L327" s="32">
        <v>43789</v>
      </c>
      <c r="M327" s="21">
        <f t="shared" si="294"/>
        <v>82.304182965305657</v>
      </c>
      <c r="N327" s="14" t="s">
        <v>324</v>
      </c>
      <c r="O327" s="14" t="s">
        <v>817</v>
      </c>
      <c r="P327" s="14" t="s">
        <v>817</v>
      </c>
      <c r="Q327" s="22" t="s">
        <v>326</v>
      </c>
      <c r="R327" s="14" t="s">
        <v>36</v>
      </c>
      <c r="S327" s="23">
        <f t="shared" si="288"/>
        <v>729698.45</v>
      </c>
      <c r="T327" s="23">
        <v>588438.22</v>
      </c>
      <c r="U327" s="23">
        <v>141260.23000000001</v>
      </c>
      <c r="V327" s="23">
        <f t="shared" si="289"/>
        <v>139157.12</v>
      </c>
      <c r="W327" s="23">
        <v>103842.06</v>
      </c>
      <c r="X327" s="23">
        <v>35315.06</v>
      </c>
      <c r="Y327" s="23">
        <f>Z327+AA327</f>
        <v>0</v>
      </c>
      <c r="Z327" s="23"/>
      <c r="AA327" s="23"/>
      <c r="AB327" s="23">
        <f>AC327+AD327</f>
        <v>17731.75</v>
      </c>
      <c r="AC327" s="23">
        <v>14128.18</v>
      </c>
      <c r="AD327" s="23">
        <v>3603.57</v>
      </c>
      <c r="AE327" s="23">
        <f t="shared" si="292"/>
        <v>886587.32</v>
      </c>
      <c r="AF327" s="23">
        <v>0</v>
      </c>
      <c r="AG327" s="26">
        <f t="shared" si="301"/>
        <v>886587.32</v>
      </c>
      <c r="AH327" s="27" t="s">
        <v>585</v>
      </c>
      <c r="AI327" s="28" t="s">
        <v>1407</v>
      </c>
      <c r="AJ327" s="29">
        <f>88658.73-1983.5-12014.52+85545.1-10611.49+136645.02</f>
        <v>286239.33999999997</v>
      </c>
      <c r="AK327" s="29">
        <f>14022.63+14374.66+9282.27</f>
        <v>37679.56</v>
      </c>
    </row>
    <row r="328" spans="1:37" ht="378" x14ac:dyDescent="0.25">
      <c r="A328" s="12">
        <v>324</v>
      </c>
      <c r="B328" s="13">
        <v>119429</v>
      </c>
      <c r="C328" s="67">
        <v>472</v>
      </c>
      <c r="D328" s="13" t="s">
        <v>684</v>
      </c>
      <c r="E328" s="18" t="s">
        <v>1041</v>
      </c>
      <c r="F328" s="16" t="s">
        <v>542</v>
      </c>
      <c r="G328" s="30" t="s">
        <v>824</v>
      </c>
      <c r="H328" s="30" t="s">
        <v>1123</v>
      </c>
      <c r="I328" s="18" t="s">
        <v>422</v>
      </c>
      <c r="J328" s="240" t="s">
        <v>825</v>
      </c>
      <c r="K328" s="20">
        <v>43304</v>
      </c>
      <c r="L328" s="32">
        <v>43669</v>
      </c>
      <c r="M328" s="21">
        <f t="shared" si="294"/>
        <v>85.000001381242228</v>
      </c>
      <c r="N328" s="14">
        <v>6</v>
      </c>
      <c r="O328" s="14" t="s">
        <v>823</v>
      </c>
      <c r="P328" s="14" t="s">
        <v>822</v>
      </c>
      <c r="Q328" s="22" t="s">
        <v>212</v>
      </c>
      <c r="R328" s="14" t="s">
        <v>546</v>
      </c>
      <c r="S328" s="23">
        <f t="shared" si="288"/>
        <v>215385.83</v>
      </c>
      <c r="T328" s="23">
        <v>215385.83</v>
      </c>
      <c r="U328" s="23">
        <v>0</v>
      </c>
      <c r="V328" s="23">
        <f t="shared" si="289"/>
        <v>32941.35</v>
      </c>
      <c r="W328" s="23">
        <v>32941.35</v>
      </c>
      <c r="X328" s="23">
        <v>0</v>
      </c>
      <c r="Y328" s="23">
        <f t="shared" si="293"/>
        <v>5067.91</v>
      </c>
      <c r="Z328" s="23">
        <v>5067.91</v>
      </c>
      <c r="AA328" s="23">
        <v>0</v>
      </c>
      <c r="AB328" s="23">
        <f t="shared" si="295"/>
        <v>0</v>
      </c>
      <c r="AC328" s="23">
        <v>0</v>
      </c>
      <c r="AD328" s="23">
        <v>0</v>
      </c>
      <c r="AE328" s="23">
        <f t="shared" si="292"/>
        <v>253395.09</v>
      </c>
      <c r="AF328" s="23"/>
      <c r="AG328" s="26">
        <f t="shared" si="301"/>
        <v>253395.09</v>
      </c>
      <c r="AH328" s="27" t="s">
        <v>585</v>
      </c>
      <c r="AI328" s="28"/>
      <c r="AJ328" s="1">
        <f>9089.05+29577.7+15247.3+43458.57</f>
        <v>97372.62</v>
      </c>
      <c r="AK328" s="29">
        <f>1390.09+4523.64+2331.94+6646.61</f>
        <v>14892.279999999999</v>
      </c>
    </row>
    <row r="329" spans="1:37" ht="409.5" x14ac:dyDescent="0.25">
      <c r="A329" s="12">
        <v>325</v>
      </c>
      <c r="B329" s="13">
        <v>116294</v>
      </c>
      <c r="C329" s="67">
        <v>395</v>
      </c>
      <c r="D329" s="13" t="s">
        <v>170</v>
      </c>
      <c r="E329" s="227" t="s">
        <v>165</v>
      </c>
      <c r="F329" s="16" t="s">
        <v>445</v>
      </c>
      <c r="G329" s="30" t="s">
        <v>838</v>
      </c>
      <c r="H329" s="30" t="s">
        <v>837</v>
      </c>
      <c r="I329" s="18" t="s">
        <v>840</v>
      </c>
      <c r="J329" s="240" t="s">
        <v>839</v>
      </c>
      <c r="K329" s="20">
        <v>43307</v>
      </c>
      <c r="L329" s="32">
        <v>44100</v>
      </c>
      <c r="M329" s="21">
        <f t="shared" si="294"/>
        <v>83.983862768208695</v>
      </c>
      <c r="N329" s="14" t="s">
        <v>324</v>
      </c>
      <c r="O329" s="14" t="s">
        <v>156</v>
      </c>
      <c r="P329" s="14" t="s">
        <v>156</v>
      </c>
      <c r="Q329" s="22" t="s">
        <v>157</v>
      </c>
      <c r="R329" s="14" t="s">
        <v>36</v>
      </c>
      <c r="S329" s="23">
        <f t="shared" si="288"/>
        <v>10337095.59</v>
      </c>
      <c r="T329" s="23">
        <v>8335966.9800000004</v>
      </c>
      <c r="U329" s="23">
        <v>2001128.61</v>
      </c>
      <c r="V329" s="23">
        <f t="shared" si="289"/>
        <v>861007.51</v>
      </c>
      <c r="W329" s="23">
        <v>636291.80000000005</v>
      </c>
      <c r="X329" s="23">
        <v>224715.71</v>
      </c>
      <c r="Y329" s="23">
        <f t="shared" si="293"/>
        <v>1110327.6499999999</v>
      </c>
      <c r="Z329" s="23">
        <v>834761.2</v>
      </c>
      <c r="AA329" s="23">
        <v>275566.45</v>
      </c>
      <c r="AB329" s="23">
        <f t="shared" si="295"/>
        <v>0</v>
      </c>
      <c r="AC329" s="23">
        <v>0</v>
      </c>
      <c r="AD329" s="23">
        <v>0</v>
      </c>
      <c r="AE329" s="23">
        <f t="shared" si="292"/>
        <v>12308430.75</v>
      </c>
      <c r="AF329" s="23"/>
      <c r="AG329" s="26">
        <f t="shared" si="301"/>
        <v>12308430.75</v>
      </c>
      <c r="AH329" s="27" t="s">
        <v>585</v>
      </c>
      <c r="AI329" s="28"/>
      <c r="AJ329" s="29">
        <f>310000+64383.69</f>
        <v>374383.69</v>
      </c>
      <c r="AK329" s="29">
        <v>10763.54</v>
      </c>
    </row>
    <row r="330" spans="1:37" ht="315" x14ac:dyDescent="0.25">
      <c r="A330" s="14">
        <v>326</v>
      </c>
      <c r="B330" s="13">
        <v>113123</v>
      </c>
      <c r="C330" s="67">
        <v>217</v>
      </c>
      <c r="D330" s="13" t="s">
        <v>172</v>
      </c>
      <c r="E330" s="18" t="s">
        <v>165</v>
      </c>
      <c r="F330" s="16" t="s">
        <v>322</v>
      </c>
      <c r="G330" s="30" t="s">
        <v>847</v>
      </c>
      <c r="H330" s="30" t="s">
        <v>848</v>
      </c>
      <c r="I330" s="18" t="s">
        <v>422</v>
      </c>
      <c r="J330" s="240" t="s">
        <v>849</v>
      </c>
      <c r="K330" s="20">
        <v>43312</v>
      </c>
      <c r="L330" s="20">
        <v>43799</v>
      </c>
      <c r="M330" s="21">
        <f t="shared" si="294"/>
        <v>82.304190953691275</v>
      </c>
      <c r="N330" s="14" t="s">
        <v>324</v>
      </c>
      <c r="O330" s="14" t="s">
        <v>156</v>
      </c>
      <c r="P330" s="14" t="s">
        <v>156</v>
      </c>
      <c r="Q330" s="22" t="s">
        <v>326</v>
      </c>
      <c r="R330" s="14" t="s">
        <v>36</v>
      </c>
      <c r="S330" s="23">
        <f t="shared" si="288"/>
        <v>500543.25</v>
      </c>
      <c r="T330" s="23">
        <v>403644.51</v>
      </c>
      <c r="U330" s="23">
        <v>96898.74</v>
      </c>
      <c r="V330" s="23">
        <f t="shared" si="289"/>
        <v>95456.04</v>
      </c>
      <c r="W330" s="23">
        <v>71231.399999999994</v>
      </c>
      <c r="X330" s="23">
        <v>24224.639999999999</v>
      </c>
      <c r="Y330" s="23">
        <f t="shared" si="293"/>
        <v>0</v>
      </c>
      <c r="Z330" s="23">
        <v>0</v>
      </c>
      <c r="AA330" s="23">
        <v>0</v>
      </c>
      <c r="AB330" s="23">
        <f t="shared" si="295"/>
        <v>12163.24</v>
      </c>
      <c r="AC330" s="23">
        <v>9691.31</v>
      </c>
      <c r="AD330" s="23">
        <v>2471.9299999999998</v>
      </c>
      <c r="AE330" s="23">
        <f t="shared" si="292"/>
        <v>608162.53</v>
      </c>
      <c r="AF330" s="23"/>
      <c r="AG330" s="26">
        <f t="shared" si="301"/>
        <v>608162.53</v>
      </c>
      <c r="AH330" s="27" t="s">
        <v>585</v>
      </c>
      <c r="AI330" s="28" t="s">
        <v>1380</v>
      </c>
      <c r="AJ330" s="29">
        <f>61292.27-7748.65+48380.24+48897.57+0.12+53107.14</f>
        <v>203928.69</v>
      </c>
      <c r="AK330" s="29">
        <f>7748.65+9425.87-0.12+10127.9</f>
        <v>27302.300000000003</v>
      </c>
    </row>
    <row r="331" spans="1:37" ht="173.25" x14ac:dyDescent="0.25">
      <c r="A331" s="12">
        <v>327</v>
      </c>
      <c r="B331" s="13">
        <v>112769</v>
      </c>
      <c r="C331" s="67">
        <v>154</v>
      </c>
      <c r="D331" s="13" t="s">
        <v>1320</v>
      </c>
      <c r="E331" s="18" t="s">
        <v>165</v>
      </c>
      <c r="F331" s="16" t="s">
        <v>322</v>
      </c>
      <c r="G331" s="30" t="s">
        <v>862</v>
      </c>
      <c r="H331" s="30" t="s">
        <v>863</v>
      </c>
      <c r="I331" s="18" t="s">
        <v>864</v>
      </c>
      <c r="J331" s="240" t="s">
        <v>865</v>
      </c>
      <c r="K331" s="20">
        <v>43312</v>
      </c>
      <c r="L331" s="32">
        <v>43738</v>
      </c>
      <c r="M331" s="21">
        <f t="shared" si="294"/>
        <v>82.304193908401487</v>
      </c>
      <c r="N331" s="14" t="s">
        <v>324</v>
      </c>
      <c r="O331" s="14" t="s">
        <v>156</v>
      </c>
      <c r="P331" s="14" t="s">
        <v>156</v>
      </c>
      <c r="Q331" s="22" t="s">
        <v>326</v>
      </c>
      <c r="R331" s="14" t="s">
        <v>36</v>
      </c>
      <c r="S331" s="23">
        <f t="shared" si="288"/>
        <v>810553.29</v>
      </c>
      <c r="T331" s="23">
        <v>653640.61</v>
      </c>
      <c r="U331" s="23">
        <v>156912.68</v>
      </c>
      <c r="V331" s="23">
        <f t="shared" si="289"/>
        <v>154576.41999999998</v>
      </c>
      <c r="W331" s="23">
        <v>115348.29</v>
      </c>
      <c r="X331" s="23">
        <v>39228.129999999997</v>
      </c>
      <c r="Y331" s="23">
        <f t="shared" si="293"/>
        <v>0</v>
      </c>
      <c r="Z331" s="23"/>
      <c r="AA331" s="23"/>
      <c r="AB331" s="23">
        <f t="shared" si="295"/>
        <v>19696.52</v>
      </c>
      <c r="AC331" s="23">
        <v>15693.62</v>
      </c>
      <c r="AD331" s="23">
        <v>4002.9</v>
      </c>
      <c r="AE331" s="23">
        <f t="shared" si="292"/>
        <v>984826.23</v>
      </c>
      <c r="AF331" s="23"/>
      <c r="AG331" s="26">
        <f t="shared" si="301"/>
        <v>984826.23</v>
      </c>
      <c r="AH331" s="27" t="s">
        <v>585</v>
      </c>
      <c r="AI331" s="28" t="s">
        <v>185</v>
      </c>
      <c r="AJ331" s="29">
        <f>98482.62-15061.09+94056.93+90069.4-1035.88</f>
        <v>266511.98</v>
      </c>
      <c r="AK331" s="29">
        <f>15061.09+3.81+17176.67+17183.59</f>
        <v>49425.16</v>
      </c>
    </row>
    <row r="332" spans="1:37" ht="162.75" customHeight="1" x14ac:dyDescent="0.25">
      <c r="A332" s="12">
        <v>328</v>
      </c>
      <c r="B332" s="13">
        <v>118824</v>
      </c>
      <c r="C332" s="67">
        <v>451</v>
      </c>
      <c r="D332" s="13" t="s">
        <v>168</v>
      </c>
      <c r="E332" s="18" t="s">
        <v>1083</v>
      </c>
      <c r="F332" s="75" t="s">
        <v>630</v>
      </c>
      <c r="G332" s="92" t="s">
        <v>868</v>
      </c>
      <c r="H332" s="94" t="s">
        <v>869</v>
      </c>
      <c r="I332" s="18" t="s">
        <v>870</v>
      </c>
      <c r="J332" s="17" t="s">
        <v>1035</v>
      </c>
      <c r="K332" s="20">
        <v>43311</v>
      </c>
      <c r="L332" s="32">
        <v>43860</v>
      </c>
      <c r="M332" s="21">
        <f t="shared" si="294"/>
        <v>83.245543779056959</v>
      </c>
      <c r="N332" s="14" t="s">
        <v>324</v>
      </c>
      <c r="O332" s="14" t="s">
        <v>156</v>
      </c>
      <c r="P332" s="14" t="s">
        <v>156</v>
      </c>
      <c r="Q332" s="22" t="s">
        <v>157</v>
      </c>
      <c r="R332" s="14" t="s">
        <v>36</v>
      </c>
      <c r="S332" s="23">
        <f t="shared" si="288"/>
        <v>3071406.9800000004</v>
      </c>
      <c r="T332" s="23">
        <v>2476821.9900000002</v>
      </c>
      <c r="U332" s="23">
        <v>594584.99</v>
      </c>
      <c r="V332" s="23">
        <f t="shared" si="289"/>
        <v>254554.22000000003</v>
      </c>
      <c r="W332" s="23">
        <v>189953.89</v>
      </c>
      <c r="X332" s="23">
        <v>64600.33</v>
      </c>
      <c r="Y332" s="23">
        <f t="shared" si="293"/>
        <v>331178.11</v>
      </c>
      <c r="Z332" s="23">
        <v>247132.37</v>
      </c>
      <c r="AA332" s="23">
        <v>84045.74</v>
      </c>
      <c r="AB332" s="23">
        <f t="shared" si="295"/>
        <v>32435.940000000002</v>
      </c>
      <c r="AC332" s="23">
        <v>25844.11</v>
      </c>
      <c r="AD332" s="23">
        <v>6591.83</v>
      </c>
      <c r="AE332" s="23">
        <f t="shared" si="292"/>
        <v>3689575.2500000005</v>
      </c>
      <c r="AF332" s="23"/>
      <c r="AG332" s="26">
        <f t="shared" si="301"/>
        <v>3689575.2500000005</v>
      </c>
      <c r="AH332" s="99" t="s">
        <v>871</v>
      </c>
      <c r="AI332" s="28"/>
      <c r="AJ332" s="29">
        <f>162179.72+66847.3+174727.59+128489.76+146998.55+115400.5</f>
        <v>794643.41999999993</v>
      </c>
      <c r="AK332" s="29">
        <f>12748.1+24503.64+22007.46</f>
        <v>59259.199999999997</v>
      </c>
    </row>
    <row r="333" spans="1:37" ht="189" x14ac:dyDescent="0.25">
      <c r="A333" s="14">
        <v>329</v>
      </c>
      <c r="B333" s="13">
        <v>113009</v>
      </c>
      <c r="C333" s="67">
        <v>296</v>
      </c>
      <c r="D333" s="13" t="s">
        <v>1320</v>
      </c>
      <c r="E333" s="18" t="s">
        <v>165</v>
      </c>
      <c r="F333" s="16" t="s">
        <v>322</v>
      </c>
      <c r="G333" s="224" t="s">
        <v>878</v>
      </c>
      <c r="H333" s="30" t="s">
        <v>879</v>
      </c>
      <c r="I333" s="18" t="s">
        <v>880</v>
      </c>
      <c r="J333" s="240" t="s">
        <v>881</v>
      </c>
      <c r="K333" s="20">
        <v>43318</v>
      </c>
      <c r="L333" s="32">
        <v>43682</v>
      </c>
      <c r="M333" s="21">
        <f t="shared" si="294"/>
        <v>82.304184738955826</v>
      </c>
      <c r="N333" s="14" t="s">
        <v>324</v>
      </c>
      <c r="O333" s="14" t="s">
        <v>882</v>
      </c>
      <c r="P333" s="14" t="s">
        <v>883</v>
      </c>
      <c r="Q333" s="22" t="s">
        <v>326</v>
      </c>
      <c r="R333" s="14" t="s">
        <v>36</v>
      </c>
      <c r="S333" s="23">
        <f t="shared" si="288"/>
        <v>819749.67999999993</v>
      </c>
      <c r="T333" s="23">
        <v>661056.71</v>
      </c>
      <c r="U333" s="23">
        <v>158692.97</v>
      </c>
      <c r="V333" s="23">
        <f t="shared" si="289"/>
        <v>156330.31</v>
      </c>
      <c r="W333" s="23">
        <v>116657.06</v>
      </c>
      <c r="X333" s="23">
        <v>39673.25</v>
      </c>
      <c r="Y333" s="23">
        <f t="shared" si="293"/>
        <v>0</v>
      </c>
      <c r="Z333" s="23"/>
      <c r="AA333" s="23"/>
      <c r="AB333" s="23">
        <f t="shared" si="295"/>
        <v>19920.010000000002</v>
      </c>
      <c r="AC333" s="23">
        <v>15871.7</v>
      </c>
      <c r="AD333" s="23">
        <v>4048.31</v>
      </c>
      <c r="AE333" s="23">
        <f t="shared" si="292"/>
        <v>996000</v>
      </c>
      <c r="AF333" s="23"/>
      <c r="AG333" s="26">
        <f t="shared" si="301"/>
        <v>996000</v>
      </c>
      <c r="AH333" s="99" t="s">
        <v>871</v>
      </c>
      <c r="AI333" s="28"/>
      <c r="AJ333" s="29">
        <f>11711.89+112463.33+73006.84</f>
        <v>197182.06</v>
      </c>
      <c r="AK333" s="29">
        <f>2233.51+2453.09+13922.77</f>
        <v>18609.370000000003</v>
      </c>
    </row>
    <row r="334" spans="1:37" ht="141.75" x14ac:dyDescent="0.25">
      <c r="A334" s="12">
        <v>330</v>
      </c>
      <c r="B334" s="13">
        <v>112982</v>
      </c>
      <c r="C334" s="67">
        <v>297</v>
      </c>
      <c r="D334" s="13" t="s">
        <v>1074</v>
      </c>
      <c r="E334" s="18" t="s">
        <v>165</v>
      </c>
      <c r="F334" s="16" t="s">
        <v>322</v>
      </c>
      <c r="G334" s="224" t="s">
        <v>884</v>
      </c>
      <c r="H334" s="30" t="s">
        <v>885</v>
      </c>
      <c r="I334" s="18" t="s">
        <v>886</v>
      </c>
      <c r="J334" s="240" t="s">
        <v>887</v>
      </c>
      <c r="K334" s="20">
        <v>43318</v>
      </c>
      <c r="L334" s="32">
        <v>43682</v>
      </c>
      <c r="M334" s="21">
        <f t="shared" si="294"/>
        <v>82.304142421748935</v>
      </c>
      <c r="N334" s="14" t="s">
        <v>324</v>
      </c>
      <c r="O334" s="14" t="s">
        <v>853</v>
      </c>
      <c r="P334" s="14" t="s">
        <v>888</v>
      </c>
      <c r="Q334" s="22" t="s">
        <v>326</v>
      </c>
      <c r="R334" s="14" t="s">
        <v>36</v>
      </c>
      <c r="S334" s="23">
        <f t="shared" si="288"/>
        <v>819220.94</v>
      </c>
      <c r="T334" s="23">
        <f>660630.63-0.29</f>
        <v>660630.34</v>
      </c>
      <c r="U334" s="23">
        <f>158590.68-0.08</f>
        <v>158590.6</v>
      </c>
      <c r="V334" s="23">
        <f t="shared" si="289"/>
        <v>156229.57</v>
      </c>
      <c r="W334" s="23">
        <f>116581.9-0.05</f>
        <v>116581.84999999999</v>
      </c>
      <c r="X334" s="23">
        <f>39647.73-0.01</f>
        <v>39647.72</v>
      </c>
      <c r="Y334" s="23">
        <f t="shared" si="293"/>
        <v>0</v>
      </c>
      <c r="Z334" s="23"/>
      <c r="AA334" s="23"/>
      <c r="AB334" s="23">
        <f t="shared" si="295"/>
        <v>19907.580000000002</v>
      </c>
      <c r="AC334" s="23">
        <f>15861.49+0.34</f>
        <v>15861.83</v>
      </c>
      <c r="AD334" s="23">
        <f>4045.66+0.09</f>
        <v>4045.75</v>
      </c>
      <c r="AE334" s="23">
        <f t="shared" si="292"/>
        <v>995358.09</v>
      </c>
      <c r="AF334" s="23"/>
      <c r="AG334" s="26">
        <f t="shared" si="301"/>
        <v>995358.09</v>
      </c>
      <c r="AH334" s="99" t="s">
        <v>871</v>
      </c>
      <c r="AI334" s="28"/>
      <c r="AJ334" s="29">
        <f>165765.11+56722.24+28008.96+69100.38-9760.15+61890.51+86983.18+50044.51+10153.07+68034.97</f>
        <v>586942.77999999991</v>
      </c>
      <c r="AK334" s="29">
        <f>14377.08+10817.21+22576.59+11316.48+16588.12+13157.91+10124.9+5883.58</f>
        <v>104841.87</v>
      </c>
    </row>
    <row r="335" spans="1:37" ht="267.75" x14ac:dyDescent="0.25">
      <c r="A335" s="12">
        <v>331</v>
      </c>
      <c r="B335" s="13">
        <v>110476</v>
      </c>
      <c r="C335" s="67">
        <v>203</v>
      </c>
      <c r="D335" s="13" t="s">
        <v>172</v>
      </c>
      <c r="E335" s="18" t="s">
        <v>165</v>
      </c>
      <c r="F335" s="16" t="s">
        <v>322</v>
      </c>
      <c r="G335" s="224" t="s">
        <v>903</v>
      </c>
      <c r="H335" s="30" t="s">
        <v>902</v>
      </c>
      <c r="I335" s="18" t="s">
        <v>904</v>
      </c>
      <c r="J335" s="240" t="s">
        <v>905</v>
      </c>
      <c r="K335" s="20">
        <v>43321</v>
      </c>
      <c r="L335" s="32">
        <v>43808</v>
      </c>
      <c r="M335" s="21">
        <f t="shared" si="294"/>
        <v>82.304181989191633</v>
      </c>
      <c r="N335" s="14" t="s">
        <v>324</v>
      </c>
      <c r="O335" s="14" t="s">
        <v>345</v>
      </c>
      <c r="P335" s="14" t="s">
        <v>345</v>
      </c>
      <c r="Q335" s="22" t="s">
        <v>326</v>
      </c>
      <c r="R335" s="14" t="s">
        <v>36</v>
      </c>
      <c r="S335" s="23">
        <f t="shared" si="288"/>
        <v>792472.45</v>
      </c>
      <c r="T335" s="23">
        <v>639059.98</v>
      </c>
      <c r="U335" s="23">
        <v>153412.47</v>
      </c>
      <c r="V335" s="23">
        <f t="shared" si="289"/>
        <v>151128.43</v>
      </c>
      <c r="W335" s="23">
        <v>112775.29</v>
      </c>
      <c r="X335" s="23">
        <v>38353.14</v>
      </c>
      <c r="Y335" s="23">
        <f t="shared" si="293"/>
        <v>0</v>
      </c>
      <c r="Z335" s="23">
        <v>0</v>
      </c>
      <c r="AA335" s="23">
        <v>0</v>
      </c>
      <c r="AB335" s="23">
        <f t="shared" si="295"/>
        <v>19257.18</v>
      </c>
      <c r="AC335" s="23">
        <v>15343.62</v>
      </c>
      <c r="AD335" s="23">
        <v>3913.56</v>
      </c>
      <c r="AE335" s="23">
        <f t="shared" si="292"/>
        <v>962858.05999999994</v>
      </c>
      <c r="AF335" s="23"/>
      <c r="AG335" s="26">
        <f t="shared" si="301"/>
        <v>962858.05999999994</v>
      </c>
      <c r="AH335" s="99" t="s">
        <v>871</v>
      </c>
      <c r="AI335" s="28"/>
      <c r="AJ335" s="29">
        <f>96285.8+47700.86+109022.07+9510.48+92679.05</f>
        <v>355198.26</v>
      </c>
      <c r="AK335" s="29">
        <f>23108.4+6779.44+19488.05</f>
        <v>49375.89</v>
      </c>
    </row>
    <row r="336" spans="1:37" ht="141.75" x14ac:dyDescent="0.25">
      <c r="A336" s="14">
        <v>332</v>
      </c>
      <c r="B336" s="13">
        <v>111413</v>
      </c>
      <c r="C336" s="67">
        <v>245</v>
      </c>
      <c r="D336" s="13" t="s">
        <v>170</v>
      </c>
      <c r="E336" s="18" t="s">
        <v>165</v>
      </c>
      <c r="F336" s="16" t="s">
        <v>322</v>
      </c>
      <c r="G336" s="224" t="s">
        <v>910</v>
      </c>
      <c r="H336" s="30" t="s">
        <v>911</v>
      </c>
      <c r="I336" s="18" t="s">
        <v>912</v>
      </c>
      <c r="J336" s="240" t="s">
        <v>913</v>
      </c>
      <c r="K336" s="20">
        <v>43325</v>
      </c>
      <c r="L336" s="32">
        <v>43812</v>
      </c>
      <c r="M336" s="21">
        <f t="shared" si="294"/>
        <v>82.510189524515496</v>
      </c>
      <c r="N336" s="14" t="s">
        <v>324</v>
      </c>
      <c r="O336" s="14" t="s">
        <v>312</v>
      </c>
      <c r="P336" s="14" t="s">
        <v>312</v>
      </c>
      <c r="Q336" s="22" t="s">
        <v>326</v>
      </c>
      <c r="R336" s="14" t="s">
        <v>36</v>
      </c>
      <c r="S336" s="23">
        <f t="shared" si="288"/>
        <v>805149.57</v>
      </c>
      <c r="T336" s="23">
        <v>649282.97</v>
      </c>
      <c r="U336" s="23">
        <v>155866.6</v>
      </c>
      <c r="V336" s="23">
        <f t="shared" si="289"/>
        <v>134378</v>
      </c>
      <c r="W336" s="23">
        <v>100275.78</v>
      </c>
      <c r="X336" s="23">
        <v>34102.22</v>
      </c>
      <c r="Y336" s="23">
        <f t="shared" si="293"/>
        <v>19168</v>
      </c>
      <c r="Z336" s="23">
        <v>14303.59</v>
      </c>
      <c r="AA336" s="23">
        <v>4864.41</v>
      </c>
      <c r="AB336" s="23">
        <f t="shared" si="295"/>
        <v>17122.78</v>
      </c>
      <c r="AC336" s="23">
        <v>13642.95</v>
      </c>
      <c r="AD336" s="23">
        <v>3479.83</v>
      </c>
      <c r="AE336" s="23">
        <f t="shared" si="292"/>
        <v>975818.35</v>
      </c>
      <c r="AF336" s="23">
        <v>0</v>
      </c>
      <c r="AG336" s="26">
        <f t="shared" si="301"/>
        <v>975818.35</v>
      </c>
      <c r="AH336" s="99" t="s">
        <v>871</v>
      </c>
      <c r="AI336" s="28" t="s">
        <v>349</v>
      </c>
      <c r="AJ336" s="29">
        <f>85600-10278.92+91440.93+64880.29+85600+67989.89</f>
        <v>385232.19000000006</v>
      </c>
      <c r="AK336" s="29">
        <f>10278.92+5199.07+27998.08+12966.01</f>
        <v>56442.080000000002</v>
      </c>
    </row>
    <row r="337" spans="1:37" ht="288.60000000000002" customHeight="1" x14ac:dyDescent="0.25">
      <c r="A337" s="12">
        <v>333</v>
      </c>
      <c r="B337" s="13">
        <v>112299</v>
      </c>
      <c r="C337" s="67">
        <v>370</v>
      </c>
      <c r="D337" s="13" t="s">
        <v>168</v>
      </c>
      <c r="E337" s="14" t="s">
        <v>1084</v>
      </c>
      <c r="F337" s="16" t="s">
        <v>635</v>
      </c>
      <c r="G337" s="224" t="s">
        <v>920</v>
      </c>
      <c r="H337" s="30" t="s">
        <v>921</v>
      </c>
      <c r="I337" s="18" t="s">
        <v>185</v>
      </c>
      <c r="J337" s="224" t="s">
        <v>922</v>
      </c>
      <c r="K337" s="20">
        <v>43322</v>
      </c>
      <c r="L337" s="32">
        <v>43809</v>
      </c>
      <c r="M337" s="21">
        <f t="shared" si="294"/>
        <v>82.304185282751305</v>
      </c>
      <c r="N337" s="14" t="s">
        <v>324</v>
      </c>
      <c r="O337" s="14" t="s">
        <v>312</v>
      </c>
      <c r="P337" s="14" t="s">
        <v>312</v>
      </c>
      <c r="Q337" s="22" t="s">
        <v>326</v>
      </c>
      <c r="R337" s="14" t="s">
        <v>36</v>
      </c>
      <c r="S337" s="23">
        <f t="shared" si="288"/>
        <v>5950616.5299999993</v>
      </c>
      <c r="T337" s="23">
        <v>4798653.8099999996</v>
      </c>
      <c r="U337" s="23">
        <v>1151962.72</v>
      </c>
      <c r="V337" s="23">
        <f t="shared" si="289"/>
        <v>1134811.99</v>
      </c>
      <c r="W337" s="23">
        <v>846821.28</v>
      </c>
      <c r="X337" s="23">
        <v>287990.71000000002</v>
      </c>
      <c r="Y337" s="23">
        <f t="shared" si="293"/>
        <v>0</v>
      </c>
      <c r="Z337" s="23">
        <v>0</v>
      </c>
      <c r="AA337" s="23">
        <v>0</v>
      </c>
      <c r="AB337" s="23">
        <f t="shared" si="295"/>
        <v>144600.56</v>
      </c>
      <c r="AC337" s="23">
        <v>115213.74</v>
      </c>
      <c r="AD337" s="23">
        <v>29386.82</v>
      </c>
      <c r="AE337" s="23">
        <f t="shared" si="292"/>
        <v>7230029.0799999991</v>
      </c>
      <c r="AF337" s="23">
        <v>138667.75</v>
      </c>
      <c r="AG337" s="26">
        <f t="shared" si="301"/>
        <v>7368696.8299999991</v>
      </c>
      <c r="AH337" s="99" t="s">
        <v>871</v>
      </c>
      <c r="AI337" s="28"/>
      <c r="AJ337" s="29">
        <f>282756.47-22704+3451.47+697697.8-66522.25</f>
        <v>894679.49</v>
      </c>
      <c r="AK337" s="29">
        <f>22703.99+27547.51+66522.25</f>
        <v>116773.75</v>
      </c>
    </row>
    <row r="338" spans="1:37" ht="119.25" customHeight="1" x14ac:dyDescent="0.25">
      <c r="A338" s="12">
        <v>334</v>
      </c>
      <c r="B338" s="13">
        <v>112241</v>
      </c>
      <c r="C338" s="67">
        <v>291</v>
      </c>
      <c r="D338" s="13" t="s">
        <v>1320</v>
      </c>
      <c r="E338" s="18" t="s">
        <v>165</v>
      </c>
      <c r="F338" s="16" t="s">
        <v>322</v>
      </c>
      <c r="G338" s="224" t="s">
        <v>934</v>
      </c>
      <c r="H338" s="30" t="s">
        <v>935</v>
      </c>
      <c r="I338" s="18" t="s">
        <v>936</v>
      </c>
      <c r="J338" s="240" t="s">
        <v>937</v>
      </c>
      <c r="K338" s="20">
        <v>43332</v>
      </c>
      <c r="L338" s="32">
        <v>43818</v>
      </c>
      <c r="M338" s="21">
        <f t="shared" si="294"/>
        <v>82.583882850083839</v>
      </c>
      <c r="N338" s="69" t="s">
        <v>155</v>
      </c>
      <c r="O338" s="14" t="s">
        <v>720</v>
      </c>
      <c r="P338" s="14" t="s">
        <v>708</v>
      </c>
      <c r="Q338" s="22" t="s">
        <v>326</v>
      </c>
      <c r="R338" s="246" t="s">
        <v>36</v>
      </c>
      <c r="S338" s="23">
        <f t="shared" si="288"/>
        <v>824427.28</v>
      </c>
      <c r="T338" s="23">
        <v>664828.78</v>
      </c>
      <c r="U338" s="23">
        <v>159598.5</v>
      </c>
      <c r="V338" s="23">
        <f t="shared" si="289"/>
        <v>130597.97</v>
      </c>
      <c r="W338" s="23">
        <v>97455.03</v>
      </c>
      <c r="X338" s="23">
        <v>33142.94</v>
      </c>
      <c r="Y338" s="23">
        <f t="shared" si="293"/>
        <v>26624.399999999998</v>
      </c>
      <c r="Z338" s="23">
        <v>19867.71</v>
      </c>
      <c r="AA338" s="23">
        <v>6756.69</v>
      </c>
      <c r="AB338" s="23">
        <f t="shared" si="295"/>
        <v>16641.12</v>
      </c>
      <c r="AC338" s="23">
        <v>13259.17</v>
      </c>
      <c r="AD338" s="23">
        <v>3381.95</v>
      </c>
      <c r="AE338" s="23">
        <f t="shared" si="292"/>
        <v>998290.77</v>
      </c>
      <c r="AF338" s="23"/>
      <c r="AG338" s="26">
        <f t="shared" si="301"/>
        <v>998290.77</v>
      </c>
      <c r="AH338" s="99" t="s">
        <v>871</v>
      </c>
      <c r="AI338" s="28"/>
      <c r="AJ338" s="29">
        <f>81541.49+87388.02+13666.61+117720.04+28127.79+78797.35</f>
        <v>407241.29999999993</v>
      </c>
      <c r="AK338" s="29">
        <f>16166.91+2606.29+16916.51+3786.15+14772.46</f>
        <v>54248.32</v>
      </c>
    </row>
    <row r="339" spans="1:37" ht="270" customHeight="1" x14ac:dyDescent="0.25">
      <c r="A339" s="14">
        <v>335</v>
      </c>
      <c r="B339" s="13">
        <v>111881</v>
      </c>
      <c r="C339" s="67">
        <v>222</v>
      </c>
      <c r="D339" s="13" t="s">
        <v>172</v>
      </c>
      <c r="E339" s="18" t="s">
        <v>165</v>
      </c>
      <c r="F339" s="16" t="s">
        <v>322</v>
      </c>
      <c r="G339" s="247" t="s">
        <v>938</v>
      </c>
      <c r="H339" s="248" t="s">
        <v>939</v>
      </c>
      <c r="I339" s="18" t="s">
        <v>940</v>
      </c>
      <c r="J339" s="19" t="s">
        <v>941</v>
      </c>
      <c r="K339" s="20">
        <v>43332</v>
      </c>
      <c r="L339" s="32">
        <v>43819</v>
      </c>
      <c r="M339" s="21">
        <f t="shared" si="294"/>
        <v>82.304191094798739</v>
      </c>
      <c r="N339" s="69" t="s">
        <v>155</v>
      </c>
      <c r="O339" s="14" t="s">
        <v>312</v>
      </c>
      <c r="P339" s="14" t="s">
        <v>312</v>
      </c>
      <c r="Q339" s="22" t="s">
        <v>326</v>
      </c>
      <c r="R339" s="14" t="s">
        <v>36</v>
      </c>
      <c r="S339" s="23">
        <f t="shared" si="288"/>
        <v>817219.90999999992</v>
      </c>
      <c r="T339" s="23">
        <v>659016.69999999995</v>
      </c>
      <c r="U339" s="23">
        <v>158203.21</v>
      </c>
      <c r="V339" s="23">
        <f t="shared" si="289"/>
        <v>155847.81</v>
      </c>
      <c r="W339" s="23">
        <v>116297.02</v>
      </c>
      <c r="X339" s="23">
        <v>39550.79</v>
      </c>
      <c r="Y339" s="23">
        <f t="shared" si="293"/>
        <v>19858.52</v>
      </c>
      <c r="Z339" s="23">
        <v>15822.67</v>
      </c>
      <c r="AA339" s="23">
        <v>4035.85</v>
      </c>
      <c r="AB339" s="23">
        <f t="shared" si="295"/>
        <v>0</v>
      </c>
      <c r="AC339" s="23">
        <v>0</v>
      </c>
      <c r="AD339" s="23">
        <v>0</v>
      </c>
      <c r="AE339" s="23">
        <f t="shared" si="292"/>
        <v>992926.24</v>
      </c>
      <c r="AF339" s="23"/>
      <c r="AG339" s="26">
        <f t="shared" si="301"/>
        <v>992926.24</v>
      </c>
      <c r="AH339" s="99" t="s">
        <v>871</v>
      </c>
      <c r="AI339" s="28" t="s">
        <v>1227</v>
      </c>
      <c r="AJ339" s="29">
        <f>99292.62-14519.17+90653.42-15093.22+94237.53</f>
        <v>254571.18</v>
      </c>
      <c r="AK339" s="29">
        <f>14519.17+15093.22</f>
        <v>29612.39</v>
      </c>
    </row>
    <row r="340" spans="1:37" ht="409.5" x14ac:dyDescent="0.25">
      <c r="A340" s="12">
        <v>336</v>
      </c>
      <c r="B340" s="13">
        <v>111434</v>
      </c>
      <c r="C340" s="67">
        <v>141</v>
      </c>
      <c r="D340" s="13" t="s">
        <v>1074</v>
      </c>
      <c r="E340" s="18" t="s">
        <v>165</v>
      </c>
      <c r="F340" s="16" t="s">
        <v>322</v>
      </c>
      <c r="G340" s="224" t="s">
        <v>946</v>
      </c>
      <c r="H340" s="30" t="s">
        <v>947</v>
      </c>
      <c r="I340" s="18" t="s">
        <v>948</v>
      </c>
      <c r="J340" s="240" t="s">
        <v>1015</v>
      </c>
      <c r="K340" s="20">
        <v>43332</v>
      </c>
      <c r="L340" s="32">
        <v>43819</v>
      </c>
      <c r="M340" s="21">
        <f t="shared" si="294"/>
        <v>82.30418537074344</v>
      </c>
      <c r="N340" s="14" t="s">
        <v>324</v>
      </c>
      <c r="O340" s="14" t="s">
        <v>156</v>
      </c>
      <c r="P340" s="14" t="s">
        <v>156</v>
      </c>
      <c r="Q340" s="22" t="s">
        <v>326</v>
      </c>
      <c r="R340" s="246" t="s">
        <v>36</v>
      </c>
      <c r="S340" s="23">
        <f t="shared" si="288"/>
        <v>822576.44</v>
      </c>
      <c r="T340" s="23">
        <v>663336.19999999995</v>
      </c>
      <c r="U340" s="23">
        <v>159240.24</v>
      </c>
      <c r="V340" s="23">
        <f t="shared" si="289"/>
        <v>156869.40000000002</v>
      </c>
      <c r="W340" s="23">
        <v>117059.35</v>
      </c>
      <c r="X340" s="23">
        <v>39810.050000000003</v>
      </c>
      <c r="Y340" s="23">
        <f t="shared" si="293"/>
        <v>19988.68</v>
      </c>
      <c r="Z340" s="23">
        <v>15926.46</v>
      </c>
      <c r="AA340" s="23">
        <v>4062.22</v>
      </c>
      <c r="AB340" s="23">
        <f t="shared" si="295"/>
        <v>0</v>
      </c>
      <c r="AC340" s="23"/>
      <c r="AD340" s="23"/>
      <c r="AE340" s="23">
        <f t="shared" si="292"/>
        <v>999434.52</v>
      </c>
      <c r="AF340" s="23"/>
      <c r="AG340" s="26">
        <f t="shared" si="301"/>
        <v>999434.52</v>
      </c>
      <c r="AH340" s="99" t="s">
        <v>871</v>
      </c>
      <c r="AI340" s="28" t="s">
        <v>940</v>
      </c>
      <c r="AJ340" s="29">
        <f>49971.72+83543.84+96913+21111.43+81377.76</f>
        <v>332917.75</v>
      </c>
      <c r="AK340" s="29">
        <f>24884.17+21127.4</f>
        <v>46011.57</v>
      </c>
    </row>
    <row r="341" spans="1:37" ht="174" customHeight="1" thickBot="1" x14ac:dyDescent="0.3">
      <c r="A341" s="12">
        <v>337</v>
      </c>
      <c r="B341" s="13">
        <v>112374</v>
      </c>
      <c r="C341" s="67">
        <v>142</v>
      </c>
      <c r="D341" s="13" t="s">
        <v>1320</v>
      </c>
      <c r="E341" s="18" t="s">
        <v>165</v>
      </c>
      <c r="F341" s="16" t="s">
        <v>322</v>
      </c>
      <c r="G341" s="224" t="s">
        <v>951</v>
      </c>
      <c r="H341" s="30" t="s">
        <v>952</v>
      </c>
      <c r="I341" s="18" t="s">
        <v>353</v>
      </c>
      <c r="J341" s="240" t="s">
        <v>953</v>
      </c>
      <c r="K341" s="20">
        <v>43333</v>
      </c>
      <c r="L341" s="32">
        <v>43819</v>
      </c>
      <c r="M341" s="21">
        <f t="shared" si="294"/>
        <v>82.304182898535288</v>
      </c>
      <c r="N341" s="14" t="s">
        <v>324</v>
      </c>
      <c r="O341" s="14" t="s">
        <v>156</v>
      </c>
      <c r="P341" s="14" t="s">
        <v>156</v>
      </c>
      <c r="Q341" s="22" t="s">
        <v>326</v>
      </c>
      <c r="R341" s="14" t="s">
        <v>36</v>
      </c>
      <c r="S341" s="23">
        <f t="shared" si="288"/>
        <v>776266.51</v>
      </c>
      <c r="T341" s="23">
        <v>625991.30000000005</v>
      </c>
      <c r="U341" s="23">
        <v>150275.21</v>
      </c>
      <c r="V341" s="23">
        <f t="shared" si="289"/>
        <v>148037.87</v>
      </c>
      <c r="W341" s="23">
        <v>110469.08</v>
      </c>
      <c r="X341" s="23">
        <v>37568.79</v>
      </c>
      <c r="Y341" s="23">
        <f t="shared" si="293"/>
        <v>0</v>
      </c>
      <c r="Z341" s="23"/>
      <c r="AA341" s="23"/>
      <c r="AB341" s="23">
        <f t="shared" si="295"/>
        <v>18863.37</v>
      </c>
      <c r="AC341" s="23">
        <v>15029.81</v>
      </c>
      <c r="AD341" s="23">
        <v>3833.56</v>
      </c>
      <c r="AE341" s="249">
        <f t="shared" si="292"/>
        <v>943167.75</v>
      </c>
      <c r="AF341" s="23"/>
      <c r="AG341" s="26">
        <f t="shared" si="301"/>
        <v>943167.75</v>
      </c>
      <c r="AH341" s="99" t="s">
        <v>871</v>
      </c>
      <c r="AI341" s="28"/>
      <c r="AJ341" s="29">
        <f>94316.78+88365.15+32352.46+93883.38</f>
        <v>308917.77</v>
      </c>
      <c r="AK341" s="29">
        <f>21755.69+19252.4+433.4</f>
        <v>41441.49</v>
      </c>
    </row>
    <row r="342" spans="1:37" ht="316.5" thickTop="1" x14ac:dyDescent="0.3">
      <c r="A342" s="14">
        <v>338</v>
      </c>
      <c r="B342" s="13">
        <v>111379</v>
      </c>
      <c r="C342" s="67">
        <v>228</v>
      </c>
      <c r="D342" s="13" t="s">
        <v>172</v>
      </c>
      <c r="E342" s="18" t="s">
        <v>165</v>
      </c>
      <c r="F342" s="16" t="s">
        <v>322</v>
      </c>
      <c r="G342" s="250" t="s">
        <v>954</v>
      </c>
      <c r="H342" s="111" t="s">
        <v>955</v>
      </c>
      <c r="I342" s="18" t="s">
        <v>956</v>
      </c>
      <c r="J342" s="240" t="s">
        <v>957</v>
      </c>
      <c r="K342" s="20">
        <v>43333</v>
      </c>
      <c r="L342" s="32">
        <v>43820</v>
      </c>
      <c r="M342" s="21">
        <f t="shared" si="294"/>
        <v>82.452371972946708</v>
      </c>
      <c r="N342" s="14" t="s">
        <v>324</v>
      </c>
      <c r="O342" s="14" t="s">
        <v>156</v>
      </c>
      <c r="P342" s="14" t="s">
        <v>156</v>
      </c>
      <c r="Q342" s="22" t="s">
        <v>326</v>
      </c>
      <c r="R342" s="14" t="s">
        <v>36</v>
      </c>
      <c r="S342" s="23">
        <f t="shared" si="288"/>
        <v>823001.55</v>
      </c>
      <c r="T342" s="23">
        <v>663679.05000000005</v>
      </c>
      <c r="U342" s="23">
        <v>159322.5</v>
      </c>
      <c r="V342" s="23">
        <f t="shared" si="289"/>
        <v>142846.60999999999</v>
      </c>
      <c r="W342" s="23">
        <v>106595.2</v>
      </c>
      <c r="X342" s="23">
        <v>36251.410000000003</v>
      </c>
      <c r="Y342" s="23">
        <f t="shared" si="293"/>
        <v>32305.72</v>
      </c>
      <c r="Z342" s="23">
        <v>25027.37</v>
      </c>
      <c r="AA342" s="23">
        <v>7278.35</v>
      </c>
      <c r="AB342" s="23">
        <f t="shared" si="295"/>
        <v>0</v>
      </c>
      <c r="AC342" s="23"/>
      <c r="AD342" s="23"/>
      <c r="AE342" s="23">
        <f t="shared" si="292"/>
        <v>998153.88</v>
      </c>
      <c r="AF342" s="23"/>
      <c r="AG342" s="26">
        <f t="shared" si="301"/>
        <v>998153.88</v>
      </c>
      <c r="AH342" s="99" t="s">
        <v>871</v>
      </c>
      <c r="AI342" s="28" t="s">
        <v>940</v>
      </c>
      <c r="AJ342" s="29">
        <f>91009.38-9270.26+57880.76-12678.05+33855.88+91009.38</f>
        <v>251807.09</v>
      </c>
      <c r="AK342" s="29">
        <f>9270.26+12678.05+8716.65</f>
        <v>30664.959999999999</v>
      </c>
    </row>
    <row r="343" spans="1:37" ht="409.5" x14ac:dyDescent="0.25">
      <c r="A343" s="12">
        <v>339</v>
      </c>
      <c r="B343" s="13">
        <v>112711</v>
      </c>
      <c r="C343" s="67">
        <v>209</v>
      </c>
      <c r="D343" s="13" t="s">
        <v>172</v>
      </c>
      <c r="E343" s="167" t="s">
        <v>165</v>
      </c>
      <c r="F343" s="16" t="s">
        <v>322</v>
      </c>
      <c r="G343" s="224" t="s">
        <v>963</v>
      </c>
      <c r="H343" s="30" t="s">
        <v>964</v>
      </c>
      <c r="I343" s="167" t="s">
        <v>965</v>
      </c>
      <c r="J343" s="19" t="s">
        <v>966</v>
      </c>
      <c r="K343" s="20">
        <v>43335</v>
      </c>
      <c r="L343" s="32">
        <v>43822</v>
      </c>
      <c r="M343" s="21">
        <f t="shared" si="294"/>
        <v>82.640124999999998</v>
      </c>
      <c r="N343" s="14" t="s">
        <v>324</v>
      </c>
      <c r="O343" s="14" t="s">
        <v>156</v>
      </c>
      <c r="P343" s="14" t="s">
        <v>156</v>
      </c>
      <c r="Q343" s="22" t="s">
        <v>326</v>
      </c>
      <c r="R343" s="14" t="s">
        <v>36</v>
      </c>
      <c r="S343" s="23">
        <f t="shared" si="288"/>
        <v>826401.25</v>
      </c>
      <c r="T343" s="23">
        <v>666420.59</v>
      </c>
      <c r="U343" s="23">
        <v>159980.66</v>
      </c>
      <c r="V343" s="23">
        <f t="shared" si="289"/>
        <v>153598.75</v>
      </c>
      <c r="W343" s="23">
        <v>114416.53</v>
      </c>
      <c r="X343" s="23">
        <v>39182.22</v>
      </c>
      <c r="Y343" s="23">
        <f t="shared" si="293"/>
        <v>20000</v>
      </c>
      <c r="Z343" s="23">
        <v>15935.46</v>
      </c>
      <c r="AA343" s="23">
        <v>4064.54</v>
      </c>
      <c r="AB343" s="23">
        <f t="shared" si="295"/>
        <v>0</v>
      </c>
      <c r="AC343" s="23"/>
      <c r="AD343" s="23"/>
      <c r="AE343" s="23">
        <f t="shared" si="292"/>
        <v>1000000</v>
      </c>
      <c r="AF343" s="23"/>
      <c r="AG343" s="26">
        <f t="shared" si="301"/>
        <v>1000000</v>
      </c>
      <c r="AH343" s="99" t="s">
        <v>871</v>
      </c>
      <c r="AI343" s="28" t="s">
        <v>940</v>
      </c>
      <c r="AJ343" s="29">
        <f>98952.8+38728.19+96005.78+68225.96+103165.27+4938.26</f>
        <v>410016.26</v>
      </c>
      <c r="AK343" s="29">
        <f>24992.94+30773.35+1365.53+941.74</f>
        <v>58073.55999999999</v>
      </c>
    </row>
    <row r="344" spans="1:37" ht="146.25" customHeight="1" x14ac:dyDescent="0.25">
      <c r="A344" s="12">
        <v>340</v>
      </c>
      <c r="B344" s="13">
        <v>112827</v>
      </c>
      <c r="C344" s="67">
        <v>305</v>
      </c>
      <c r="D344" s="13" t="s">
        <v>168</v>
      </c>
      <c r="E344" s="18" t="s">
        <v>165</v>
      </c>
      <c r="F344" s="16" t="s">
        <v>322</v>
      </c>
      <c r="G344" s="224" t="s">
        <v>973</v>
      </c>
      <c r="H344" s="224" t="s">
        <v>972</v>
      </c>
      <c r="I344" s="18" t="s">
        <v>974</v>
      </c>
      <c r="J344" s="240" t="s">
        <v>975</v>
      </c>
      <c r="K344" s="20">
        <v>43325</v>
      </c>
      <c r="L344" s="32">
        <v>43750</v>
      </c>
      <c r="M344" s="21">
        <f t="shared" si="294"/>
        <v>82.30418490460022</v>
      </c>
      <c r="N344" s="14" t="s">
        <v>324</v>
      </c>
      <c r="O344" s="14" t="s">
        <v>315</v>
      </c>
      <c r="P344" s="14" t="s">
        <v>976</v>
      </c>
      <c r="Q344" s="22" t="s">
        <v>326</v>
      </c>
      <c r="R344" s="14" t="s">
        <v>36</v>
      </c>
      <c r="S344" s="23">
        <f t="shared" si="288"/>
        <v>819344.35</v>
      </c>
      <c r="T344" s="23">
        <v>660729.84</v>
      </c>
      <c r="U344" s="23">
        <v>158614.51</v>
      </c>
      <c r="V344" s="23">
        <f t="shared" si="289"/>
        <v>156253.01</v>
      </c>
      <c r="W344" s="23">
        <v>116599.39</v>
      </c>
      <c r="X344" s="23">
        <v>39653.620000000003</v>
      </c>
      <c r="Y344" s="23">
        <f t="shared" si="293"/>
        <v>0</v>
      </c>
      <c r="Z344" s="23"/>
      <c r="AA344" s="23"/>
      <c r="AB344" s="23">
        <f t="shared" si="295"/>
        <v>19910.16</v>
      </c>
      <c r="AC344" s="23">
        <v>15863.85</v>
      </c>
      <c r="AD344" s="23">
        <v>4046.31</v>
      </c>
      <c r="AE344" s="23">
        <f t="shared" si="292"/>
        <v>995507.52</v>
      </c>
      <c r="AF344" s="23"/>
      <c r="AG344" s="26">
        <f t="shared" si="301"/>
        <v>995507.52</v>
      </c>
      <c r="AH344" s="99" t="s">
        <v>871</v>
      </c>
      <c r="AI344" s="28" t="s">
        <v>940</v>
      </c>
      <c r="AJ344" s="29">
        <f>99347-2141.53-5209.28+78190.23</f>
        <v>170186.41999999998</v>
      </c>
      <c r="AK344" s="29">
        <f>2141.53+5209.28+6119.81</f>
        <v>13470.619999999999</v>
      </c>
    </row>
    <row r="345" spans="1:37" ht="157.5" x14ac:dyDescent="0.25">
      <c r="A345" s="14">
        <v>341</v>
      </c>
      <c r="B345" s="13">
        <v>112220</v>
      </c>
      <c r="C345" s="67">
        <v>239</v>
      </c>
      <c r="D345" s="13" t="s">
        <v>170</v>
      </c>
      <c r="E345" s="167" t="s">
        <v>165</v>
      </c>
      <c r="F345" s="16" t="s">
        <v>322</v>
      </c>
      <c r="G345" s="224" t="s">
        <v>986</v>
      </c>
      <c r="H345" s="30" t="s">
        <v>987</v>
      </c>
      <c r="I345" s="18" t="s">
        <v>988</v>
      </c>
      <c r="J345" s="240" t="s">
        <v>990</v>
      </c>
      <c r="K345" s="20">
        <v>43346</v>
      </c>
      <c r="L345" s="32">
        <v>43771</v>
      </c>
      <c r="M345" s="21">
        <f t="shared" si="294"/>
        <v>82.53761528755669</v>
      </c>
      <c r="N345" s="14" t="s">
        <v>324</v>
      </c>
      <c r="O345" s="14" t="s">
        <v>222</v>
      </c>
      <c r="P345" s="14" t="s">
        <v>989</v>
      </c>
      <c r="Q345" s="22" t="s">
        <v>326</v>
      </c>
      <c r="R345" s="14" t="s">
        <v>36</v>
      </c>
      <c r="S345" s="23">
        <f t="shared" si="288"/>
        <v>770988.47</v>
      </c>
      <c r="T345" s="23">
        <v>621735</v>
      </c>
      <c r="U345" s="23">
        <v>149253.47</v>
      </c>
      <c r="V345" s="23">
        <f t="shared" si="289"/>
        <v>126240.19</v>
      </c>
      <c r="W345" s="23">
        <v>94203.17</v>
      </c>
      <c r="X345" s="23">
        <v>32037.02</v>
      </c>
      <c r="Y345" s="23">
        <f t="shared" si="293"/>
        <v>20791.07</v>
      </c>
      <c r="Z345" s="23">
        <v>15514.77</v>
      </c>
      <c r="AA345" s="23">
        <v>5276.3</v>
      </c>
      <c r="AB345" s="23">
        <f t="shared" si="295"/>
        <v>16085.85</v>
      </c>
      <c r="AC345" s="23">
        <v>12816.75</v>
      </c>
      <c r="AD345" s="23">
        <v>3269.1</v>
      </c>
      <c r="AE345" s="23">
        <f t="shared" si="292"/>
        <v>934105.57999999984</v>
      </c>
      <c r="AF345" s="23"/>
      <c r="AG345" s="26">
        <f t="shared" si="301"/>
        <v>934105.57999999984</v>
      </c>
      <c r="AH345" s="99" t="s">
        <v>585</v>
      </c>
      <c r="AI345" s="28" t="s">
        <v>349</v>
      </c>
      <c r="AJ345" s="29">
        <f>80429.21-9330.69+58258.04-10837.66+67667.13+123564.67+61010.11</f>
        <v>370760.81</v>
      </c>
      <c r="AK345" s="29">
        <f>9330.69+10837.66+23564.38+11634.9</f>
        <v>55367.63</v>
      </c>
    </row>
    <row r="346" spans="1:37" ht="189.75" x14ac:dyDescent="0.3">
      <c r="A346" s="12">
        <v>342</v>
      </c>
      <c r="B346" s="13">
        <v>111775</v>
      </c>
      <c r="C346" s="67">
        <v>364</v>
      </c>
      <c r="D346" s="13" t="s">
        <v>1320</v>
      </c>
      <c r="E346" s="167" t="s">
        <v>165</v>
      </c>
      <c r="F346" s="16" t="s">
        <v>322</v>
      </c>
      <c r="G346" s="251" t="s">
        <v>991</v>
      </c>
      <c r="H346" s="252" t="s">
        <v>992</v>
      </c>
      <c r="I346" s="18" t="s">
        <v>993</v>
      </c>
      <c r="J346" s="240" t="s">
        <v>994</v>
      </c>
      <c r="K346" s="20">
        <v>43346</v>
      </c>
      <c r="L346" s="32">
        <v>43832</v>
      </c>
      <c r="M346" s="21">
        <f t="shared" si="294"/>
        <v>82.30418188922819</v>
      </c>
      <c r="N346" s="14" t="s">
        <v>324</v>
      </c>
      <c r="O346" s="14" t="s">
        <v>222</v>
      </c>
      <c r="P346" s="14" t="s">
        <v>470</v>
      </c>
      <c r="Q346" s="22" t="s">
        <v>326</v>
      </c>
      <c r="R346" s="14" t="s">
        <v>36</v>
      </c>
      <c r="S346" s="23">
        <f t="shared" si="288"/>
        <v>779789.21</v>
      </c>
      <c r="T346" s="23">
        <v>628832.06999999995</v>
      </c>
      <c r="U346" s="23">
        <v>150957.14000000001</v>
      </c>
      <c r="V346" s="23">
        <f t="shared" si="289"/>
        <v>148709.68</v>
      </c>
      <c r="W346" s="23">
        <v>110970.39</v>
      </c>
      <c r="X346" s="23">
        <v>37739.29</v>
      </c>
      <c r="Y346" s="23">
        <f t="shared" si="293"/>
        <v>0</v>
      </c>
      <c r="Z346" s="23"/>
      <c r="AA346" s="23"/>
      <c r="AB346" s="23">
        <f t="shared" si="295"/>
        <v>18948.97</v>
      </c>
      <c r="AC346" s="23">
        <v>15098.01</v>
      </c>
      <c r="AD346" s="23">
        <v>3850.96</v>
      </c>
      <c r="AE346" s="23">
        <f t="shared" si="292"/>
        <v>947447.85999999987</v>
      </c>
      <c r="AF346" s="23">
        <v>0</v>
      </c>
      <c r="AG346" s="26">
        <f t="shared" si="301"/>
        <v>947447.85999999987</v>
      </c>
      <c r="AH346" s="99" t="s">
        <v>585</v>
      </c>
      <c r="AI346" s="28" t="s">
        <v>349</v>
      </c>
      <c r="AJ346" s="29">
        <f>94744.78+10125.98+94121.04-10122.56</f>
        <v>188869.24</v>
      </c>
      <c r="AK346" s="29">
        <f>7252.41+12628.02+15463.44</f>
        <v>35343.870000000003</v>
      </c>
    </row>
    <row r="347" spans="1:37" ht="141.75" x14ac:dyDescent="0.25">
      <c r="A347" s="12">
        <v>343</v>
      </c>
      <c r="B347" s="13">
        <v>112027</v>
      </c>
      <c r="C347" s="67">
        <v>290</v>
      </c>
      <c r="D347" s="13" t="s">
        <v>1320</v>
      </c>
      <c r="E347" s="167" t="s">
        <v>165</v>
      </c>
      <c r="F347" s="16" t="s">
        <v>322</v>
      </c>
      <c r="G347" s="253" t="s">
        <v>998</v>
      </c>
      <c r="H347" s="30" t="s">
        <v>999</v>
      </c>
      <c r="I347" s="18" t="s">
        <v>353</v>
      </c>
      <c r="J347" s="240" t="s">
        <v>1000</v>
      </c>
      <c r="K347" s="20">
        <v>43346</v>
      </c>
      <c r="L347" s="32">
        <v>43832</v>
      </c>
      <c r="M347" s="21">
        <f t="shared" si="294"/>
        <v>82.30418483269878</v>
      </c>
      <c r="N347" s="14" t="s">
        <v>324</v>
      </c>
      <c r="O347" s="14" t="s">
        <v>156</v>
      </c>
      <c r="P347" s="14" t="s">
        <v>156</v>
      </c>
      <c r="Q347" s="22" t="s">
        <v>326</v>
      </c>
      <c r="R347" s="14" t="s">
        <v>36</v>
      </c>
      <c r="S347" s="23">
        <f t="shared" si="288"/>
        <v>765927.6</v>
      </c>
      <c r="T347" s="23">
        <v>617653.87</v>
      </c>
      <c r="U347" s="23">
        <v>148273.73000000001</v>
      </c>
      <c r="V347" s="23">
        <f t="shared" si="289"/>
        <v>146066.19</v>
      </c>
      <c r="W347" s="23">
        <v>108997.75999999999</v>
      </c>
      <c r="X347" s="23">
        <v>37068.43</v>
      </c>
      <c r="Y347" s="23">
        <f t="shared" si="293"/>
        <v>0</v>
      </c>
      <c r="Z347" s="23"/>
      <c r="AA347" s="23"/>
      <c r="AB347" s="23">
        <f t="shared" si="295"/>
        <v>18612.11</v>
      </c>
      <c r="AC347" s="23">
        <v>14829.62</v>
      </c>
      <c r="AD347" s="23">
        <v>3782.49</v>
      </c>
      <c r="AE347" s="23">
        <f t="shared" si="292"/>
        <v>930605.9</v>
      </c>
      <c r="AF347" s="23"/>
      <c r="AG347" s="26">
        <f t="shared" si="301"/>
        <v>930605.9</v>
      </c>
      <c r="AH347" s="99" t="s">
        <v>585</v>
      </c>
      <c r="AI347" s="28" t="s">
        <v>1419</v>
      </c>
      <c r="AJ347" s="29">
        <f>93000-10796.98+67413.16+54893.4+46914.21-9130.88+57010.49</f>
        <v>299303.39999999997</v>
      </c>
      <c r="AK347" s="29">
        <f>10796.98+10468.44+8946.77+9130.88</f>
        <v>39343.07</v>
      </c>
    </row>
    <row r="348" spans="1:37" ht="141.75" x14ac:dyDescent="0.25">
      <c r="A348" s="14">
        <v>344</v>
      </c>
      <c r="B348" s="13">
        <v>112733</v>
      </c>
      <c r="C348" s="67">
        <v>146</v>
      </c>
      <c r="D348" s="13" t="s">
        <v>1320</v>
      </c>
      <c r="E348" s="167" t="s">
        <v>165</v>
      </c>
      <c r="F348" s="16" t="s">
        <v>322</v>
      </c>
      <c r="G348" s="254" t="s">
        <v>1004</v>
      </c>
      <c r="H348" s="30" t="s">
        <v>1005</v>
      </c>
      <c r="I348" s="18" t="s">
        <v>1006</v>
      </c>
      <c r="J348" s="240" t="s">
        <v>1007</v>
      </c>
      <c r="K348" s="20">
        <v>43349</v>
      </c>
      <c r="L348" s="32">
        <v>43835</v>
      </c>
      <c r="M348" s="21">
        <f t="shared" si="294"/>
        <v>82.53318349196968</v>
      </c>
      <c r="N348" s="14" t="s">
        <v>324</v>
      </c>
      <c r="O348" s="14" t="s">
        <v>156</v>
      </c>
      <c r="P348" s="14" t="s">
        <v>156</v>
      </c>
      <c r="Q348" s="22" t="s">
        <v>326</v>
      </c>
      <c r="R348" s="14" t="s">
        <v>36</v>
      </c>
      <c r="S348" s="23">
        <f t="shared" si="288"/>
        <v>819750.19</v>
      </c>
      <c r="T348" s="23">
        <v>661057.13</v>
      </c>
      <c r="U348" s="23">
        <v>158693.06</v>
      </c>
      <c r="V348" s="23">
        <f t="shared" si="289"/>
        <v>134642.41999999998</v>
      </c>
      <c r="W348" s="23">
        <v>100473.09</v>
      </c>
      <c r="X348" s="23">
        <v>34169.33</v>
      </c>
      <c r="Y348" s="23">
        <f t="shared" si="293"/>
        <v>21688.010000000002</v>
      </c>
      <c r="Z348" s="23">
        <v>16184.04</v>
      </c>
      <c r="AA348" s="23">
        <v>5503.97</v>
      </c>
      <c r="AB348" s="23">
        <f t="shared" si="295"/>
        <v>17156.47</v>
      </c>
      <c r="AC348" s="23">
        <v>13669.8</v>
      </c>
      <c r="AD348" s="23">
        <v>3486.67</v>
      </c>
      <c r="AE348" s="23">
        <f t="shared" si="292"/>
        <v>993237.08999999985</v>
      </c>
      <c r="AF348" s="23"/>
      <c r="AG348" s="26">
        <f t="shared" si="301"/>
        <v>993237.08999999985</v>
      </c>
      <c r="AH348" s="99" t="s">
        <v>585</v>
      </c>
      <c r="AI348" s="28" t="s">
        <v>349</v>
      </c>
      <c r="AJ348" s="29">
        <f>85782.36-3113.23+78199.1+6754.09+75351.32</f>
        <v>242973.64</v>
      </c>
      <c r="AK348" s="29">
        <f>12524.47+12068.37</f>
        <v>24592.84</v>
      </c>
    </row>
    <row r="349" spans="1:37" ht="155.25" customHeight="1" x14ac:dyDescent="0.25">
      <c r="A349" s="12">
        <v>345</v>
      </c>
      <c r="B349" s="13">
        <v>111432</v>
      </c>
      <c r="C349" s="67">
        <v>277</v>
      </c>
      <c r="D349" s="13" t="s">
        <v>1074</v>
      </c>
      <c r="E349" s="167" t="s">
        <v>165</v>
      </c>
      <c r="F349" s="16" t="s">
        <v>322</v>
      </c>
      <c r="G349" s="219" t="s">
        <v>1009</v>
      </c>
      <c r="H349" s="30" t="s">
        <v>1008</v>
      </c>
      <c r="I349" s="18" t="s">
        <v>1010</v>
      </c>
      <c r="J349" s="19" t="s">
        <v>1011</v>
      </c>
      <c r="K349" s="20">
        <v>43349</v>
      </c>
      <c r="L349" s="32">
        <v>43836</v>
      </c>
      <c r="M349" s="21">
        <f t="shared" si="294"/>
        <v>82.304186591731991</v>
      </c>
      <c r="N349" s="14" t="s">
        <v>324</v>
      </c>
      <c r="O349" s="14" t="s">
        <v>156</v>
      </c>
      <c r="P349" s="14" t="s">
        <v>156</v>
      </c>
      <c r="Q349" s="22" t="s">
        <v>326</v>
      </c>
      <c r="R349" s="14" t="s">
        <v>36</v>
      </c>
      <c r="S349" s="23">
        <f t="shared" si="288"/>
        <v>811369.98</v>
      </c>
      <c r="T349" s="23">
        <v>654299.19999999995</v>
      </c>
      <c r="U349" s="23">
        <v>157070.78</v>
      </c>
      <c r="V349" s="23">
        <f t="shared" si="289"/>
        <v>154732.24</v>
      </c>
      <c r="W349" s="23">
        <v>115464.55</v>
      </c>
      <c r="X349" s="23">
        <v>39267.69</v>
      </c>
      <c r="Y349" s="23">
        <f t="shared" si="293"/>
        <v>0</v>
      </c>
      <c r="Z349" s="23"/>
      <c r="AA349" s="23"/>
      <c r="AB349" s="23">
        <f t="shared" si="295"/>
        <v>19716.38</v>
      </c>
      <c r="AC349" s="23">
        <v>15709.48</v>
      </c>
      <c r="AD349" s="23">
        <v>4006.9</v>
      </c>
      <c r="AE349" s="23">
        <f t="shared" si="292"/>
        <v>985818.6</v>
      </c>
      <c r="AF349" s="23">
        <v>0</v>
      </c>
      <c r="AG349" s="26">
        <f t="shared" si="301"/>
        <v>985818.6</v>
      </c>
      <c r="AH349" s="27" t="s">
        <v>585</v>
      </c>
      <c r="AI349" s="28" t="s">
        <v>1498</v>
      </c>
      <c r="AJ349" s="29">
        <f>98500+28477.95+215174.75</f>
        <v>342152.7</v>
      </c>
      <c r="AK349" s="29">
        <f>23037.95+41034.92</f>
        <v>64072.869999999995</v>
      </c>
    </row>
    <row r="350" spans="1:37" ht="409.5" x14ac:dyDescent="0.25">
      <c r="A350" s="12">
        <v>346</v>
      </c>
      <c r="B350" s="13">
        <v>112592</v>
      </c>
      <c r="C350" s="35">
        <v>144</v>
      </c>
      <c r="D350" s="13" t="s">
        <v>1074</v>
      </c>
      <c r="E350" s="18" t="s">
        <v>165</v>
      </c>
      <c r="F350" s="16" t="s">
        <v>322</v>
      </c>
      <c r="G350" s="219" t="s">
        <v>1012</v>
      </c>
      <c r="H350" s="30" t="s">
        <v>1013</v>
      </c>
      <c r="I350" s="18" t="s">
        <v>349</v>
      </c>
      <c r="J350" s="240" t="s">
        <v>1014</v>
      </c>
      <c r="K350" s="20">
        <v>43349</v>
      </c>
      <c r="L350" s="32">
        <v>43835</v>
      </c>
      <c r="M350" s="21">
        <f t="shared" si="294"/>
        <v>82.304195666897996</v>
      </c>
      <c r="N350" s="14" t="s">
        <v>324</v>
      </c>
      <c r="O350" s="14" t="s">
        <v>312</v>
      </c>
      <c r="P350" s="14" t="s">
        <v>312</v>
      </c>
      <c r="Q350" s="22" t="s">
        <v>326</v>
      </c>
      <c r="R350" s="246" t="s">
        <v>36</v>
      </c>
      <c r="S350" s="23">
        <f>T350+U350</f>
        <v>809057.98</v>
      </c>
      <c r="T350" s="23">
        <v>652434.75</v>
      </c>
      <c r="U350" s="23">
        <v>156623.23000000001</v>
      </c>
      <c r="V350" s="23">
        <f t="shared" si="289"/>
        <v>154291.24</v>
      </c>
      <c r="W350" s="23">
        <v>115135.49</v>
      </c>
      <c r="X350" s="23">
        <v>39155.75</v>
      </c>
      <c r="Y350" s="23">
        <f t="shared" si="293"/>
        <v>0</v>
      </c>
      <c r="Z350" s="23"/>
      <c r="AA350" s="23"/>
      <c r="AB350" s="23">
        <f t="shared" si="295"/>
        <v>19660.18</v>
      </c>
      <c r="AC350" s="23">
        <v>15664.68</v>
      </c>
      <c r="AD350" s="23">
        <v>3995.5</v>
      </c>
      <c r="AE350" s="23">
        <f t="shared" si="292"/>
        <v>983009.4</v>
      </c>
      <c r="AF350" s="23">
        <v>0</v>
      </c>
      <c r="AG350" s="26">
        <f t="shared" si="301"/>
        <v>983009.4</v>
      </c>
      <c r="AH350" s="99" t="s">
        <v>585</v>
      </c>
      <c r="AI350" s="28" t="s">
        <v>349</v>
      </c>
      <c r="AJ350" s="29">
        <f>98300-13757.23+85896.02+92995.51</f>
        <v>263434.3</v>
      </c>
      <c r="AK350" s="29">
        <f>13757.23+36481</f>
        <v>50238.229999999996</v>
      </c>
    </row>
    <row r="351" spans="1:37" ht="409.5" x14ac:dyDescent="0.25">
      <c r="A351" s="14">
        <v>347</v>
      </c>
      <c r="B351" s="13">
        <v>111141</v>
      </c>
      <c r="C351" s="35">
        <v>312</v>
      </c>
      <c r="D351" s="13" t="s">
        <v>168</v>
      </c>
      <c r="E351" s="18" t="s">
        <v>165</v>
      </c>
      <c r="F351" s="16" t="s">
        <v>322</v>
      </c>
      <c r="G351" s="219" t="s">
        <v>1022</v>
      </c>
      <c r="H351" s="30" t="s">
        <v>1023</v>
      </c>
      <c r="I351" s="18" t="s">
        <v>1024</v>
      </c>
      <c r="J351" s="240" t="s">
        <v>1025</v>
      </c>
      <c r="K351" s="20">
        <v>43349</v>
      </c>
      <c r="L351" s="32">
        <v>43835</v>
      </c>
      <c r="M351" s="21">
        <f t="shared" si="294"/>
        <v>82.850667341734948</v>
      </c>
      <c r="N351" s="14" t="s">
        <v>324</v>
      </c>
      <c r="O351" s="14" t="s">
        <v>312</v>
      </c>
      <c r="P351" s="14" t="s">
        <v>312</v>
      </c>
      <c r="Q351" s="22" t="s">
        <v>326</v>
      </c>
      <c r="R351" s="246" t="s">
        <v>36</v>
      </c>
      <c r="S351" s="23">
        <f t="shared" si="288"/>
        <v>826770.14</v>
      </c>
      <c r="T351" s="23">
        <v>666718.05000000005</v>
      </c>
      <c r="U351" s="23">
        <v>160052.09</v>
      </c>
      <c r="V351" s="23">
        <f t="shared" si="289"/>
        <v>151175.81</v>
      </c>
      <c r="W351" s="23">
        <v>112482.44</v>
      </c>
      <c r="X351" s="23">
        <v>38693.370000000003</v>
      </c>
      <c r="Y351" s="23">
        <f t="shared" si="293"/>
        <v>0</v>
      </c>
      <c r="Z351" s="23"/>
      <c r="AA351" s="23"/>
      <c r="AB351" s="23">
        <f t="shared" si="295"/>
        <v>19958.07</v>
      </c>
      <c r="AC351" s="23">
        <v>15902.06</v>
      </c>
      <c r="AD351" s="23">
        <v>4056.01</v>
      </c>
      <c r="AE351" s="23">
        <f t="shared" si="292"/>
        <v>997904.0199999999</v>
      </c>
      <c r="AF351" s="23">
        <v>0</v>
      </c>
      <c r="AG351" s="26">
        <f t="shared" si="301"/>
        <v>997904.0199999999</v>
      </c>
      <c r="AH351" s="99" t="s">
        <v>585</v>
      </c>
      <c r="AI351" s="28"/>
      <c r="AJ351" s="29">
        <f>99790.4-11343.79+72694.94+14258.38+9077.47+175834.51-9712.84</f>
        <v>350599.07</v>
      </c>
      <c r="AK351" s="29">
        <f>11343.79+2719.14+19935.24+14501.99+9712.84</f>
        <v>58213</v>
      </c>
    </row>
    <row r="352" spans="1:37" ht="409.5" x14ac:dyDescent="0.25">
      <c r="A352" s="12">
        <v>348</v>
      </c>
      <c r="B352" s="13">
        <v>110676</v>
      </c>
      <c r="C352" s="67">
        <v>129</v>
      </c>
      <c r="D352" s="13" t="s">
        <v>1074</v>
      </c>
      <c r="E352" s="18" t="s">
        <v>165</v>
      </c>
      <c r="F352" s="16" t="s">
        <v>322</v>
      </c>
      <c r="G352" s="30" t="s">
        <v>1026</v>
      </c>
      <c r="H352" s="30" t="s">
        <v>1027</v>
      </c>
      <c r="I352" s="18"/>
      <c r="J352" s="240" t="s">
        <v>1028</v>
      </c>
      <c r="K352" s="20">
        <v>43350</v>
      </c>
      <c r="L352" s="32">
        <v>43714</v>
      </c>
      <c r="M352" s="21">
        <f t="shared" si="294"/>
        <v>82.304187429349568</v>
      </c>
      <c r="N352" s="14" t="s">
        <v>324</v>
      </c>
      <c r="O352" s="14" t="s">
        <v>312</v>
      </c>
      <c r="P352" s="14" t="s">
        <v>312</v>
      </c>
      <c r="Q352" s="22" t="s">
        <v>326</v>
      </c>
      <c r="R352" s="246" t="s">
        <v>36</v>
      </c>
      <c r="S352" s="23">
        <f t="shared" si="288"/>
        <v>815129.66</v>
      </c>
      <c r="T352" s="23">
        <v>657331.02</v>
      </c>
      <c r="U352" s="23">
        <v>157798.64000000001</v>
      </c>
      <c r="V352" s="23">
        <f t="shared" si="289"/>
        <v>155449.26</v>
      </c>
      <c r="W352" s="23">
        <v>115999.61</v>
      </c>
      <c r="X352" s="23">
        <v>39449.65</v>
      </c>
      <c r="Y352" s="23">
        <f t="shared" si="293"/>
        <v>0</v>
      </c>
      <c r="Z352" s="23"/>
      <c r="AA352" s="23"/>
      <c r="AB352" s="23">
        <f t="shared" si="295"/>
        <v>19807.7</v>
      </c>
      <c r="AC352" s="23">
        <v>15782.26</v>
      </c>
      <c r="AD352" s="23">
        <v>4025.44</v>
      </c>
      <c r="AE352" s="23">
        <f t="shared" si="292"/>
        <v>990386.62</v>
      </c>
      <c r="AF352" s="23">
        <v>0</v>
      </c>
      <c r="AG352" s="26">
        <f t="shared" si="301"/>
        <v>990386.62</v>
      </c>
      <c r="AH352" s="99" t="s">
        <v>585</v>
      </c>
      <c r="AI352" s="28" t="s">
        <v>1261</v>
      </c>
      <c r="AJ352" s="29">
        <f>97000+74075.05+62367.67+44580.06+31686.87+94967.28+69711.79+88493.46</f>
        <v>562882.17999999993</v>
      </c>
      <c r="AK352" s="29">
        <f>14126.47+15038.55+8501.64+20997.93+13294.37+16876.14</f>
        <v>88835.099999999991</v>
      </c>
    </row>
    <row r="353" spans="1:37" ht="267.75" x14ac:dyDescent="0.25">
      <c r="A353" s="12">
        <v>349</v>
      </c>
      <c r="B353" s="13">
        <v>111475</v>
      </c>
      <c r="C353" s="67">
        <v>168</v>
      </c>
      <c r="D353" s="13" t="s">
        <v>1074</v>
      </c>
      <c r="E353" s="18" t="s">
        <v>165</v>
      </c>
      <c r="F353" s="16" t="s">
        <v>322</v>
      </c>
      <c r="G353" s="219" t="s">
        <v>1037</v>
      </c>
      <c r="H353" s="30" t="s">
        <v>1038</v>
      </c>
      <c r="I353" s="18"/>
      <c r="J353" s="240" t="s">
        <v>1039</v>
      </c>
      <c r="K353" s="20">
        <v>43353</v>
      </c>
      <c r="L353" s="32">
        <v>43839</v>
      </c>
      <c r="M353" s="21">
        <f t="shared" si="294"/>
        <v>82.304180618407059</v>
      </c>
      <c r="N353" s="14" t="s">
        <v>324</v>
      </c>
      <c r="O353" s="14" t="s">
        <v>312</v>
      </c>
      <c r="P353" s="14" t="s">
        <v>312</v>
      </c>
      <c r="Q353" s="22" t="s">
        <v>326</v>
      </c>
      <c r="R353" s="246" t="s">
        <v>36</v>
      </c>
      <c r="S353" s="23">
        <f>T353+U353</f>
        <v>791535.7</v>
      </c>
      <c r="T353" s="23">
        <v>638304.56999999995</v>
      </c>
      <c r="U353" s="23">
        <v>153231.13</v>
      </c>
      <c r="V353" s="23">
        <f t="shared" si="289"/>
        <v>150949.82</v>
      </c>
      <c r="W353" s="23">
        <v>112642</v>
      </c>
      <c r="X353" s="23">
        <v>38307.82</v>
      </c>
      <c r="Y353" s="23">
        <f t="shared" si="293"/>
        <v>0</v>
      </c>
      <c r="Z353" s="23"/>
      <c r="AA353" s="23"/>
      <c r="AB353" s="23">
        <f t="shared" si="295"/>
        <v>19234.400000000001</v>
      </c>
      <c r="AC353" s="23">
        <v>15325.48</v>
      </c>
      <c r="AD353" s="23">
        <v>3908.92</v>
      </c>
      <c r="AE353" s="23">
        <f t="shared" si="292"/>
        <v>961719.92</v>
      </c>
      <c r="AF353" s="23">
        <v>0</v>
      </c>
      <c r="AG353" s="26">
        <f t="shared" si="301"/>
        <v>961719.92</v>
      </c>
      <c r="AH353" s="99" t="s">
        <v>585</v>
      </c>
      <c r="AI353" s="28"/>
      <c r="AJ353" s="29">
        <f>96171.99-8232+51398.18</f>
        <v>139338.17000000001</v>
      </c>
      <c r="AK353" s="29">
        <v>8232</v>
      </c>
    </row>
    <row r="354" spans="1:37" ht="255" x14ac:dyDescent="0.25">
      <c r="A354" s="14">
        <v>350</v>
      </c>
      <c r="B354" s="70">
        <v>118813</v>
      </c>
      <c r="C354" s="255">
        <v>449</v>
      </c>
      <c r="D354" s="14" t="s">
        <v>168</v>
      </c>
      <c r="E354" s="18" t="s">
        <v>1083</v>
      </c>
      <c r="F354" s="75" t="s">
        <v>630</v>
      </c>
      <c r="G354" s="69" t="s">
        <v>1032</v>
      </c>
      <c r="H354" s="70" t="s">
        <v>1033</v>
      </c>
      <c r="I354" s="70" t="s">
        <v>1034</v>
      </c>
      <c r="J354" s="256" t="s">
        <v>1036</v>
      </c>
      <c r="K354" s="257">
        <v>43350</v>
      </c>
      <c r="L354" s="32">
        <v>43896</v>
      </c>
      <c r="M354" s="21">
        <f>S354/AE354*100</f>
        <v>83.983864104012326</v>
      </c>
      <c r="N354" s="14" t="s">
        <v>324</v>
      </c>
      <c r="O354" s="14" t="s">
        <v>312</v>
      </c>
      <c r="P354" s="14" t="s">
        <v>312</v>
      </c>
      <c r="Q354" s="22" t="s">
        <v>157</v>
      </c>
      <c r="R354" s="246" t="s">
        <v>36</v>
      </c>
      <c r="S354" s="23">
        <f>T354+U354</f>
        <v>4865899.0599999996</v>
      </c>
      <c r="T354" s="23">
        <v>3923923.61</v>
      </c>
      <c r="U354" s="23">
        <v>941975.45</v>
      </c>
      <c r="V354" s="23">
        <f t="shared" si="289"/>
        <v>0</v>
      </c>
      <c r="W354" s="23">
        <v>0</v>
      </c>
      <c r="X354" s="23">
        <v>0</v>
      </c>
      <c r="Y354" s="23">
        <f t="shared" si="293"/>
        <v>927950.87999999989</v>
      </c>
      <c r="Z354" s="23">
        <v>692457.08</v>
      </c>
      <c r="AA354" s="23">
        <v>235493.8</v>
      </c>
      <c r="AB354" s="23">
        <f t="shared" si="295"/>
        <v>0</v>
      </c>
      <c r="AC354" s="23"/>
      <c r="AD354" s="23"/>
      <c r="AE354" s="23">
        <f t="shared" si="292"/>
        <v>5793849.9399999995</v>
      </c>
      <c r="AF354" s="23">
        <v>0</v>
      </c>
      <c r="AG354" s="26">
        <f t="shared" si="301"/>
        <v>5793849.9399999995</v>
      </c>
      <c r="AH354" s="99" t="s">
        <v>585</v>
      </c>
      <c r="AI354" s="28" t="s">
        <v>1449</v>
      </c>
      <c r="AJ354" s="29">
        <v>15282.4</v>
      </c>
      <c r="AK354" s="29">
        <v>0</v>
      </c>
    </row>
    <row r="355" spans="1:37" ht="120" x14ac:dyDescent="0.25">
      <c r="A355" s="12">
        <v>351</v>
      </c>
      <c r="B355" s="13">
        <v>110215</v>
      </c>
      <c r="C355" s="67">
        <v>139</v>
      </c>
      <c r="D355" s="13" t="s">
        <v>170</v>
      </c>
      <c r="E355" s="18" t="s">
        <v>165</v>
      </c>
      <c r="F355" s="16" t="s">
        <v>322</v>
      </c>
      <c r="G355" s="69" t="s">
        <v>1043</v>
      </c>
      <c r="H355" s="69" t="s">
        <v>1044</v>
      </c>
      <c r="I355" s="18" t="s">
        <v>349</v>
      </c>
      <c r="J355" s="240" t="s">
        <v>1045</v>
      </c>
      <c r="K355" s="20">
        <v>43357</v>
      </c>
      <c r="L355" s="32">
        <v>43722</v>
      </c>
      <c r="M355" s="21">
        <f t="shared" si="294"/>
        <v>82.304183894733001</v>
      </c>
      <c r="N355" s="14" t="s">
        <v>324</v>
      </c>
      <c r="O355" s="14" t="s">
        <v>1046</v>
      </c>
      <c r="P355" s="14" t="s">
        <v>1046</v>
      </c>
      <c r="Q355" s="22" t="s">
        <v>326</v>
      </c>
      <c r="R355" s="246" t="s">
        <v>36</v>
      </c>
      <c r="S355" s="23">
        <f t="shared" si="288"/>
        <v>799287.37</v>
      </c>
      <c r="T355" s="23">
        <v>644555.61</v>
      </c>
      <c r="U355" s="23">
        <v>154731.76</v>
      </c>
      <c r="V355" s="23">
        <f t="shared" si="289"/>
        <v>152428.06</v>
      </c>
      <c r="W355" s="23">
        <v>113745.12</v>
      </c>
      <c r="X355" s="23">
        <v>38682.94</v>
      </c>
      <c r="Y355" s="23">
        <f>Z355+AA355</f>
        <v>0</v>
      </c>
      <c r="Z355" s="23"/>
      <c r="AA355" s="23"/>
      <c r="AB355" s="23">
        <f>AC355+AD355</f>
        <v>19422.77</v>
      </c>
      <c r="AC355" s="23">
        <v>15475.55</v>
      </c>
      <c r="AD355" s="23">
        <v>3947.22</v>
      </c>
      <c r="AE355" s="23">
        <f t="shared" si="292"/>
        <v>971138.2</v>
      </c>
      <c r="AF355" s="23">
        <v>0</v>
      </c>
      <c r="AG355" s="26">
        <f t="shared" si="301"/>
        <v>971138.2</v>
      </c>
      <c r="AH355" s="99" t="s">
        <v>585</v>
      </c>
      <c r="AI355" s="28" t="s">
        <v>349</v>
      </c>
      <c r="AJ355" s="29">
        <f>97000-12225.11+76329.94+54447.72+71579.61+92674.11</f>
        <v>379806.27</v>
      </c>
      <c r="AK355" s="29">
        <f>12225.11+10383.44+13650.58+17673.4</f>
        <v>53932.530000000006</v>
      </c>
    </row>
    <row r="356" spans="1:37" ht="315" x14ac:dyDescent="0.25">
      <c r="A356" s="12">
        <v>352</v>
      </c>
      <c r="B356" s="13">
        <v>112820</v>
      </c>
      <c r="C356" s="67">
        <v>158</v>
      </c>
      <c r="D356" s="13" t="s">
        <v>1074</v>
      </c>
      <c r="E356" s="18" t="s">
        <v>165</v>
      </c>
      <c r="F356" s="16" t="s">
        <v>322</v>
      </c>
      <c r="G356" s="69" t="s">
        <v>1047</v>
      </c>
      <c r="H356" s="69" t="s">
        <v>1048</v>
      </c>
      <c r="I356" s="18" t="s">
        <v>349</v>
      </c>
      <c r="J356" s="240" t="s">
        <v>1049</v>
      </c>
      <c r="K356" s="20">
        <v>43361</v>
      </c>
      <c r="L356" s="32">
        <v>43847</v>
      </c>
      <c r="M356" s="21">
        <f t="shared" si="294"/>
        <v>82.304190832413511</v>
      </c>
      <c r="N356" s="14" t="s">
        <v>324</v>
      </c>
      <c r="O356" s="14" t="s">
        <v>230</v>
      </c>
      <c r="P356" s="14" t="s">
        <v>1050</v>
      </c>
      <c r="Q356" s="22" t="s">
        <v>326</v>
      </c>
      <c r="R356" s="246" t="s">
        <v>36</v>
      </c>
      <c r="S356" s="23">
        <f t="shared" si="288"/>
        <v>812316.52</v>
      </c>
      <c r="T356" s="23">
        <v>655062.47</v>
      </c>
      <c r="U356" s="23">
        <v>157254.04999999999</v>
      </c>
      <c r="V356" s="23">
        <f t="shared" si="289"/>
        <v>154912.70000000001</v>
      </c>
      <c r="W356" s="23">
        <v>115599.23</v>
      </c>
      <c r="X356" s="23">
        <v>39313.47</v>
      </c>
      <c r="Y356" s="23">
        <f t="shared" si="293"/>
        <v>0</v>
      </c>
      <c r="Z356" s="23"/>
      <c r="AA356" s="23"/>
      <c r="AB356" s="23">
        <f t="shared" si="295"/>
        <v>19739.379999999997</v>
      </c>
      <c r="AC356" s="23">
        <v>15727.8</v>
      </c>
      <c r="AD356" s="23">
        <v>4011.58</v>
      </c>
      <c r="AE356" s="23">
        <f t="shared" si="292"/>
        <v>986968.6</v>
      </c>
      <c r="AF356" s="23"/>
      <c r="AG356" s="26">
        <f t="shared" si="301"/>
        <v>986968.6</v>
      </c>
      <c r="AH356" s="99" t="s">
        <v>585</v>
      </c>
      <c r="AI356" s="28"/>
      <c r="AJ356" s="29">
        <f>98696.6-13570.14+70361.48+98696.6+83943.32</f>
        <v>338127.86</v>
      </c>
      <c r="AK356" s="29">
        <f>13570.14+16082.18+1255.12+14753.28</f>
        <v>45660.72</v>
      </c>
    </row>
    <row r="357" spans="1:37" ht="362.25" x14ac:dyDescent="0.25">
      <c r="A357" s="14">
        <v>353</v>
      </c>
      <c r="B357" s="13">
        <v>111916</v>
      </c>
      <c r="C357" s="67">
        <v>145</v>
      </c>
      <c r="D357" s="13" t="s">
        <v>1074</v>
      </c>
      <c r="E357" s="18" t="s">
        <v>165</v>
      </c>
      <c r="F357" s="16" t="s">
        <v>322</v>
      </c>
      <c r="G357" s="69" t="s">
        <v>1051</v>
      </c>
      <c r="H357" s="69" t="s">
        <v>1052</v>
      </c>
      <c r="I357" s="18" t="s">
        <v>349</v>
      </c>
      <c r="J357" s="240" t="s">
        <v>1053</v>
      </c>
      <c r="K357" s="20">
        <v>43361</v>
      </c>
      <c r="L357" s="32">
        <v>43847</v>
      </c>
      <c r="M357" s="21">
        <f t="shared" si="294"/>
        <v>82.304185955094169</v>
      </c>
      <c r="N357" s="14" t="s">
        <v>324</v>
      </c>
      <c r="O357" s="14" t="s">
        <v>944</v>
      </c>
      <c r="P357" s="14" t="s">
        <v>944</v>
      </c>
      <c r="Q357" s="22" t="s">
        <v>326</v>
      </c>
      <c r="R357" s="246" t="s">
        <v>36</v>
      </c>
      <c r="S357" s="23">
        <f t="shared" si="288"/>
        <v>810699.03</v>
      </c>
      <c r="T357" s="23">
        <v>653758.11</v>
      </c>
      <c r="U357" s="23">
        <v>156940.92000000001</v>
      </c>
      <c r="V357" s="23">
        <f t="shared" si="289"/>
        <v>154604.29</v>
      </c>
      <c r="W357" s="23">
        <v>115369.07</v>
      </c>
      <c r="X357" s="23">
        <v>39235.22</v>
      </c>
      <c r="Y357" s="23">
        <f t="shared" si="293"/>
        <v>0</v>
      </c>
      <c r="Z357" s="23"/>
      <c r="AA357" s="23"/>
      <c r="AB357" s="23">
        <f t="shared" si="295"/>
        <v>19700.080000000002</v>
      </c>
      <c r="AC357" s="23">
        <v>15696.51</v>
      </c>
      <c r="AD357" s="23">
        <v>4003.57</v>
      </c>
      <c r="AE357" s="23">
        <f t="shared" si="292"/>
        <v>985003.4</v>
      </c>
      <c r="AF357" s="23"/>
      <c r="AG357" s="26">
        <f t="shared" si="301"/>
        <v>985003.4</v>
      </c>
      <c r="AH357" s="99" t="s">
        <v>585</v>
      </c>
      <c r="AI357" s="28"/>
      <c r="AJ357" s="29">
        <f>98000+15936.3+98000+14229.11+98000</f>
        <v>324165.40999999997</v>
      </c>
      <c r="AK357" s="29">
        <f>21728.22+21402.65</f>
        <v>43130.87</v>
      </c>
    </row>
    <row r="358" spans="1:37" ht="96" customHeight="1" x14ac:dyDescent="0.25">
      <c r="A358" s="12">
        <v>354</v>
      </c>
      <c r="B358" s="13"/>
      <c r="C358" s="67">
        <v>392</v>
      </c>
      <c r="D358" s="13" t="s">
        <v>168</v>
      </c>
      <c r="E358" s="18" t="s">
        <v>165</v>
      </c>
      <c r="F358" s="16" t="s">
        <v>445</v>
      </c>
      <c r="G358" s="92" t="s">
        <v>1054</v>
      </c>
      <c r="H358" s="94" t="s">
        <v>1055</v>
      </c>
      <c r="I358" s="18" t="s">
        <v>1056</v>
      </c>
      <c r="J358" s="17" t="s">
        <v>1057</v>
      </c>
      <c r="K358" s="20">
        <v>43356</v>
      </c>
      <c r="L358" s="32">
        <v>44012</v>
      </c>
      <c r="M358" s="21">
        <f t="shared" si="294"/>
        <v>83.98386240618575</v>
      </c>
      <c r="N358" s="14" t="s">
        <v>324</v>
      </c>
      <c r="O358" s="14" t="s">
        <v>312</v>
      </c>
      <c r="P358" s="14" t="s">
        <v>312</v>
      </c>
      <c r="Q358" s="22" t="s">
        <v>157</v>
      </c>
      <c r="R358" s="14" t="s">
        <v>36</v>
      </c>
      <c r="S358" s="23">
        <f>T358+U358</f>
        <v>2443303.91</v>
      </c>
      <c r="T358" s="23">
        <v>1970311.71</v>
      </c>
      <c r="U358" s="23">
        <v>472992.2</v>
      </c>
      <c r="V358" s="23">
        <f t="shared" si="289"/>
        <v>0</v>
      </c>
      <c r="W358" s="23">
        <v>0</v>
      </c>
      <c r="X358" s="23">
        <v>0</v>
      </c>
      <c r="Y358" s="23">
        <f>Z358+AA358</f>
        <v>465950.13</v>
      </c>
      <c r="Z358" s="23">
        <v>347702.1</v>
      </c>
      <c r="AA358" s="23">
        <v>118248.03</v>
      </c>
      <c r="AB358" s="23">
        <f t="shared" si="295"/>
        <v>0</v>
      </c>
      <c r="AC358" s="23">
        <v>0</v>
      </c>
      <c r="AD358" s="23">
        <v>0</v>
      </c>
      <c r="AE358" s="23">
        <f t="shared" si="292"/>
        <v>2909254.04</v>
      </c>
      <c r="AF358" s="23"/>
      <c r="AG358" s="26">
        <f t="shared" si="301"/>
        <v>2909254.04</v>
      </c>
      <c r="AH358" s="99" t="s">
        <v>585</v>
      </c>
      <c r="AI358" s="28"/>
      <c r="AJ358" s="29">
        <f>23394.54+31870.76</f>
        <v>55265.3</v>
      </c>
      <c r="AK358" s="29">
        <v>0</v>
      </c>
    </row>
    <row r="359" spans="1:37" ht="141.75" x14ac:dyDescent="0.25">
      <c r="A359" s="12">
        <v>355</v>
      </c>
      <c r="B359" s="13">
        <v>109770</v>
      </c>
      <c r="C359" s="67">
        <v>300</v>
      </c>
      <c r="D359" s="13" t="s">
        <v>1320</v>
      </c>
      <c r="E359" s="18" t="s">
        <v>165</v>
      </c>
      <c r="F359" s="16" t="s">
        <v>322</v>
      </c>
      <c r="G359" s="92" t="s">
        <v>1058</v>
      </c>
      <c r="H359" s="30" t="s">
        <v>1059</v>
      </c>
      <c r="I359" s="18" t="s">
        <v>349</v>
      </c>
      <c r="J359" s="240" t="s">
        <v>1060</v>
      </c>
      <c r="K359" s="20">
        <v>43362</v>
      </c>
      <c r="L359" s="32">
        <v>43848</v>
      </c>
      <c r="M359" s="21">
        <f t="shared" si="294"/>
        <v>82.304184197970017</v>
      </c>
      <c r="N359" s="14" t="s">
        <v>324</v>
      </c>
      <c r="O359" s="14" t="s">
        <v>312</v>
      </c>
      <c r="P359" s="14" t="s">
        <v>312</v>
      </c>
      <c r="Q359" s="22" t="s">
        <v>326</v>
      </c>
      <c r="R359" s="14" t="s">
        <v>36</v>
      </c>
      <c r="S359" s="23">
        <f t="shared" si="288"/>
        <v>786369.83000000007</v>
      </c>
      <c r="T359" s="23">
        <v>634138.80000000005</v>
      </c>
      <c r="U359" s="23">
        <v>152231.03</v>
      </c>
      <c r="V359" s="23">
        <f t="shared" si="289"/>
        <v>149964.62</v>
      </c>
      <c r="W359" s="23">
        <v>111906.86</v>
      </c>
      <c r="X359" s="23">
        <v>38057.760000000002</v>
      </c>
      <c r="Y359" s="23">
        <f t="shared" si="293"/>
        <v>0</v>
      </c>
      <c r="Z359" s="23"/>
      <c r="AA359" s="23"/>
      <c r="AB359" s="23">
        <f t="shared" si="295"/>
        <v>19108.870000000003</v>
      </c>
      <c r="AC359" s="23">
        <v>15225.37</v>
      </c>
      <c r="AD359" s="23">
        <v>3883.5</v>
      </c>
      <c r="AE359" s="23">
        <f t="shared" si="292"/>
        <v>955443.32000000007</v>
      </c>
      <c r="AF359" s="23"/>
      <c r="AG359" s="26">
        <f t="shared" si="301"/>
        <v>955443.32000000007</v>
      </c>
      <c r="AH359" s="99" t="s">
        <v>585</v>
      </c>
      <c r="AI359" s="28"/>
      <c r="AJ359" s="29">
        <f>95544.32-8902.54+79756.49+100684.35-11646.04+72714.4+13739.52</f>
        <v>341890.5</v>
      </c>
      <c r="AK359" s="29">
        <f>13512.19+19201.01+11646.04+10486.67</f>
        <v>54845.909999999996</v>
      </c>
    </row>
    <row r="360" spans="1:37" ht="141.75" x14ac:dyDescent="0.25">
      <c r="A360" s="14">
        <v>356</v>
      </c>
      <c r="B360" s="13">
        <v>112155</v>
      </c>
      <c r="C360" s="67">
        <v>224</v>
      </c>
      <c r="D360" s="13" t="s">
        <v>172</v>
      </c>
      <c r="E360" s="18" t="s">
        <v>165</v>
      </c>
      <c r="F360" s="16" t="s">
        <v>322</v>
      </c>
      <c r="G360" s="92" t="s">
        <v>1061</v>
      </c>
      <c r="H360" s="30" t="s">
        <v>1062</v>
      </c>
      <c r="I360" s="18" t="s">
        <v>1063</v>
      </c>
      <c r="J360" s="240" t="s">
        <v>1064</v>
      </c>
      <c r="K360" s="20">
        <v>43362</v>
      </c>
      <c r="L360" s="32">
        <v>43848</v>
      </c>
      <c r="M360" s="21">
        <f t="shared" si="294"/>
        <v>82.838169366221436</v>
      </c>
      <c r="N360" s="14" t="s">
        <v>324</v>
      </c>
      <c r="O360" s="14" t="s">
        <v>944</v>
      </c>
      <c r="P360" s="14" t="s">
        <v>944</v>
      </c>
      <c r="Q360" s="22" t="s">
        <v>326</v>
      </c>
      <c r="R360" s="14" t="s">
        <v>36</v>
      </c>
      <c r="S360" s="23">
        <f t="shared" si="288"/>
        <v>821979.66999999993</v>
      </c>
      <c r="T360" s="23">
        <v>662854.99</v>
      </c>
      <c r="U360" s="23">
        <v>159124.68</v>
      </c>
      <c r="V360" s="23">
        <f t="shared" si="289"/>
        <v>150446.51999999999</v>
      </c>
      <c r="W360" s="23">
        <v>111947.54</v>
      </c>
      <c r="X360" s="23">
        <v>38498.980000000003</v>
      </c>
      <c r="Y360" s="23">
        <f t="shared" si="293"/>
        <v>6308.99</v>
      </c>
      <c r="Z360" s="23">
        <v>5026.83</v>
      </c>
      <c r="AA360" s="23">
        <v>1282.1600000000001</v>
      </c>
      <c r="AB360" s="23">
        <f t="shared" si="295"/>
        <v>13536.47</v>
      </c>
      <c r="AC360" s="23">
        <v>10785.47</v>
      </c>
      <c r="AD360" s="23">
        <v>2751</v>
      </c>
      <c r="AE360" s="23">
        <f t="shared" si="292"/>
        <v>992271.64999999991</v>
      </c>
      <c r="AF360" s="23"/>
      <c r="AG360" s="26">
        <f t="shared" si="301"/>
        <v>992271.64999999991</v>
      </c>
      <c r="AH360" s="99" t="s">
        <v>585</v>
      </c>
      <c r="AI360" s="28"/>
      <c r="AJ360" s="29">
        <f>99227.15-8607.73-3982.27</f>
        <v>86637.15</v>
      </c>
      <c r="AK360" s="29">
        <f>8607.73+3982.27</f>
        <v>12590</v>
      </c>
    </row>
    <row r="361" spans="1:37" ht="409.5" x14ac:dyDescent="0.25">
      <c r="A361" s="12">
        <v>357</v>
      </c>
      <c r="B361" s="13">
        <v>111612</v>
      </c>
      <c r="C361" s="67">
        <v>153</v>
      </c>
      <c r="D361" s="13" t="s">
        <v>1074</v>
      </c>
      <c r="E361" s="18" t="s">
        <v>165</v>
      </c>
      <c r="F361" s="16" t="s">
        <v>322</v>
      </c>
      <c r="G361" s="30" t="s">
        <v>1069</v>
      </c>
      <c r="H361" s="30" t="s">
        <v>1070</v>
      </c>
      <c r="I361" s="18" t="s">
        <v>1071</v>
      </c>
      <c r="J361" s="240" t="s">
        <v>1072</v>
      </c>
      <c r="K361" s="20">
        <v>43371</v>
      </c>
      <c r="L361" s="32">
        <v>43796</v>
      </c>
      <c r="M361" s="21">
        <f>S361/AE361*100</f>
        <v>82.304183068176116</v>
      </c>
      <c r="N361" s="14" t="s">
        <v>324</v>
      </c>
      <c r="O361" s="14" t="s">
        <v>312</v>
      </c>
      <c r="P361" s="14" t="s">
        <v>312</v>
      </c>
      <c r="Q361" s="22" t="s">
        <v>326</v>
      </c>
      <c r="R361" s="14" t="s">
        <v>36</v>
      </c>
      <c r="S361" s="23">
        <f t="shared" ref="S361:S375" si="302">T361+U361</f>
        <v>719578.88</v>
      </c>
      <c r="T361" s="23">
        <v>580277.67000000004</v>
      </c>
      <c r="U361" s="23">
        <v>139301.21</v>
      </c>
      <c r="V361" s="23">
        <f t="shared" ref="V361:V375" si="303">W361+X361</f>
        <v>137227.27000000002</v>
      </c>
      <c r="W361" s="23">
        <v>102401.97</v>
      </c>
      <c r="X361" s="23">
        <v>34825.300000000003</v>
      </c>
      <c r="Y361" s="23">
        <f t="shared" ref="Y361:Y375" si="304">Z361+AA361</f>
        <v>0</v>
      </c>
      <c r="Z361" s="23">
        <v>0</v>
      </c>
      <c r="AA361" s="23">
        <v>0</v>
      </c>
      <c r="AB361" s="23">
        <f t="shared" ref="AB361:AB375" si="305">AC361+AD361</f>
        <v>17485.84</v>
      </c>
      <c r="AC361" s="23">
        <v>13932.24</v>
      </c>
      <c r="AD361" s="23">
        <v>3553.6</v>
      </c>
      <c r="AE361" s="23">
        <f t="shared" ref="AE361:AE375" si="306">S361+V361+Y361+AB361</f>
        <v>874291.99</v>
      </c>
      <c r="AF361" s="23"/>
      <c r="AG361" s="26">
        <f t="shared" si="301"/>
        <v>874291.99</v>
      </c>
      <c r="AH361" s="99" t="s">
        <v>585</v>
      </c>
      <c r="AI361" s="28"/>
      <c r="AJ361" s="29">
        <f>87429.19-11092.62+65731.05+20127.08</f>
        <v>162194.70000000001</v>
      </c>
      <c r="AK361" s="29">
        <f>11092.62+3838.33</f>
        <v>14930.95</v>
      </c>
    </row>
    <row r="362" spans="1:37" ht="390" customHeight="1" x14ac:dyDescent="0.25">
      <c r="A362" s="12">
        <v>358</v>
      </c>
      <c r="B362" s="13">
        <v>110058</v>
      </c>
      <c r="C362" s="67">
        <v>302</v>
      </c>
      <c r="D362" s="13" t="s">
        <v>1074</v>
      </c>
      <c r="E362" s="18" t="s">
        <v>165</v>
      </c>
      <c r="F362" s="16" t="s">
        <v>322</v>
      </c>
      <c r="G362" s="92" t="s">
        <v>1075</v>
      </c>
      <c r="H362" s="30" t="s">
        <v>1076</v>
      </c>
      <c r="I362" s="18" t="s">
        <v>1077</v>
      </c>
      <c r="J362" s="19" t="s">
        <v>1078</v>
      </c>
      <c r="K362" s="20">
        <v>43370</v>
      </c>
      <c r="L362" s="32">
        <v>43857</v>
      </c>
      <c r="M362" s="21">
        <f>S362/AE362*100</f>
        <v>82.767157561916832</v>
      </c>
      <c r="N362" s="14" t="s">
        <v>324</v>
      </c>
      <c r="O362" s="14" t="s">
        <v>312</v>
      </c>
      <c r="P362" s="14" t="s">
        <v>312</v>
      </c>
      <c r="Q362" s="22" t="s">
        <v>326</v>
      </c>
      <c r="R362" s="14" t="s">
        <v>36</v>
      </c>
      <c r="S362" s="23">
        <f t="shared" si="302"/>
        <v>803873.75</v>
      </c>
      <c r="T362" s="23">
        <v>648254.14</v>
      </c>
      <c r="U362" s="23">
        <v>155619.60999999999</v>
      </c>
      <c r="V362" s="23">
        <f t="shared" si="303"/>
        <v>147948.57</v>
      </c>
      <c r="W362" s="23">
        <v>110131.78</v>
      </c>
      <c r="X362" s="23">
        <v>37816.79</v>
      </c>
      <c r="Y362" s="23">
        <f t="shared" si="304"/>
        <v>0</v>
      </c>
      <c r="Z362" s="23"/>
      <c r="AA362" s="23"/>
      <c r="AB362" s="23">
        <f t="shared" si="305"/>
        <v>19424.939999999999</v>
      </c>
      <c r="AC362" s="23">
        <v>15477.26</v>
      </c>
      <c r="AD362" s="23">
        <v>3947.68</v>
      </c>
      <c r="AE362" s="23">
        <f t="shared" si="306"/>
        <v>971247.26</v>
      </c>
      <c r="AF362" s="37"/>
      <c r="AG362" s="26">
        <f t="shared" si="301"/>
        <v>971247.26</v>
      </c>
      <c r="AH362" s="99" t="s">
        <v>585</v>
      </c>
      <c r="AI362" s="28"/>
      <c r="AJ362" s="29">
        <f>97124.72-2315.04+144614.75+20673.18</f>
        <v>260097.61</v>
      </c>
      <c r="AK362" s="29">
        <f>2315.04+24491.87+3942.46</f>
        <v>30749.37</v>
      </c>
    </row>
    <row r="363" spans="1:37" ht="390" customHeight="1" x14ac:dyDescent="0.25">
      <c r="A363" s="14">
        <v>359</v>
      </c>
      <c r="B363" s="13">
        <v>111482</v>
      </c>
      <c r="C363" s="67">
        <v>133</v>
      </c>
      <c r="D363" s="13" t="s">
        <v>1074</v>
      </c>
      <c r="E363" s="18" t="s">
        <v>165</v>
      </c>
      <c r="F363" s="16" t="s">
        <v>322</v>
      </c>
      <c r="G363" s="30" t="s">
        <v>1086</v>
      </c>
      <c r="H363" s="30" t="s">
        <v>1085</v>
      </c>
      <c r="I363" s="18" t="s">
        <v>1087</v>
      </c>
      <c r="J363" s="19" t="s">
        <v>1088</v>
      </c>
      <c r="K363" s="20">
        <v>43376</v>
      </c>
      <c r="L363" s="32">
        <v>43864</v>
      </c>
      <c r="M363" s="21">
        <f t="shared" ref="M363:M375" si="307">S363/AE363*100</f>
        <v>82.928005929547282</v>
      </c>
      <c r="N363" s="14" t="s">
        <v>324</v>
      </c>
      <c r="O363" s="14" t="s">
        <v>303</v>
      </c>
      <c r="P363" s="14" t="s">
        <v>1089</v>
      </c>
      <c r="Q363" s="22" t="s">
        <v>326</v>
      </c>
      <c r="R363" s="14" t="s">
        <v>36</v>
      </c>
      <c r="S363" s="23">
        <f t="shared" si="302"/>
        <v>795878.74</v>
      </c>
      <c r="T363" s="23">
        <v>641806.86</v>
      </c>
      <c r="U363" s="23">
        <v>154071.88</v>
      </c>
      <c r="V363" s="23">
        <f t="shared" si="303"/>
        <v>144649.33000000002</v>
      </c>
      <c r="W363" s="23">
        <v>107580.1</v>
      </c>
      <c r="X363" s="23">
        <v>37069.230000000003</v>
      </c>
      <c r="Y363" s="23">
        <f t="shared" si="304"/>
        <v>0</v>
      </c>
      <c r="Z363" s="23"/>
      <c r="AA363" s="23"/>
      <c r="AB363" s="23">
        <f t="shared" si="305"/>
        <v>19194.440000000002</v>
      </c>
      <c r="AC363" s="23">
        <v>15293.61</v>
      </c>
      <c r="AD363" s="23">
        <v>3900.83</v>
      </c>
      <c r="AE363" s="23">
        <f t="shared" si="306"/>
        <v>959722.51</v>
      </c>
      <c r="AF363" s="37"/>
      <c r="AG363" s="26">
        <f t="shared" si="301"/>
        <v>959722.51</v>
      </c>
      <c r="AH363" s="99" t="s">
        <v>871</v>
      </c>
      <c r="AI363" s="28"/>
      <c r="AJ363" s="29">
        <f>94052.8+22014.67+75007.09-1587.76+90621.42+42244.56</f>
        <v>322352.77999999997</v>
      </c>
      <c r="AK363" s="29">
        <f>7963.77+14304.23+1587.76+10820.01+19519.35</f>
        <v>54195.119999999995</v>
      </c>
    </row>
    <row r="364" spans="1:37" ht="390" customHeight="1" x14ac:dyDescent="0.25">
      <c r="A364" s="12">
        <v>360</v>
      </c>
      <c r="B364" s="13">
        <v>112266</v>
      </c>
      <c r="C364" s="67">
        <v>310</v>
      </c>
      <c r="D364" s="13" t="s">
        <v>168</v>
      </c>
      <c r="E364" s="18" t="s">
        <v>165</v>
      </c>
      <c r="F364" s="16" t="s">
        <v>322</v>
      </c>
      <c r="G364" s="30" t="s">
        <v>1090</v>
      </c>
      <c r="H364" s="30" t="s">
        <v>1091</v>
      </c>
      <c r="I364" s="18" t="s">
        <v>1092</v>
      </c>
      <c r="J364" s="19" t="s">
        <v>1093</v>
      </c>
      <c r="K364" s="20">
        <v>43376</v>
      </c>
      <c r="L364" s="32">
        <v>43801</v>
      </c>
      <c r="M364" s="21">
        <f t="shared" si="307"/>
        <v>83.010839519489394</v>
      </c>
      <c r="N364" s="14" t="s">
        <v>324</v>
      </c>
      <c r="O364" s="14" t="s">
        <v>312</v>
      </c>
      <c r="P364" s="14" t="s">
        <v>312</v>
      </c>
      <c r="Q364" s="22" t="s">
        <v>157</v>
      </c>
      <c r="R364" s="14" t="s">
        <v>36</v>
      </c>
      <c r="S364" s="23">
        <f t="shared" si="302"/>
        <v>830076.27</v>
      </c>
      <c r="T364" s="23">
        <v>669384.21</v>
      </c>
      <c r="U364" s="23">
        <v>160692.06</v>
      </c>
      <c r="V364" s="23">
        <f t="shared" si="303"/>
        <v>149885.79999999999</v>
      </c>
      <c r="W364" s="23">
        <v>111422.7</v>
      </c>
      <c r="X364" s="23">
        <v>38463.1</v>
      </c>
      <c r="Y364" s="23">
        <f t="shared" si="304"/>
        <v>0</v>
      </c>
      <c r="Z364" s="23"/>
      <c r="AA364" s="23"/>
      <c r="AB364" s="23">
        <f t="shared" si="305"/>
        <v>19999.23</v>
      </c>
      <c r="AC364" s="23">
        <v>15934.82</v>
      </c>
      <c r="AD364" s="23">
        <v>4064.41</v>
      </c>
      <c r="AE364" s="23">
        <f t="shared" si="306"/>
        <v>999961.3</v>
      </c>
      <c r="AF364" s="37"/>
      <c r="AG364" s="26">
        <f t="shared" si="301"/>
        <v>999961.3</v>
      </c>
      <c r="AH364" s="99" t="s">
        <v>871</v>
      </c>
      <c r="AI364" s="28"/>
      <c r="AJ364" s="29">
        <f>99996.13-6665.57+73099.14-794.96+84527.06+94015.05</f>
        <v>344176.85000000003</v>
      </c>
      <c r="AK364" s="29">
        <f>11707.76+14823.26+16781.91</f>
        <v>43312.93</v>
      </c>
    </row>
    <row r="365" spans="1:37" ht="390" customHeight="1" x14ac:dyDescent="0.25">
      <c r="A365" s="12">
        <v>361</v>
      </c>
      <c r="B365" s="13">
        <v>118704</v>
      </c>
      <c r="C365" s="67">
        <v>434</v>
      </c>
      <c r="D365" s="13" t="s">
        <v>172</v>
      </c>
      <c r="E365" s="18" t="s">
        <v>1083</v>
      </c>
      <c r="F365" s="75" t="s">
        <v>630</v>
      </c>
      <c r="G365" s="92" t="s">
        <v>1094</v>
      </c>
      <c r="H365" s="30" t="s">
        <v>1095</v>
      </c>
      <c r="I365" s="18" t="s">
        <v>353</v>
      </c>
      <c r="J365" s="19" t="s">
        <v>1096</v>
      </c>
      <c r="K365" s="20">
        <v>43389</v>
      </c>
      <c r="L365" s="32">
        <v>43846</v>
      </c>
      <c r="M365" s="21">
        <f t="shared" si="307"/>
        <v>83.983864465105967</v>
      </c>
      <c r="N365" s="14" t="s">
        <v>324</v>
      </c>
      <c r="O365" s="14" t="s">
        <v>312</v>
      </c>
      <c r="P365" s="14" t="s">
        <v>312</v>
      </c>
      <c r="Q365" s="22" t="s">
        <v>157</v>
      </c>
      <c r="R365" s="246" t="s">
        <v>36</v>
      </c>
      <c r="S365" s="23">
        <f t="shared" si="302"/>
        <v>1448623.93</v>
      </c>
      <c r="T365" s="23">
        <v>1168188.98</v>
      </c>
      <c r="U365" s="23">
        <v>280434.95</v>
      </c>
      <c r="V365" s="23">
        <f t="shared" si="303"/>
        <v>0</v>
      </c>
      <c r="W365" s="23">
        <v>0</v>
      </c>
      <c r="X365" s="23">
        <v>0</v>
      </c>
      <c r="Y365" s="23">
        <f>Z365+AA365</f>
        <v>0</v>
      </c>
      <c r="Z365" s="23">
        <v>0</v>
      </c>
      <c r="AA365" s="23">
        <v>0</v>
      </c>
      <c r="AB365" s="23">
        <f>AC365+AD365</f>
        <v>276259.7</v>
      </c>
      <c r="AC365" s="23">
        <v>206150.96</v>
      </c>
      <c r="AD365" s="23">
        <v>70108.740000000005</v>
      </c>
      <c r="AE365" s="23">
        <f t="shared" si="306"/>
        <v>1724883.63</v>
      </c>
      <c r="AF365" s="37">
        <v>458944.63</v>
      </c>
      <c r="AG365" s="26">
        <f t="shared" si="301"/>
        <v>2183828.2599999998</v>
      </c>
      <c r="AH365" s="99" t="s">
        <v>871</v>
      </c>
      <c r="AI365" s="28" t="s">
        <v>1292</v>
      </c>
      <c r="AJ365" s="29">
        <v>88271.18</v>
      </c>
      <c r="AK365" s="29">
        <v>0</v>
      </c>
    </row>
    <row r="366" spans="1:37" ht="288.75" customHeight="1" x14ac:dyDescent="0.25">
      <c r="A366" s="14">
        <v>362</v>
      </c>
      <c r="B366" s="13">
        <v>111265</v>
      </c>
      <c r="C366" s="67">
        <v>156</v>
      </c>
      <c r="D366" s="13" t="s">
        <v>1074</v>
      </c>
      <c r="E366" s="18" t="s">
        <v>165</v>
      </c>
      <c r="F366" s="16" t="s">
        <v>322</v>
      </c>
      <c r="G366" s="92" t="s">
        <v>1102</v>
      </c>
      <c r="H366" s="30" t="s">
        <v>1130</v>
      </c>
      <c r="I366" s="18" t="s">
        <v>1103</v>
      </c>
      <c r="J366" s="19" t="s">
        <v>1104</v>
      </c>
      <c r="K366" s="20">
        <v>43390</v>
      </c>
      <c r="L366" s="32">
        <v>43877</v>
      </c>
      <c r="M366" s="21">
        <f t="shared" si="307"/>
        <v>82.30418508577705</v>
      </c>
      <c r="N366" s="14" t="s">
        <v>324</v>
      </c>
      <c r="O366" s="14" t="s">
        <v>270</v>
      </c>
      <c r="P366" s="14" t="s">
        <v>270</v>
      </c>
      <c r="Q366" s="22" t="s">
        <v>326</v>
      </c>
      <c r="R366" s="14" t="s">
        <v>36</v>
      </c>
      <c r="S366" s="23">
        <f t="shared" si="302"/>
        <v>800497.5</v>
      </c>
      <c r="T366" s="23">
        <v>645531.51</v>
      </c>
      <c r="U366" s="23">
        <v>154965.99</v>
      </c>
      <c r="V366" s="23">
        <f t="shared" si="303"/>
        <v>152658.83000000002</v>
      </c>
      <c r="W366" s="23">
        <v>113917.32</v>
      </c>
      <c r="X366" s="23">
        <v>38741.51</v>
      </c>
      <c r="Y366" s="23">
        <f t="shared" si="304"/>
        <v>0</v>
      </c>
      <c r="Z366" s="23"/>
      <c r="AA366" s="23"/>
      <c r="AB366" s="23">
        <f t="shared" si="305"/>
        <v>19452.170000000002</v>
      </c>
      <c r="AC366" s="23">
        <v>15498.95</v>
      </c>
      <c r="AD366" s="23">
        <v>3953.22</v>
      </c>
      <c r="AE366" s="23">
        <f t="shared" si="306"/>
        <v>972608.50000000012</v>
      </c>
      <c r="AF366" s="37"/>
      <c r="AG366" s="26">
        <f t="shared" si="301"/>
        <v>972608.50000000012</v>
      </c>
      <c r="AH366" s="99" t="s">
        <v>871</v>
      </c>
      <c r="AI366" s="28"/>
      <c r="AJ366" s="29">
        <f>65068.03-7463.91+95685.5-844.43</f>
        <v>152445.19</v>
      </c>
      <c r="AK366" s="29">
        <f>10985.39+18086.66</f>
        <v>29072.05</v>
      </c>
    </row>
    <row r="367" spans="1:37" ht="390" customHeight="1" x14ac:dyDescent="0.25">
      <c r="A367" s="12">
        <v>363</v>
      </c>
      <c r="B367" s="13">
        <v>112719</v>
      </c>
      <c r="C367" s="67">
        <v>287</v>
      </c>
      <c r="D367" s="13" t="s">
        <v>1320</v>
      </c>
      <c r="E367" s="18" t="s">
        <v>165</v>
      </c>
      <c r="F367" s="16" t="s">
        <v>322</v>
      </c>
      <c r="G367" s="258" t="s">
        <v>1114</v>
      </c>
      <c r="H367" s="30" t="s">
        <v>1115</v>
      </c>
      <c r="I367" s="18" t="s">
        <v>1116</v>
      </c>
      <c r="J367" s="19" t="s">
        <v>1117</v>
      </c>
      <c r="K367" s="20">
        <v>43399</v>
      </c>
      <c r="L367" s="32">
        <v>43886</v>
      </c>
      <c r="M367" s="21">
        <f t="shared" si="307"/>
        <v>82.304184463081299</v>
      </c>
      <c r="N367" s="14" t="s">
        <v>324</v>
      </c>
      <c r="O367" s="14" t="s">
        <v>156</v>
      </c>
      <c r="P367" s="14" t="s">
        <v>156</v>
      </c>
      <c r="Q367" s="22" t="s">
        <v>326</v>
      </c>
      <c r="R367" s="14" t="s">
        <v>36</v>
      </c>
      <c r="S367" s="23">
        <f t="shared" si="302"/>
        <v>780735</v>
      </c>
      <c r="T367" s="23">
        <v>629594.75</v>
      </c>
      <c r="U367" s="23">
        <v>151140.25</v>
      </c>
      <c r="V367" s="23">
        <f t="shared" si="303"/>
        <v>148890.03999999998</v>
      </c>
      <c r="W367" s="23">
        <v>111105.01</v>
      </c>
      <c r="X367" s="23">
        <v>37785.03</v>
      </c>
      <c r="Y367" s="23">
        <f>Z367+AA367</f>
        <v>0</v>
      </c>
      <c r="Z367" s="23"/>
      <c r="AA367" s="23"/>
      <c r="AB367" s="23">
        <f>AC367+AD367</f>
        <v>18971.93</v>
      </c>
      <c r="AC367" s="23">
        <v>15116.28</v>
      </c>
      <c r="AD367" s="23">
        <v>3855.65</v>
      </c>
      <c r="AE367" s="23">
        <f t="shared" si="306"/>
        <v>948596.97000000009</v>
      </c>
      <c r="AF367" s="37"/>
      <c r="AG367" s="26">
        <f t="shared" si="301"/>
        <v>948596.97000000009</v>
      </c>
      <c r="AH367" s="99" t="s">
        <v>871</v>
      </c>
      <c r="AI367" s="28"/>
      <c r="AJ367" s="29">
        <f>60847.25+46274.32+74884.92+83101.32+62784.42</f>
        <v>327892.23</v>
      </c>
      <c r="AK367" s="29">
        <f>12128.97+6500.12+15847.83+9982.54</f>
        <v>44459.46</v>
      </c>
    </row>
    <row r="368" spans="1:37" ht="390" customHeight="1" x14ac:dyDescent="0.25">
      <c r="A368" s="12">
        <v>364</v>
      </c>
      <c r="B368" s="13">
        <v>112591</v>
      </c>
      <c r="C368" s="67">
        <v>205</v>
      </c>
      <c r="D368" s="13" t="s">
        <v>172</v>
      </c>
      <c r="E368" s="18" t="s">
        <v>165</v>
      </c>
      <c r="F368" s="16" t="s">
        <v>322</v>
      </c>
      <c r="G368" s="258" t="s">
        <v>1118</v>
      </c>
      <c r="H368" s="30" t="s">
        <v>1119</v>
      </c>
      <c r="I368" s="18" t="s">
        <v>1121</v>
      </c>
      <c r="J368" s="19" t="s">
        <v>1120</v>
      </c>
      <c r="K368" s="20">
        <v>43404</v>
      </c>
      <c r="L368" s="32">
        <v>43890</v>
      </c>
      <c r="M368" s="21">
        <f t="shared" si="307"/>
        <v>82.304184436387899</v>
      </c>
      <c r="N368" s="14" t="s">
        <v>324</v>
      </c>
      <c r="O368" s="14" t="s">
        <v>312</v>
      </c>
      <c r="P368" s="14" t="s">
        <v>312</v>
      </c>
      <c r="Q368" s="22" t="s">
        <v>326</v>
      </c>
      <c r="R368" s="14" t="s">
        <v>36</v>
      </c>
      <c r="S368" s="23">
        <f t="shared" si="302"/>
        <v>767059.32000000007</v>
      </c>
      <c r="T368" s="23">
        <v>618566.51</v>
      </c>
      <c r="U368" s="23">
        <v>148492.81</v>
      </c>
      <c r="V368" s="23">
        <f t="shared" si="303"/>
        <v>146282.01</v>
      </c>
      <c r="W368" s="23">
        <v>109158.81</v>
      </c>
      <c r="X368" s="23">
        <v>37123.199999999997</v>
      </c>
      <c r="Y368" s="23">
        <f t="shared" si="304"/>
        <v>0</v>
      </c>
      <c r="Z368" s="23"/>
      <c r="AA368" s="23"/>
      <c r="AB368" s="23">
        <f t="shared" si="305"/>
        <v>18639.620000000003</v>
      </c>
      <c r="AC368" s="23">
        <v>14851.54</v>
      </c>
      <c r="AD368" s="23">
        <v>3788.08</v>
      </c>
      <c r="AE368" s="23">
        <f t="shared" si="306"/>
        <v>931980.95000000007</v>
      </c>
      <c r="AF368" s="37"/>
      <c r="AG368" s="26">
        <f t="shared" si="301"/>
        <v>931980.95000000007</v>
      </c>
      <c r="AH368" s="99" t="s">
        <v>871</v>
      </c>
      <c r="AI368" s="28" t="s">
        <v>1384</v>
      </c>
      <c r="AJ368" s="29">
        <f>91333+58281.04</f>
        <v>149614.04</v>
      </c>
      <c r="AK368" s="29">
        <v>11290.14</v>
      </c>
    </row>
    <row r="369" spans="1:37" ht="390" customHeight="1" x14ac:dyDescent="0.25">
      <c r="A369" s="14">
        <v>365</v>
      </c>
      <c r="B369" s="13">
        <v>109897</v>
      </c>
      <c r="C369" s="67">
        <v>159</v>
      </c>
      <c r="D369" s="13" t="s">
        <v>1074</v>
      </c>
      <c r="E369" s="18" t="s">
        <v>165</v>
      </c>
      <c r="F369" s="16" t="s">
        <v>322</v>
      </c>
      <c r="G369" s="68" t="s">
        <v>1128</v>
      </c>
      <c r="H369" s="30" t="s">
        <v>1129</v>
      </c>
      <c r="I369" s="18" t="s">
        <v>349</v>
      </c>
      <c r="J369" s="112" t="s">
        <v>1185</v>
      </c>
      <c r="K369" s="20">
        <v>43418</v>
      </c>
      <c r="L369" s="20">
        <v>43903</v>
      </c>
      <c r="M369" s="21">
        <f t="shared" si="307"/>
        <v>82.304184553403289</v>
      </c>
      <c r="N369" s="14" t="s">
        <v>324</v>
      </c>
      <c r="O369" s="14" t="s">
        <v>312</v>
      </c>
      <c r="P369" s="14" t="s">
        <v>156</v>
      </c>
      <c r="Q369" s="22" t="s">
        <v>326</v>
      </c>
      <c r="R369" s="14" t="s">
        <v>36</v>
      </c>
      <c r="S369" s="23">
        <f t="shared" si="302"/>
        <v>763718.79999999993</v>
      </c>
      <c r="T369" s="23">
        <v>615872.68999999994</v>
      </c>
      <c r="U369" s="23">
        <v>147846.10999999999</v>
      </c>
      <c r="V369" s="23">
        <f t="shared" si="303"/>
        <v>145644.95000000001</v>
      </c>
      <c r="W369" s="23">
        <v>108683.4</v>
      </c>
      <c r="X369" s="23">
        <v>36961.550000000003</v>
      </c>
      <c r="Y369" s="23">
        <f t="shared" si="304"/>
        <v>0</v>
      </c>
      <c r="Z369" s="23"/>
      <c r="AA369" s="23"/>
      <c r="AB369" s="23">
        <f t="shared" si="305"/>
        <v>18558.45</v>
      </c>
      <c r="AC369" s="23">
        <v>14786.86</v>
      </c>
      <c r="AD369" s="23">
        <v>3771.59</v>
      </c>
      <c r="AE369" s="23">
        <f t="shared" si="306"/>
        <v>927922.2</v>
      </c>
      <c r="AF369" s="37"/>
      <c r="AG369" s="26">
        <f t="shared" si="301"/>
        <v>927922.2</v>
      </c>
      <c r="AH369" s="99" t="s">
        <v>871</v>
      </c>
      <c r="AI369" s="28"/>
      <c r="AJ369" s="29">
        <f>92792.22-7961.38+49708.54</f>
        <v>134539.38</v>
      </c>
      <c r="AK369" s="29">
        <v>7961.38</v>
      </c>
    </row>
    <row r="370" spans="1:37" ht="189" x14ac:dyDescent="0.25">
      <c r="A370" s="12">
        <v>366</v>
      </c>
      <c r="B370" s="13">
        <v>127778</v>
      </c>
      <c r="C370" s="67">
        <v>580</v>
      </c>
      <c r="D370" s="13" t="s">
        <v>171</v>
      </c>
      <c r="E370" s="18" t="s">
        <v>165</v>
      </c>
      <c r="F370" s="16" t="s">
        <v>1262</v>
      </c>
      <c r="G370" s="68" t="s">
        <v>1182</v>
      </c>
      <c r="H370" s="30" t="s">
        <v>1183</v>
      </c>
      <c r="I370" s="18" t="s">
        <v>349</v>
      </c>
      <c r="J370" s="112" t="s">
        <v>1184</v>
      </c>
      <c r="K370" s="20">
        <v>43447</v>
      </c>
      <c r="L370" s="20">
        <v>44543</v>
      </c>
      <c r="M370" s="21">
        <f t="shared" si="307"/>
        <v>83.983863103096297</v>
      </c>
      <c r="N370" s="14" t="s">
        <v>324</v>
      </c>
      <c r="O370" s="14" t="s">
        <v>312</v>
      </c>
      <c r="P370" s="14" t="s">
        <v>312</v>
      </c>
      <c r="Q370" s="22" t="s">
        <v>157</v>
      </c>
      <c r="R370" s="14" t="s">
        <v>36</v>
      </c>
      <c r="S370" s="23">
        <f t="shared" si="302"/>
        <v>10837735.809999999</v>
      </c>
      <c r="T370" s="23">
        <v>8739689.6799999997</v>
      </c>
      <c r="U370" s="23">
        <v>2098046.13</v>
      </c>
      <c r="V370" s="23">
        <f t="shared" si="303"/>
        <v>0</v>
      </c>
      <c r="W370" s="23">
        <v>0</v>
      </c>
      <c r="X370" s="23">
        <v>0</v>
      </c>
      <c r="Y370" s="23">
        <f t="shared" si="304"/>
        <v>2066809.67</v>
      </c>
      <c r="Z370" s="23">
        <v>1542298.16</v>
      </c>
      <c r="AA370" s="23">
        <v>524511.51</v>
      </c>
      <c r="AB370" s="23">
        <f t="shared" si="305"/>
        <v>0</v>
      </c>
      <c r="AC370" s="23">
        <v>0</v>
      </c>
      <c r="AD370" s="23">
        <v>0</v>
      </c>
      <c r="AE370" s="23">
        <f t="shared" si="306"/>
        <v>12904545.479999999</v>
      </c>
      <c r="AF370" s="37">
        <v>0</v>
      </c>
      <c r="AG370" s="26">
        <f t="shared" si="301"/>
        <v>12904545.479999999</v>
      </c>
      <c r="AH370" s="99" t="s">
        <v>871</v>
      </c>
      <c r="AI370" s="28" t="s">
        <v>349</v>
      </c>
      <c r="AJ370" s="29">
        <v>4232165.5</v>
      </c>
      <c r="AK370" s="29">
        <v>0</v>
      </c>
    </row>
    <row r="371" spans="1:37" ht="299.25" x14ac:dyDescent="0.25">
      <c r="A371" s="12">
        <v>367</v>
      </c>
      <c r="B371" s="13">
        <v>127575</v>
      </c>
      <c r="C371" s="67">
        <v>604</v>
      </c>
      <c r="D371" s="13" t="s">
        <v>163</v>
      </c>
      <c r="E371" s="18" t="s">
        <v>165</v>
      </c>
      <c r="F371" s="16" t="s">
        <v>1262</v>
      </c>
      <c r="G371" s="68" t="s">
        <v>1198</v>
      </c>
      <c r="H371" s="30" t="s">
        <v>1199</v>
      </c>
      <c r="I371" s="18" t="s">
        <v>349</v>
      </c>
      <c r="J371" s="112" t="s">
        <v>1202</v>
      </c>
      <c r="K371" s="20">
        <v>43448</v>
      </c>
      <c r="L371" s="20">
        <v>44179</v>
      </c>
      <c r="M371" s="21">
        <f t="shared" si="307"/>
        <v>83.983862830635374</v>
      </c>
      <c r="N371" s="14" t="s">
        <v>324</v>
      </c>
      <c r="O371" s="14" t="s">
        <v>312</v>
      </c>
      <c r="P371" s="14" t="s">
        <v>312</v>
      </c>
      <c r="Q371" s="22" t="s">
        <v>157</v>
      </c>
      <c r="R371" s="14" t="s">
        <v>36</v>
      </c>
      <c r="S371" s="23">
        <f t="shared" si="302"/>
        <v>71134346.120000005</v>
      </c>
      <c r="T371" s="23">
        <v>57363652.549999997</v>
      </c>
      <c r="U371" s="23">
        <v>13770693.57</v>
      </c>
      <c r="V371" s="23">
        <f t="shared" si="303"/>
        <v>0</v>
      </c>
      <c r="W371" s="23">
        <v>0</v>
      </c>
      <c r="X371" s="23">
        <v>0</v>
      </c>
      <c r="Y371" s="23">
        <f t="shared" si="304"/>
        <v>13565670.91</v>
      </c>
      <c r="Z371" s="23">
        <v>10122997.52</v>
      </c>
      <c r="AA371" s="23">
        <v>3442673.39</v>
      </c>
      <c r="AB371" s="23">
        <f t="shared" si="305"/>
        <v>0</v>
      </c>
      <c r="AC371" s="23">
        <v>0</v>
      </c>
      <c r="AD371" s="23">
        <v>0</v>
      </c>
      <c r="AE371" s="23">
        <f t="shared" si="306"/>
        <v>84700017.030000001</v>
      </c>
      <c r="AF371" s="37">
        <v>0</v>
      </c>
      <c r="AG371" s="26">
        <f t="shared" si="301"/>
        <v>84700017.030000001</v>
      </c>
      <c r="AH371" s="99" t="s">
        <v>871</v>
      </c>
      <c r="AI371" s="28"/>
      <c r="AJ371" s="29">
        <v>64794622.270000003</v>
      </c>
      <c r="AK371" s="29">
        <v>0</v>
      </c>
    </row>
    <row r="372" spans="1:37" ht="173.25" x14ac:dyDescent="0.25">
      <c r="A372" s="14">
        <v>368</v>
      </c>
      <c r="B372" s="13">
        <v>116834</v>
      </c>
      <c r="C372" s="67">
        <v>397</v>
      </c>
      <c r="D372" s="13" t="s">
        <v>172</v>
      </c>
      <c r="E372" s="18" t="s">
        <v>165</v>
      </c>
      <c r="F372" s="16" t="s">
        <v>445</v>
      </c>
      <c r="G372" s="68" t="s">
        <v>1220</v>
      </c>
      <c r="H372" s="30" t="s">
        <v>124</v>
      </c>
      <c r="I372" s="18" t="s">
        <v>1221</v>
      </c>
      <c r="J372" s="73" t="s">
        <v>1222</v>
      </c>
      <c r="K372" s="20">
        <v>43462</v>
      </c>
      <c r="L372" s="20">
        <v>44255</v>
      </c>
      <c r="M372" s="21">
        <f t="shared" si="307"/>
        <v>83.410873102181938</v>
      </c>
      <c r="N372" s="14" t="s">
        <v>324</v>
      </c>
      <c r="O372" s="14" t="s">
        <v>312</v>
      </c>
      <c r="P372" s="14" t="s">
        <v>312</v>
      </c>
      <c r="Q372" s="22" t="s">
        <v>157</v>
      </c>
      <c r="R372" s="14" t="s">
        <v>36</v>
      </c>
      <c r="S372" s="23">
        <f t="shared" si="302"/>
        <v>3404514.47</v>
      </c>
      <c r="T372" s="23">
        <v>2745444.31</v>
      </c>
      <c r="U372" s="23">
        <v>659070.16</v>
      </c>
      <c r="V372" s="23">
        <f t="shared" si="303"/>
        <v>218543.18</v>
      </c>
      <c r="W372" s="23">
        <v>163081.66</v>
      </c>
      <c r="X372" s="23">
        <v>55461.51999999999</v>
      </c>
      <c r="Y372" s="23">
        <f t="shared" si="304"/>
        <v>430714.54000000004</v>
      </c>
      <c r="Z372" s="23">
        <v>321408.51</v>
      </c>
      <c r="AA372" s="23">
        <v>109306.03</v>
      </c>
      <c r="AB372" s="23">
        <f t="shared" si="305"/>
        <v>27847.32</v>
      </c>
      <c r="AC372" s="23">
        <v>22187.98</v>
      </c>
      <c r="AD372" s="23">
        <v>5659.34</v>
      </c>
      <c r="AE372" s="23">
        <f t="shared" si="306"/>
        <v>4081619.5100000002</v>
      </c>
      <c r="AF372" s="37">
        <v>0</v>
      </c>
      <c r="AG372" s="26">
        <f t="shared" si="301"/>
        <v>4081619.5100000002</v>
      </c>
      <c r="AH372" s="99" t="s">
        <v>871</v>
      </c>
      <c r="AI372" s="28"/>
      <c r="AJ372" s="29">
        <v>138999</v>
      </c>
      <c r="AK372" s="29">
        <v>0</v>
      </c>
    </row>
    <row r="373" spans="1:37" ht="315" x14ac:dyDescent="0.25">
      <c r="A373" s="12">
        <v>369</v>
      </c>
      <c r="B373" s="13">
        <v>116793</v>
      </c>
      <c r="C373" s="67">
        <v>398</v>
      </c>
      <c r="D373" s="13" t="s">
        <v>172</v>
      </c>
      <c r="E373" s="18" t="s">
        <v>165</v>
      </c>
      <c r="F373" s="16" t="s">
        <v>445</v>
      </c>
      <c r="G373" s="68" t="s">
        <v>1223</v>
      </c>
      <c r="H373" s="30" t="s">
        <v>124</v>
      </c>
      <c r="I373" s="15" t="s">
        <v>1225</v>
      </c>
      <c r="J373" s="73" t="s">
        <v>1224</v>
      </c>
      <c r="K373" s="20">
        <v>43462</v>
      </c>
      <c r="L373" s="20">
        <v>44193</v>
      </c>
      <c r="M373" s="21">
        <f t="shared" si="307"/>
        <v>83.535949472559906</v>
      </c>
      <c r="N373" s="14" t="s">
        <v>324</v>
      </c>
      <c r="O373" s="14" t="s">
        <v>312</v>
      </c>
      <c r="P373" s="14" t="s">
        <v>312</v>
      </c>
      <c r="Q373" s="22" t="s">
        <v>157</v>
      </c>
      <c r="R373" s="14" t="s">
        <v>36</v>
      </c>
      <c r="S373" s="23">
        <f t="shared" si="302"/>
        <v>2506078.48</v>
      </c>
      <c r="T373" s="23">
        <v>2020933.92</v>
      </c>
      <c r="U373" s="23">
        <v>485144.56</v>
      </c>
      <c r="V373" s="23">
        <f t="shared" si="303"/>
        <v>219474.66</v>
      </c>
      <c r="W373" s="23">
        <v>163099.38</v>
      </c>
      <c r="X373" s="23">
        <v>56375.28</v>
      </c>
      <c r="Y373" s="23">
        <f t="shared" si="304"/>
        <v>258446.85499999998</v>
      </c>
      <c r="Z373" s="23">
        <v>193536.02499999999</v>
      </c>
      <c r="AA373" s="23">
        <v>64910.83</v>
      </c>
      <c r="AB373" s="23">
        <f t="shared" si="305"/>
        <v>16000</v>
      </c>
      <c r="AC373" s="23">
        <v>12748.37</v>
      </c>
      <c r="AD373" s="23">
        <v>3251.63</v>
      </c>
      <c r="AE373" s="23">
        <f t="shared" si="306"/>
        <v>2999999.9950000001</v>
      </c>
      <c r="AF373" s="37"/>
      <c r="AG373" s="26">
        <f t="shared" si="301"/>
        <v>2999999.9950000001</v>
      </c>
      <c r="AH373" s="99" t="s">
        <v>871</v>
      </c>
      <c r="AI373" s="28"/>
      <c r="AJ373" s="29">
        <f>147000-67000</f>
        <v>80000</v>
      </c>
      <c r="AK373" s="29">
        <v>0</v>
      </c>
    </row>
    <row r="374" spans="1:37" ht="409.5" x14ac:dyDescent="0.25">
      <c r="A374" s="12">
        <v>370</v>
      </c>
      <c r="B374" s="13">
        <v>116103</v>
      </c>
      <c r="C374" s="67">
        <v>393</v>
      </c>
      <c r="D374" s="13" t="s">
        <v>173</v>
      </c>
      <c r="E374" s="18" t="s">
        <v>165</v>
      </c>
      <c r="F374" s="16" t="s">
        <v>445</v>
      </c>
      <c r="G374" s="68" t="s">
        <v>1228</v>
      </c>
      <c r="H374" s="30" t="s">
        <v>1229</v>
      </c>
      <c r="I374" s="15" t="s">
        <v>1230</v>
      </c>
      <c r="J374" s="19" t="s">
        <v>1231</v>
      </c>
      <c r="K374" s="20">
        <v>43818</v>
      </c>
      <c r="L374" s="20">
        <v>44246</v>
      </c>
      <c r="M374" s="21">
        <f t="shared" si="307"/>
        <v>83.983862913229757</v>
      </c>
      <c r="N374" s="14" t="s">
        <v>324</v>
      </c>
      <c r="O374" s="14" t="s">
        <v>312</v>
      </c>
      <c r="P374" s="14" t="s">
        <v>312</v>
      </c>
      <c r="Q374" s="22" t="s">
        <v>157</v>
      </c>
      <c r="R374" s="14" t="s">
        <v>36</v>
      </c>
      <c r="S374" s="23">
        <f t="shared" si="302"/>
        <v>6662642.3300000001</v>
      </c>
      <c r="T374" s="23">
        <v>5372840.5599999996</v>
      </c>
      <c r="U374" s="23">
        <v>1289801.77</v>
      </c>
      <c r="V374" s="23">
        <f t="shared" si="303"/>
        <v>545363.38</v>
      </c>
      <c r="W374" s="23">
        <v>403028.12</v>
      </c>
      <c r="X374" s="23">
        <v>142335.26</v>
      </c>
      <c r="Y374" s="23">
        <f t="shared" si="304"/>
        <v>725235.3899999999</v>
      </c>
      <c r="Z374" s="23">
        <v>545120.19999999995</v>
      </c>
      <c r="AA374" s="23">
        <v>180115.19</v>
      </c>
      <c r="AB374" s="23">
        <f t="shared" si="305"/>
        <v>0</v>
      </c>
      <c r="AC374" s="23">
        <v>0</v>
      </c>
      <c r="AD374" s="23">
        <v>0</v>
      </c>
      <c r="AE374" s="23">
        <f t="shared" si="306"/>
        <v>7933241.0999999996</v>
      </c>
      <c r="AF374" s="37">
        <v>0</v>
      </c>
      <c r="AG374" s="26">
        <f t="shared" si="301"/>
        <v>7933241.0999999996</v>
      </c>
      <c r="AH374" s="99" t="s">
        <v>871</v>
      </c>
      <c r="AI374" s="28"/>
      <c r="AJ374" s="29">
        <v>389096.78</v>
      </c>
      <c r="AK374" s="29">
        <v>0</v>
      </c>
    </row>
    <row r="375" spans="1:37" ht="172.5" customHeight="1" x14ac:dyDescent="0.25">
      <c r="A375" s="14">
        <v>371</v>
      </c>
      <c r="B375" s="13">
        <v>127534</v>
      </c>
      <c r="C375" s="35">
        <v>619</v>
      </c>
      <c r="D375" s="13" t="s">
        <v>646</v>
      </c>
      <c r="E375" s="18" t="s">
        <v>165</v>
      </c>
      <c r="F375" s="16" t="s">
        <v>1262</v>
      </c>
      <c r="G375" s="68" t="s">
        <v>1239</v>
      </c>
      <c r="H375" s="30" t="s">
        <v>1240</v>
      </c>
      <c r="I375" s="18" t="s">
        <v>422</v>
      </c>
      <c r="J375" s="19" t="s">
        <v>1241</v>
      </c>
      <c r="K375" s="20">
        <v>43490</v>
      </c>
      <c r="L375" s="20">
        <v>44372</v>
      </c>
      <c r="M375" s="21">
        <f t="shared" si="307"/>
        <v>83.983862775890657</v>
      </c>
      <c r="N375" s="14" t="s">
        <v>324</v>
      </c>
      <c r="O375" s="14" t="s">
        <v>312</v>
      </c>
      <c r="P375" s="14" t="s">
        <v>312</v>
      </c>
      <c r="Q375" s="22" t="s">
        <v>157</v>
      </c>
      <c r="R375" s="14" t="s">
        <v>36</v>
      </c>
      <c r="S375" s="23">
        <f t="shared" si="302"/>
        <v>8137225.3799999999</v>
      </c>
      <c r="T375" s="23">
        <v>6561963.3499999996</v>
      </c>
      <c r="U375" s="23">
        <v>1575262.03</v>
      </c>
      <c r="V375" s="23">
        <f t="shared" si="303"/>
        <v>0</v>
      </c>
      <c r="W375" s="23">
        <v>0</v>
      </c>
      <c r="X375" s="23">
        <v>0</v>
      </c>
      <c r="Y375" s="23">
        <f t="shared" si="304"/>
        <v>1551809.05</v>
      </c>
      <c r="Z375" s="23">
        <v>1157993.49</v>
      </c>
      <c r="AA375" s="23">
        <v>393815.56</v>
      </c>
      <c r="AB375" s="23">
        <f t="shared" si="305"/>
        <v>0</v>
      </c>
      <c r="AC375" s="23">
        <v>0</v>
      </c>
      <c r="AD375" s="23">
        <v>0</v>
      </c>
      <c r="AE375" s="23">
        <f t="shared" si="306"/>
        <v>9689034.4299999997</v>
      </c>
      <c r="AF375" s="37">
        <v>0</v>
      </c>
      <c r="AG375" s="26">
        <f t="shared" si="301"/>
        <v>9689034.4299999997</v>
      </c>
      <c r="AH375" s="99" t="s">
        <v>871</v>
      </c>
      <c r="AI375" s="28"/>
      <c r="AJ375" s="29">
        <v>0</v>
      </c>
      <c r="AK375" s="29">
        <v>0</v>
      </c>
    </row>
    <row r="376" spans="1:37" ht="299.25" x14ac:dyDescent="0.25">
      <c r="A376" s="12">
        <v>372</v>
      </c>
      <c r="B376" s="13">
        <v>111384</v>
      </c>
      <c r="C376" s="35">
        <v>166</v>
      </c>
      <c r="D376" s="13" t="s">
        <v>1074</v>
      </c>
      <c r="E376" s="18" t="s">
        <v>165</v>
      </c>
      <c r="F376" s="75" t="s">
        <v>322</v>
      </c>
      <c r="G376" s="68" t="s">
        <v>1250</v>
      </c>
      <c r="H376" s="30" t="s">
        <v>1251</v>
      </c>
      <c r="I376" s="18" t="s">
        <v>422</v>
      </c>
      <c r="J376" s="19" t="s">
        <v>1252</v>
      </c>
      <c r="K376" s="20">
        <v>43497</v>
      </c>
      <c r="L376" s="20">
        <v>43922</v>
      </c>
      <c r="M376" s="21">
        <v>82.304190610000006</v>
      </c>
      <c r="N376" s="14" t="s">
        <v>324</v>
      </c>
      <c r="O376" s="14" t="s">
        <v>226</v>
      </c>
      <c r="P376" s="14" t="s">
        <v>226</v>
      </c>
      <c r="Q376" s="22" t="s">
        <v>326</v>
      </c>
      <c r="R376" s="14" t="s">
        <v>36</v>
      </c>
      <c r="S376" s="23">
        <f>T376+U376</f>
        <v>765704.55999999994</v>
      </c>
      <c r="T376" s="23">
        <v>617473.98</v>
      </c>
      <c r="U376" s="23">
        <v>148230.57999999999</v>
      </c>
      <c r="V376" s="23">
        <f>W376+X376</f>
        <v>146023.57999999999</v>
      </c>
      <c r="W376" s="23">
        <v>108965.98</v>
      </c>
      <c r="X376" s="23">
        <v>37057.599999999999</v>
      </c>
      <c r="Y376" s="23">
        <v>0</v>
      </c>
      <c r="Z376" s="23"/>
      <c r="AA376" s="23"/>
      <c r="AB376" s="23">
        <f>AC376+AD376</f>
        <v>18606.7</v>
      </c>
      <c r="AC376" s="23">
        <v>14825.33</v>
      </c>
      <c r="AD376" s="23">
        <v>3781.37</v>
      </c>
      <c r="AE376" s="23">
        <f>S376+V376+Y376+AB376</f>
        <v>930334.83999999985</v>
      </c>
      <c r="AF376" s="37"/>
      <c r="AG376" s="26">
        <f t="shared" si="301"/>
        <v>930334.83999999985</v>
      </c>
      <c r="AH376" s="99" t="s">
        <v>871</v>
      </c>
      <c r="AI376" s="28"/>
      <c r="AJ376" s="29">
        <v>93033</v>
      </c>
      <c r="AK376" s="29">
        <v>0</v>
      </c>
    </row>
    <row r="377" spans="1:37" ht="159.75" customHeight="1" x14ac:dyDescent="0.25">
      <c r="A377" s="12">
        <v>373</v>
      </c>
      <c r="B377" s="13">
        <v>118765</v>
      </c>
      <c r="C377" s="67">
        <v>454</v>
      </c>
      <c r="D377" s="13" t="s">
        <v>171</v>
      </c>
      <c r="E377" s="18" t="s">
        <v>1042</v>
      </c>
      <c r="F377" s="16" t="s">
        <v>505</v>
      </c>
      <c r="G377" s="68" t="s">
        <v>1001</v>
      </c>
      <c r="H377" s="30" t="s">
        <v>1002</v>
      </c>
      <c r="I377" s="18" t="s">
        <v>1260</v>
      </c>
      <c r="J377" s="48" t="s">
        <v>1003</v>
      </c>
      <c r="K377" s="257">
        <v>43348</v>
      </c>
      <c r="L377" s="32">
        <v>44079</v>
      </c>
      <c r="M377" s="21">
        <f t="shared" ref="M377:M380" si="308">S377/AE377*100</f>
        <v>83.983862746396113</v>
      </c>
      <c r="N377" s="69" t="s">
        <v>155</v>
      </c>
      <c r="O377" s="14" t="s">
        <v>312</v>
      </c>
      <c r="P377" s="14" t="s">
        <v>156</v>
      </c>
      <c r="Q377" s="70" t="s">
        <v>157</v>
      </c>
      <c r="R377" s="69" t="s">
        <v>36</v>
      </c>
      <c r="S377" s="23">
        <f>T377+U377</f>
        <v>24915549.670000002</v>
      </c>
      <c r="T377" s="23">
        <v>20092220.07</v>
      </c>
      <c r="U377" s="23">
        <v>4823329.5999999996</v>
      </c>
      <c r="V377" s="23">
        <f>W377+X377</f>
        <v>0</v>
      </c>
      <c r="W377" s="23"/>
      <c r="X377" s="23"/>
      <c r="Y377" s="23">
        <f>Z377+AA377</f>
        <v>4751518.33</v>
      </c>
      <c r="Z377" s="23">
        <v>3545685.88</v>
      </c>
      <c r="AA377" s="23">
        <v>1205832.45</v>
      </c>
      <c r="AB377" s="23">
        <f>AC377+AD377</f>
        <v>0</v>
      </c>
      <c r="AC377" s="23">
        <v>0</v>
      </c>
      <c r="AD377" s="23">
        <v>0</v>
      </c>
      <c r="AE377" s="23">
        <f>S377+V377+Y377+AB377</f>
        <v>29667068</v>
      </c>
      <c r="AF377" s="23"/>
      <c r="AG377" s="26">
        <f t="shared" si="301"/>
        <v>29667068</v>
      </c>
      <c r="AH377" s="99" t="s">
        <v>585</v>
      </c>
      <c r="AI377" s="192" t="s">
        <v>1365</v>
      </c>
      <c r="AJ377" s="29">
        <f>120031.42+149365.14+291186.94</f>
        <v>560583.5</v>
      </c>
      <c r="AK377" s="29">
        <v>0</v>
      </c>
    </row>
    <row r="378" spans="1:37" ht="161.25" customHeight="1" x14ac:dyDescent="0.25">
      <c r="A378" s="14">
        <v>374</v>
      </c>
      <c r="B378" s="13">
        <v>127403</v>
      </c>
      <c r="C378" s="67">
        <v>579</v>
      </c>
      <c r="D378" s="13" t="s">
        <v>171</v>
      </c>
      <c r="E378" s="18" t="s">
        <v>165</v>
      </c>
      <c r="F378" s="16" t="s">
        <v>1262</v>
      </c>
      <c r="G378" s="68" t="s">
        <v>1263</v>
      </c>
      <c r="H378" s="30" t="s">
        <v>1264</v>
      </c>
      <c r="I378" s="18" t="s">
        <v>422</v>
      </c>
      <c r="J378" s="19" t="s">
        <v>1265</v>
      </c>
      <c r="K378" s="20">
        <v>43514</v>
      </c>
      <c r="L378" s="20">
        <v>44245</v>
      </c>
      <c r="M378" s="21">
        <f t="shared" si="308"/>
        <v>83.983863067164137</v>
      </c>
      <c r="N378" s="69" t="s">
        <v>155</v>
      </c>
      <c r="O378" s="14" t="s">
        <v>312</v>
      </c>
      <c r="P378" s="14" t="s">
        <v>312</v>
      </c>
      <c r="Q378" s="70" t="s">
        <v>157</v>
      </c>
      <c r="R378" s="69" t="s">
        <v>36</v>
      </c>
      <c r="S378" s="23">
        <f>T378+U378</f>
        <v>5070433.51</v>
      </c>
      <c r="T378" s="23">
        <v>4088862.86</v>
      </c>
      <c r="U378" s="23">
        <v>981570.65</v>
      </c>
      <c r="V378" s="23">
        <f>W378+X378</f>
        <v>0</v>
      </c>
      <c r="W378" s="23">
        <v>0</v>
      </c>
      <c r="X378" s="23">
        <v>0</v>
      </c>
      <c r="Y378" s="23">
        <f>Z378+AA378</f>
        <v>966956.68</v>
      </c>
      <c r="Z378" s="23">
        <v>721564.03</v>
      </c>
      <c r="AA378" s="23">
        <v>245392.65</v>
      </c>
      <c r="AB378" s="23">
        <f>AC378+AD378</f>
        <v>0</v>
      </c>
      <c r="AC378" s="23">
        <v>0</v>
      </c>
      <c r="AD378" s="23">
        <v>0</v>
      </c>
      <c r="AE378" s="23">
        <f>S378+V378+Y378+AB378</f>
        <v>6037390.1899999995</v>
      </c>
      <c r="AF378" s="37">
        <v>0</v>
      </c>
      <c r="AG378" s="26">
        <f t="shared" si="301"/>
        <v>6037390.1899999995</v>
      </c>
      <c r="AH378" s="99" t="s">
        <v>871</v>
      </c>
      <c r="AI378" s="28" t="s">
        <v>422</v>
      </c>
      <c r="AJ378" s="29"/>
      <c r="AK378" s="29"/>
    </row>
    <row r="379" spans="1:37" ht="157.5" x14ac:dyDescent="0.25">
      <c r="A379" s="12">
        <v>375</v>
      </c>
      <c r="B379" s="13">
        <v>127820</v>
      </c>
      <c r="C379" s="35">
        <v>605</v>
      </c>
      <c r="D379" s="13" t="s">
        <v>163</v>
      </c>
      <c r="E379" s="18" t="s">
        <v>165</v>
      </c>
      <c r="F379" s="16" t="s">
        <v>1262</v>
      </c>
      <c r="G379" s="68" t="s">
        <v>1289</v>
      </c>
      <c r="H379" s="30" t="s">
        <v>51</v>
      </c>
      <c r="I379" s="18" t="s">
        <v>185</v>
      </c>
      <c r="J379" s="19" t="s">
        <v>1290</v>
      </c>
      <c r="K379" s="20">
        <v>43528</v>
      </c>
      <c r="L379" s="20">
        <v>44808</v>
      </c>
      <c r="M379" s="21">
        <f t="shared" si="308"/>
        <v>83.983862642815609</v>
      </c>
      <c r="N379" s="69" t="s">
        <v>155</v>
      </c>
      <c r="O379" s="14" t="s">
        <v>312</v>
      </c>
      <c r="P379" s="14" t="s">
        <v>312</v>
      </c>
      <c r="Q379" s="70" t="s">
        <v>157</v>
      </c>
      <c r="R379" s="69" t="s">
        <v>36</v>
      </c>
      <c r="S379" s="23">
        <f t="shared" ref="S379:S380" si="309">T379+U379</f>
        <v>8804544.8300000001</v>
      </c>
      <c r="T379" s="23">
        <v>7100098.3100000005</v>
      </c>
      <c r="U379" s="23">
        <v>1704446.52</v>
      </c>
      <c r="V379" s="23">
        <f t="shared" ref="V379:V380" si="310">W379+X379</f>
        <v>0</v>
      </c>
      <c r="W379" s="23"/>
      <c r="X379" s="23"/>
      <c r="Y379" s="23">
        <f t="shared" ref="Y379:Y380" si="311">Z379+AA379</f>
        <v>1679070.1800000002</v>
      </c>
      <c r="Z379" s="23">
        <v>1252958.54</v>
      </c>
      <c r="AA379" s="23">
        <v>426111.64</v>
      </c>
      <c r="AB379" s="23">
        <f t="shared" ref="AB379:AB380" si="312">AC379+AD379</f>
        <v>0</v>
      </c>
      <c r="AC379" s="23"/>
      <c r="AD379" s="23"/>
      <c r="AE379" s="23">
        <f t="shared" ref="AE379:AE380" si="313">S379+V379+Y379+AB379</f>
        <v>10483615.01</v>
      </c>
      <c r="AF379" s="37">
        <v>0</v>
      </c>
      <c r="AG379" s="26">
        <f t="shared" si="301"/>
        <v>10483615.01</v>
      </c>
      <c r="AH379" s="99" t="s">
        <v>871</v>
      </c>
      <c r="AI379" s="28" t="s">
        <v>1354</v>
      </c>
      <c r="AJ379" s="29"/>
      <c r="AK379" s="29"/>
    </row>
    <row r="380" spans="1:37" ht="108" customHeight="1" x14ac:dyDescent="0.25">
      <c r="A380" s="12">
        <v>376</v>
      </c>
      <c r="B380" s="13">
        <v>127148</v>
      </c>
      <c r="C380" s="67">
        <v>576</v>
      </c>
      <c r="D380" s="13" t="s">
        <v>175</v>
      </c>
      <c r="E380" s="18" t="s">
        <v>1323</v>
      </c>
      <c r="F380" s="15" t="s">
        <v>1322</v>
      </c>
      <c r="G380" s="68" t="s">
        <v>1324</v>
      </c>
      <c r="H380" s="30" t="s">
        <v>124</v>
      </c>
      <c r="I380" s="18" t="s">
        <v>1325</v>
      </c>
      <c r="J380" s="19" t="s">
        <v>1326</v>
      </c>
      <c r="K380" s="20">
        <v>43552</v>
      </c>
      <c r="L380" s="20">
        <v>44102</v>
      </c>
      <c r="M380" s="21">
        <f t="shared" si="308"/>
        <v>83.791410330251352</v>
      </c>
      <c r="N380" s="69" t="s">
        <v>155</v>
      </c>
      <c r="O380" s="14" t="s">
        <v>312</v>
      </c>
      <c r="P380" s="14" t="s">
        <v>312</v>
      </c>
      <c r="Q380" s="70" t="s">
        <v>157</v>
      </c>
      <c r="R380" s="14" t="s">
        <v>36</v>
      </c>
      <c r="S380" s="23">
        <f t="shared" si="309"/>
        <v>4099805.0300000003</v>
      </c>
      <c r="T380" s="23">
        <v>3306135.56</v>
      </c>
      <c r="U380" s="23">
        <v>793669.47</v>
      </c>
      <c r="V380" s="23">
        <f t="shared" si="310"/>
        <v>87992.28</v>
      </c>
      <c r="W380" s="23">
        <v>65661.759999999995</v>
      </c>
      <c r="X380" s="23">
        <v>22330.52</v>
      </c>
      <c r="Y380" s="23">
        <f t="shared" si="311"/>
        <v>705072.99</v>
      </c>
      <c r="Z380" s="23">
        <v>526707.51</v>
      </c>
      <c r="AA380" s="23">
        <v>178365.48</v>
      </c>
      <c r="AB380" s="23">
        <f t="shared" si="312"/>
        <v>0</v>
      </c>
      <c r="AC380" s="23"/>
      <c r="AD380" s="23"/>
      <c r="AE380" s="23">
        <f t="shared" si="313"/>
        <v>4892870.3</v>
      </c>
      <c r="AF380" s="37"/>
      <c r="AG380" s="26">
        <f t="shared" si="301"/>
        <v>4892870.3</v>
      </c>
      <c r="AH380" s="99" t="s">
        <v>871</v>
      </c>
      <c r="AI380" s="28" t="s">
        <v>422</v>
      </c>
      <c r="AJ380" s="29">
        <v>56061</v>
      </c>
      <c r="AK380" s="29">
        <v>0</v>
      </c>
    </row>
    <row r="381" spans="1:37" ht="283.5" customHeight="1" x14ac:dyDescent="0.25">
      <c r="A381" s="14">
        <v>377</v>
      </c>
      <c r="B381" s="13">
        <v>129157</v>
      </c>
      <c r="C381" s="67">
        <v>653</v>
      </c>
      <c r="D381" s="13" t="s">
        <v>174</v>
      </c>
      <c r="E381" s="18" t="s">
        <v>165</v>
      </c>
      <c r="F381" s="15" t="s">
        <v>1394</v>
      </c>
      <c r="G381" s="68" t="s">
        <v>1397</v>
      </c>
      <c r="H381" s="30" t="s">
        <v>1396</v>
      </c>
      <c r="I381" s="18" t="s">
        <v>1398</v>
      </c>
      <c r="J381" s="19" t="s">
        <v>1395</v>
      </c>
      <c r="K381" s="20">
        <v>43595</v>
      </c>
      <c r="L381" s="20">
        <v>43961</v>
      </c>
      <c r="M381" s="21">
        <f t="shared" ref="M381" si="314">S381/AE381*100</f>
        <v>83.983862366599269</v>
      </c>
      <c r="N381" s="69" t="s">
        <v>155</v>
      </c>
      <c r="O381" s="14" t="s">
        <v>312</v>
      </c>
      <c r="P381" s="14" t="s">
        <v>312</v>
      </c>
      <c r="Q381" s="70" t="s">
        <v>157</v>
      </c>
      <c r="R381" s="14" t="s">
        <v>36</v>
      </c>
      <c r="S381" s="23">
        <f t="shared" ref="S381:S384" si="315">T381+U381</f>
        <v>5246671.9399999995</v>
      </c>
      <c r="T381" s="23">
        <v>4230983.8099999996</v>
      </c>
      <c r="U381" s="23">
        <v>1015688.13</v>
      </c>
      <c r="V381" s="23">
        <f t="shared" ref="V381" si="316">W381+X381</f>
        <v>397060.75</v>
      </c>
      <c r="W381" s="23">
        <v>293431.23</v>
      </c>
      <c r="X381" s="23">
        <v>103629.52</v>
      </c>
      <c r="Y381" s="23">
        <f t="shared" ref="Y381:Y384" si="317">Z381+AA381</f>
        <v>603505.52</v>
      </c>
      <c r="Z381" s="23">
        <v>453212.99</v>
      </c>
      <c r="AA381" s="23">
        <v>150292.53</v>
      </c>
      <c r="AB381" s="23">
        <f t="shared" ref="AB381:AB382" si="318">AC381+AD381</f>
        <v>0</v>
      </c>
      <c r="AC381" s="23"/>
      <c r="AD381" s="23"/>
      <c r="AE381" s="23">
        <f t="shared" ref="AE381:AE384" si="319">S381+V381+Y381+AB381</f>
        <v>6247238.209999999</v>
      </c>
      <c r="AF381" s="37">
        <v>0</v>
      </c>
      <c r="AG381" s="26">
        <f t="shared" si="301"/>
        <v>6247238.209999999</v>
      </c>
      <c r="AH381" s="99" t="s">
        <v>871</v>
      </c>
      <c r="AI381" s="28" t="s">
        <v>422</v>
      </c>
      <c r="AJ381" s="29"/>
      <c r="AK381" s="29"/>
    </row>
    <row r="382" spans="1:37" ht="226.5" customHeight="1" x14ac:dyDescent="0.25">
      <c r="A382" s="12">
        <v>378</v>
      </c>
      <c r="B382" s="13">
        <v>127557</v>
      </c>
      <c r="C382" s="67">
        <v>592</v>
      </c>
      <c r="D382" s="13" t="s">
        <v>177</v>
      </c>
      <c r="E382" s="18" t="s">
        <v>165</v>
      </c>
      <c r="F382" s="16" t="s">
        <v>1262</v>
      </c>
      <c r="G382" s="68" t="s">
        <v>1405</v>
      </c>
      <c r="H382" s="30" t="s">
        <v>1404</v>
      </c>
      <c r="I382" s="18" t="s">
        <v>1406</v>
      </c>
      <c r="J382" s="19" t="s">
        <v>1423</v>
      </c>
      <c r="K382" s="20">
        <v>43601</v>
      </c>
      <c r="L382" s="20">
        <v>44697</v>
      </c>
      <c r="M382" s="21">
        <f t="shared" ref="M382:M384" si="320">S382/AE382*100</f>
        <v>83.983862979972571</v>
      </c>
      <c r="N382" s="69" t="s">
        <v>155</v>
      </c>
      <c r="O382" s="14" t="s">
        <v>312</v>
      </c>
      <c r="P382" s="14" t="s">
        <v>312</v>
      </c>
      <c r="Q382" s="70" t="s">
        <v>157</v>
      </c>
      <c r="R382" s="14" t="s">
        <v>36</v>
      </c>
      <c r="S382" s="23">
        <f t="shared" si="315"/>
        <v>21869408.25</v>
      </c>
      <c r="T382" s="23">
        <v>17635772.390000001</v>
      </c>
      <c r="U382" s="23">
        <v>4233635.8600000003</v>
      </c>
      <c r="V382" s="23">
        <f>W382+X382</f>
        <v>2835302.4000000004</v>
      </c>
      <c r="W382" s="23">
        <v>2095312.34</v>
      </c>
      <c r="X382" s="23">
        <v>739990.06</v>
      </c>
      <c r="Y382" s="23">
        <f t="shared" si="317"/>
        <v>1335301.6499999999</v>
      </c>
      <c r="Z382" s="23">
        <v>1016882.74</v>
      </c>
      <c r="AA382" s="23">
        <v>318418.90999999997</v>
      </c>
      <c r="AB382" s="23">
        <f t="shared" si="318"/>
        <v>0</v>
      </c>
      <c r="AC382" s="23"/>
      <c r="AD382" s="23"/>
      <c r="AE382" s="23">
        <f t="shared" si="319"/>
        <v>26040012.299999997</v>
      </c>
      <c r="AF382" s="37">
        <v>0</v>
      </c>
      <c r="AG382" s="26">
        <f t="shared" si="301"/>
        <v>26040012.299999997</v>
      </c>
      <c r="AH382" s="99" t="s">
        <v>871</v>
      </c>
      <c r="AI382" s="28" t="s">
        <v>422</v>
      </c>
      <c r="AJ382" s="29"/>
      <c r="AK382" s="29"/>
    </row>
    <row r="383" spans="1:37" ht="239.25" customHeight="1" x14ac:dyDescent="0.25">
      <c r="A383" s="12">
        <v>379</v>
      </c>
      <c r="B383" s="13">
        <v>127562</v>
      </c>
      <c r="C383" s="67">
        <v>606</v>
      </c>
      <c r="D383" s="13" t="s">
        <v>176</v>
      </c>
      <c r="E383" s="18" t="s">
        <v>165</v>
      </c>
      <c r="F383" s="16" t="s">
        <v>1262</v>
      </c>
      <c r="G383" s="68" t="s">
        <v>1420</v>
      </c>
      <c r="H383" s="30" t="s">
        <v>1421</v>
      </c>
      <c r="I383" s="18" t="s">
        <v>1422</v>
      </c>
      <c r="J383" s="19" t="s">
        <v>1424</v>
      </c>
      <c r="K383" s="20">
        <v>43608</v>
      </c>
      <c r="L383" s="20">
        <v>44339</v>
      </c>
      <c r="M383" s="21">
        <f t="shared" si="320"/>
        <v>83.983863082660847</v>
      </c>
      <c r="N383" s="69" t="s">
        <v>155</v>
      </c>
      <c r="O383" s="14" t="s">
        <v>312</v>
      </c>
      <c r="P383" s="14" t="s">
        <v>156</v>
      </c>
      <c r="Q383" s="70" t="s">
        <v>157</v>
      </c>
      <c r="R383" s="14" t="s">
        <v>36</v>
      </c>
      <c r="S383" s="23">
        <f t="shared" si="315"/>
        <v>8877559.8000000007</v>
      </c>
      <c r="T383" s="23">
        <v>7158978.4900000002</v>
      </c>
      <c r="U383" s="23">
        <v>1718581.31</v>
      </c>
      <c r="V383" s="23">
        <f>W383+X383</f>
        <v>156211.66</v>
      </c>
      <c r="W383" s="23">
        <v>115441.72</v>
      </c>
      <c r="X383" s="23">
        <v>40769.94</v>
      </c>
      <c r="Y383" s="23">
        <f t="shared" si="317"/>
        <v>1536782.78</v>
      </c>
      <c r="Z383" s="23">
        <v>1147907.44</v>
      </c>
      <c r="AA383" s="23">
        <v>388875.34</v>
      </c>
      <c r="AB383" s="23">
        <f>AC383+AD383</f>
        <v>0</v>
      </c>
      <c r="AC383" s="23">
        <v>0</v>
      </c>
      <c r="AD383" s="23">
        <v>0</v>
      </c>
      <c r="AE383" s="23">
        <f t="shared" si="319"/>
        <v>10570554.24</v>
      </c>
      <c r="AF383" s="37">
        <v>0</v>
      </c>
      <c r="AG383" s="26">
        <f t="shared" si="301"/>
        <v>10570554.24</v>
      </c>
      <c r="AH383" s="99" t="str">
        <f t="shared" ref="AH383:AI384" si="321">AH382</f>
        <v>în implementare</v>
      </c>
      <c r="AI383" s="28" t="str">
        <f t="shared" si="321"/>
        <v>n.a.</v>
      </c>
      <c r="AJ383" s="29"/>
      <c r="AK383" s="29"/>
    </row>
    <row r="384" spans="1:37" ht="315.75" customHeight="1" x14ac:dyDescent="0.25">
      <c r="A384" s="14">
        <v>380</v>
      </c>
      <c r="B384" s="14">
        <v>116178</v>
      </c>
      <c r="C384" s="8">
        <v>403</v>
      </c>
      <c r="D384" s="13" t="s">
        <v>171</v>
      </c>
      <c r="E384" s="18" t="s">
        <v>165</v>
      </c>
      <c r="F384" s="16" t="s">
        <v>445</v>
      </c>
      <c r="G384" s="68" t="s">
        <v>1504</v>
      </c>
      <c r="H384" s="30" t="s">
        <v>1505</v>
      </c>
      <c r="I384" s="18" t="s">
        <v>422</v>
      </c>
      <c r="J384" s="19" t="s">
        <v>1516</v>
      </c>
      <c r="K384" s="20">
        <v>43640</v>
      </c>
      <c r="L384" s="20">
        <v>44432</v>
      </c>
      <c r="M384" s="21">
        <f t="shared" si="320"/>
        <v>83.983862989767033</v>
      </c>
      <c r="N384" s="69" t="s">
        <v>155</v>
      </c>
      <c r="O384" s="14" t="s">
        <v>312</v>
      </c>
      <c r="P384" s="14" t="s">
        <v>156</v>
      </c>
      <c r="Q384" s="70" t="s">
        <v>157</v>
      </c>
      <c r="R384" s="14" t="s">
        <v>1368</v>
      </c>
      <c r="S384" s="23">
        <f t="shared" si="315"/>
        <v>2394035.5999999996</v>
      </c>
      <c r="T384" s="23">
        <v>1930581.13</v>
      </c>
      <c r="U384" s="23">
        <v>463454.47</v>
      </c>
      <c r="V384" s="23">
        <f>W384+X384</f>
        <v>0</v>
      </c>
      <c r="W384" s="23">
        <v>0</v>
      </c>
      <c r="X384" s="23">
        <v>0</v>
      </c>
      <c r="Y384" s="23">
        <f t="shared" si="317"/>
        <v>456554.4</v>
      </c>
      <c r="Z384" s="23">
        <v>340690.78</v>
      </c>
      <c r="AA384" s="23">
        <v>115863.62</v>
      </c>
      <c r="AB384" s="23"/>
      <c r="AC384" s="23">
        <v>0</v>
      </c>
      <c r="AD384" s="23">
        <v>0</v>
      </c>
      <c r="AE384" s="23">
        <f t="shared" si="319"/>
        <v>2850589.9999999995</v>
      </c>
      <c r="AF384" s="37">
        <v>0</v>
      </c>
      <c r="AG384" s="26">
        <f t="shared" si="301"/>
        <v>2850589.9999999995</v>
      </c>
      <c r="AH384" s="99" t="str">
        <f t="shared" si="321"/>
        <v>în implementare</v>
      </c>
      <c r="AI384" s="259"/>
      <c r="AJ384" s="260"/>
      <c r="AK384" s="260"/>
    </row>
    <row r="386" spans="31:33" x14ac:dyDescent="0.25">
      <c r="AE386" s="184">
        <f>SUM(AE5:AE384)</f>
        <v>1609795382.8846998</v>
      </c>
      <c r="AF386" s="184"/>
      <c r="AG386" s="184"/>
    </row>
    <row r="388" spans="31:33" x14ac:dyDescent="0.25">
      <c r="AE388" s="299">
        <v>4.7222999999999997</v>
      </c>
    </row>
    <row r="390" spans="31:33" x14ac:dyDescent="0.25">
      <c r="AE390" s="298">
        <f>(AE386/AE388)/1000000</f>
        <v>340.89223109177726</v>
      </c>
    </row>
  </sheetData>
  <protectedRanges>
    <protectedRange sqref="I1:I2 AI265:AK265 AF263:AF265 T263:U265 W263:X265 Z264:AA265 AC263:AD265 B8:D12 Z8:AA12 W8:X12 T8:U12 AF8:AF12 B18:D18 T17:U18 W17:X18 Z17:AA18 AC17:AD18 AF17:AF18 B22:D22 X22 AA22 AC22:AD22 G345:L353 C341:D353 AF22 AF341:AF360 T42:U45 W42:X45 T150:U150 T130 W130 Y130:Z130 B140:L140 N78:R79 AF93:AF96 AC105:AD107 B113:D119 I99:L100 T142:U143 AF113 X99:X100 AC113:AD113 T145:U148 AI38:XFD38 W150:X151 W61:AA61 P115 N130 AC62:AD66 AI270:XFD270 Z82:AA82 W82:X82 U99:U100 B98:D100 AF98:AF100 B67:B68 G99:G100 W105:X107 AI32:XFD34 U105:U107 T98:U98 W98:X98 Z98:AA98 T113:U113 W113:X113 Z113:AA113 B122:D125 AC82:AD82 C127:D127 C129 N82 AL42:XFD45 P82 AC132:AD133 AF132:AF133 T132:U133 W145:X148 B155:D157 W142:X143 W152:AA153 B130:L130 AI135:XFD138 B128:L128 AI77:XFD80 AF42:AF45 G42:G45 G263:L264 C263:D265 U267 AL263:XFD265 F265:L265 F267:L267 W267:X279 T268:U279 AF267:AF279 G268:L269 AC267:AD279 Z267:AA276 B25:D28 W26:X28 AC30:AD30 Z26:AA28 AC26:AD28 C279:L279 C272:L272 C267:D271 C273:D278 F273:L278 G280:L280 C280:D280 T280:AF280 AC282:AD284 Z145:AA148 AC142:AD143 X62:AA62 F291 Z288:AA290 W281:X290 T281:U290 AF281:AF290 C288:D290 AC286:AD290 F288:L290 AI282:AK283 N135 B17:C17 B7:C7 E292:L295 N292:P296 F296:L299 C167:D167 AI294:AK294 N297:N299 AL84:XFD86 E300:L301 C163:D163 G302:L302 B102:B104 N105:N107 E303:L304 R305 F305:L306 C294:C323 D292:D323 F37:G37 R292:R301 S56:U56 W57:AA57 X56:AA56 G129:L129 AF130 AC130:AD130 AL129:XFD129 F113:L113 S22:U22 N269:P290 R272:R290 G142 AL142:XFD142 F22:L22 F308:L322 I323:L323 AI307:AK307 AC61:AF61 X154:AA154 L154:L157 AL154:XFD157 F154:J157 B30:D30 J30:L30 N22:Q22 N30:Q30 F30:H30 T127:U128 AF128 AI127 B56:D57 G56:L57 AI272:XFD272 F151:Q151 AF105:AF107 F116:L119 F82:H82 N154:Q157 F127:L127 N17:N18 AF26:AF28 F13:F14 AJ139:XFD139 M57:U57 Z150:AA151 AF82 N113:Q113 B82:D82 N136:O136 N145:R145 I135:L136 Q135:R136 Z42:AA45 G7:L9 F17:L18 Q17:Q18 AJ93:XFD94 AI17:AI18 AL17:XFD18 N300:P337 R308:R314 F324:L339 O338:P339 W359:X360 AC359:AD360 C139:D139 AL25:XFD30 F25:Q28 G341:L341 H344 G168:L168 G342:H343 R341:R360 C324:D339 AC292:AD339 Z293:AA339 AF292:AF339 W292:X339 T292:U339 G98:L98 B61:D62 S61:U62 AH345:AH346 AC47:AD57 F342:F349 AI349:AK349 G139:L139 B77:D77 F77:L77 C158:D158 B164:D166 E297:E299 C170:D170 F167:L167 F145:L145 F135:G136 F270:L271 C281:L287 E377 C355:D360 W139:X139 T139:U139 AC139:AD139 Z139:AA139 F353:F360 G355:L360 N139:P139 B42:D45 S151:U151 F105:L107 Z105:AA107 AJ105:XFD106 AH341:XFD344 AF62:AF66 B64:D66 B78:L79 AI8:XFD12 AI95:XFD96 AJ98:XFD100 AI132:XFD133 W93:X96 AJ82:XFD82 AJ37:XFD37 AI128:XFD128 AI130:XFD130 AI113:XFD113 AI143:XFD143 F158:U158 AI140:XFD140 AI158:XFD158 AI107:XFD107 AI15:XFD15 AJ188:XFD188 AI189:XFD189 F178:F181 AI145:XFD153 M56:Q56 AI122:XFD125 M32:Q32 T26:U28 G61:Q62 W155:AA158 F47:R48 F169:R173 M167:R168 F163:R163 J1:XFD3 E332 D354:E354 E307:L307 E323:G323 N77:Q77 F165:R165 F164:Q164 R318:R337 F362:F364 B63:L63 A4:XFD4 N138:AD138 B138:L138 N341:P360 Z341:AA360 AC341:AD357 T341:U360 W341:X357 I342:L344 C149:D149 B171:D173 B145:D146 I146:L146 F146:G146 B47:D51 B58:U58 B59:D59 F59:U59 AC42:AD45 AI278:XFD279 AI87:XFD91 N87:R88 AC98:AD100 AC93:AD96 N93:N95 Q95 P105:Q107 B105:D107 AC109:AD111 AA99:AA100 Z93:AA96 T93:U96 N98:N100 T122:U125 AF122:AF125 W135:X137 AF143 J150:L150 F114:G115 I114:L115 T114 W114 Z114 N114:O115 B150:G150 B142:D143 F143:H143 J142:L143 R142 N127:Q128 B135:D137 F137:L137 F152:U153 C152:D154 AC8:AD12 W58:AD58 W59:AA59 AC59:AD59 AC178:AD178 AI269 AL268:XFD269 AI271 AL271:XFD271 AI273:AI277 AL273:XFD277 AL280:XFD339 AI280:AI281 AI287:AK287 AI284:AI286 AI288:AI290 AI292:AI293 AI296:AK296 AI295 AI298:AK299 AI297 AI300:AI301 AI303:AI306 AI310:AK310 AI308:AI309 AI316:AK316 AI311:AI315 AI317:AI321 AI325:AI326 AI327:AK331 AH332:AK339 AH347:AI348 AJ345:AK348 AH350:AK360 AI361:AK361 O23:O24 Q23:Q24 B93:D96 F93:L96 N96:Q96 O150 F10:L12 M34:Q34 AC37:AD38 E38:G38 B147:L147 J37:L38 B37:D38 W149:AA149 Z37:AA38 AF37:AF38 W37:X38 G64:L66 T37:U38 G149:U149 F366:F375 B182:D185 AC182:AD185 AF182:AF185 W132:AA133 W182:AA185 N132:R133 F182:U185 N89:Q89 AF188:AF189 B132:D133 F132:L133 AH58:AH59 AF47:AF59 S154:U157 AC145:AD158 AF145:AF158 G188:H189 B188:D189 S188:U189 W188:AA189 AC188:AD189 J188:P189 N140:AD140 E166:R166 B151:D151 Z142:AA143 AF77:AF80 AC77:AD80 T77:U80 W77:AA80 B80:R80 T82:U82 J82:L82 AC135:AD137 T135:U137 Z135:AA137 AF135:AF140 N137:R137 AL35:XFD35 F43:F45 I42:L45 P42:P45 I68 AI182:XFD185 B168:D169 W84:X90 AF84:AF91 AC84:AD91 Z84:AA91 T84:U91 B84:D91 F84:L89 G90:L91 M63:U66 W63:AA66 AI61:XFD66 G122:L125 AJ114:XFD119 N90:R91 T116:U119 Z116:AA119 AC116:AD119 W116:X119 F35 I35 M33:R33 F32:L34 B32:D34 AF32:AF34 AC122:AD128 T126 I126 F123:F126 AL345:XFD384 AL126:XFD127 T32:U35 Z32:AA35 AC32:AD35 W32:X35 AJ267:XFD267 X91 T160:U173 W160:X173 Z160:AA173 AF160:AF173 AC160:AD173 N160:N162 P160:Q162 B160:L162 B15:D15 Z15:AA15 W15:X15 T15:U15 AF15 AC15:AD15 F15:L15 N116:P119 B52:B55 D52:D55 G49:R51 W47:X55 Z47:AA55 T47:U55 F74:F75 F378:F384 B148:D148 F148:L148 P122:P125 N122:N125 W122:AA128 F111 I52:R55 AI322:AK324 AI109:XFD111 AI22:XFD22 AI47:XFD59 AI160:XFD173 A1:H3 A385:XFD1048576" name="maria" securityDescriptor="O:WDG:WDD:(A;;CC;;;S-1-5-21-3048853270-2157241324-869001692-3245)(A;;CC;;;S-1-5-21-3048853270-2157241324-869001692-1007)"/>
    <protectedRange sqref="Q265 S297 Q269:Q290 Q292:Q339 Q139 Q341:Q360" name="maria_1" securityDescriptor="O:WDG:WDD:(A;;CC;;;S-1-5-21-3048853270-2157241324-869001692-3245)(A;;CC;;;S-1-5-21-3048853270-2157241324-869001692-1007)"/>
    <protectedRange sqref="E6 E16 E60 E29 E31 E36 E39:E40 E46:E47 E81 E83 E92 E97 E101:E102 E108:E109 E112 E120:E121 E129 E131 E134 E141 E144 E159 E174:E176 E243:E245 E302 E139 A5:P5 E50 G13:P14 E19:E20 AJ5:XFD5 AJ13:XFD14 E64:E76 A7:A8 A10:A11 A13:E14 A16:A17 A19:A20 A22:A23 A25:A26 A28:A29 A31:A32 A34:A35 A37:A38 A40:A41 A43:A44 A46:A47 A49:A50 A52:A53 A55:A56 A58:A59 A61:A62 A64:A65 A67:A68 A70:A71 A73:A74 A76:A77 A79:A80 A82:A83 A85:A86 A88:A89 A91:A92 A94:A95 A97:A98 A100:A101 A103:A104 A106:A107 A109:A110 A112:A113 A115:A116 A118:A119 A121:A122 A124:A125 A127:A128 A130:A131 A133:A134 A136:A137 A139:A140 A142:A143 A145:A146 A148:A149 A151:A152 A154:A155 A157:A158 A160:A161 A163:A164 A166:A167 A169:A170 A172:A173 A175:A176 A178:A179 A181:A182 A184:A185 A187:A188 A190:A191 A193:A194 A196:A197 A199:A200 A202:A203 A205:A206 A208:A209 A211:A212 A214:A215 A217:A218 A220:A221 A223:A224 A226:A227 A229:A230 A232:A233 A235:A236 A238:A239 A241:A242 A244:A245 A247:A248 A250:A251 A253:A254 A256:A257 A259:A260 A262:A263 A265:A266 A268:A269 A271:A272 A274:A275 A277:A278 A280:A281 A283:A284 A286:A287 A289:A290 A292:A293 A295:A296 A298:A299 A301:A302 A304:A305 A307:A308 A310:A311 A313:A314 A316:A317 A319:A320 A322:A323 A325:A326 A328:A329 A331:A332 A334:A335 A337:A338 A340:A341 A343:A344 A346:A347 A349:A350 A352:A353 A355:A356 A358:A359 A361:A362 A364:A365 A367:A368 A370:A371 A373:A374 A376:A377 A379:A380 A382:A383" name="maria_2" securityDescriptor="O:WDG:WDD:(A;;CC;;;S-1-5-21-3048853270-2157241324-869001692-3245)(A;;CC;;;S-1-5-21-3048853270-2157241324-869001692-1007)"/>
    <protectedRange sqref="Q5:R5 Q13:R14" name="maria_1_2" securityDescriptor="O:WDG:WDD:(A;;CC;;;S-1-5-21-3048853270-2157241324-869001692-3245)(A;;CC;;;S-1-5-21-3048853270-2157241324-869001692-1007)"/>
    <protectedRange sqref="S5:AI5 AH349 AH6:AH12 AB6:AB12 AH189 S13:AF14 AH193:AH331 AB15 AH15:AH57 AH60:AH125 AH127:AH185 AH13:AI14 AG6:AG384" name="maria_1_1_1" securityDescriptor="O:WDG:WDD:(A;;CC;;;S-1-5-21-3048853270-2157241324-869001692-3245)(A;;CC;;;S-1-5-21-3048853270-2157241324-869001692-1007)"/>
    <protectedRange sqref="AF6:AF7 T6:U7 W6:X7 Z6:AA7 A6:D6 AC6:AD7 M7 F139 AI139 F6:P6 AI345:AI346 N7:P12 N15:P15 AI6:XFD7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name="maria_3" securityDescriptor="O:WDG:WDD:(A;;CC;;;S-1-5-21-3048853270-2157241324-869001692-3245)(A;;CC;;;S-1-5-21-3048853270-2157241324-869001692-1007)"/>
    <protectedRange sqref="Q6:R7 R139 R41 R77 R103:R104 R164 R257 R315:R317 R339 Q8:Q12 R155:R157 Q15" name="maria_1_3" securityDescriptor="O:WDG:WDD:(A;;CC;;;S-1-5-21-3048853270-2157241324-869001692-3245)(A;;CC;;;S-1-5-21-3048853270-2157241324-869001692-1007)"/>
    <protectedRange sqref="AE22 S6:S12 V6:V12 Y6:Y12 AE6:AE12 S15 V15 Y15 AE15" name="maria_1_1_2" securityDescriptor="O:WDG:WDD:(A;;CC;;;S-1-5-21-3048853270-2157241324-869001692-3245)(A;;CC;;;S-1-5-21-3048853270-2157241324-869001692-1007)"/>
    <protectedRange sqref="AL16:XFD16 AF16 T16:U16 W16:X16 Z16:AD16 B16:D16 AB17:AB18 D7 D17 M17:M18 O17:P18 AJ17:AK18 F7 F16:P16 AL19:XFD19 AF19 T19:U19 W19:X19 Z19:AD19 B19:D19 F19:P19" name="maria_4" securityDescriptor="O:WDG:WDD:(A;;CC;;;S-1-5-21-3048853270-2157241324-869001692-3245)(A;;CC;;;S-1-5-21-3048853270-2157241324-869001692-1007)"/>
    <protectedRange sqref="Q16:R16 R30 R17:R18 Q19:R19 R8:R12 R22:R28 R15" name="maria_1_4" securityDescriptor="O:WDG:WDD:(A;;CC;;;S-1-5-21-3048853270-2157241324-869001692-3245)(A;;CC;;;S-1-5-21-3048853270-2157241324-869001692-1007)"/>
    <protectedRange sqref="AI16 S16:S19 V16:V19 Y16:Y19 AE16:AE19 AI19" name="maria_1_1_3" securityDescriptor="O:WDG:WDD:(A;;CC;;;S-1-5-21-3048853270-2157241324-869001692-3245)(A;;CC;;;S-1-5-21-3048853270-2157241324-869001692-1007)"/>
    <protectedRange sqref="AF60 F20 T60:U60 W60:X60 Z60:AA60 AC60:AD60 AI60 U21 N60:P60 E18 E8:F9 E48:E49 E61:E62 E77 E85 E165 E168:F168 B60:D60 F60:L60 E146 E59 E142:E143 E136:E137 AL60:XFD60 E93:E96 M8:M12 E182:E185 E132:E133 N21:P21 AC21:AD21 Z21:AA21 W21:X21 B20 B21:L21 AF21 E105:E107 E151 E153:E154 E26:E28 E171:E173 E82 E98:E100 E156:E158 E110 E42:E45 E169 E122:E123 E177:E180 E87:E91 E33 M15 E125:E126 AJ21:XFD21 E113:E119 E148:E149 E51:E57" name="maria_5" securityDescriptor="O:WDG:WDD:(A;;CC;;;S-1-5-21-3048853270-2157241324-869001692-3245)(A;;CC;;;S-1-5-21-3048853270-2157241324-869001692-1007)"/>
    <protectedRange sqref="AE60 AE30 AE26:AE28 Q60:R60 Q21:R21 AE21" name="maria_1_5" securityDescriptor="O:WDG:WDD:(A;;CC;;;S-1-5-21-3048853270-2157241324-869001692-3245)(A;;CC;;;S-1-5-21-3048853270-2157241324-869001692-1007)"/>
    <protectedRange sqref="C20:D20 G20:H20 S60 V60 Y60 AB60 AB21:AB22 Y21:Y22 V21:V22 S21:T21 AB30 M21:M24 W22 Z22 S30:T30 V30:W30 Y30:Z30 J20:AF20 AB26:AB28 Y26:Y28 S26:S28 V26:V28 M60 M35 M124:M126 AI20:XFD20" name="maria_1_1_4" securityDescriptor="O:WDG:WDD:(A;;CC;;;S-1-5-21-3048853270-2157241324-869001692-3245)(A;;CC;;;S-1-5-21-3048853270-2157241324-869001692-1007)"/>
    <protectedRange sqref="B31:D31 M30 I30 AJ30:AK30 AJ25:AK28 I150 I37:I38 B29:D29 F29:P29 F31:P31 AJ31:XFD31" name="maria_6" securityDescriptor="O:WDG:WDD:(A;;CC;;;S-1-5-21-3048853270-2157241324-869001692-3245)(A;;CC;;;S-1-5-21-3048853270-2157241324-869001692-1007)"/>
    <protectedRange sqref="Q31:R31 Q29:R29 R32 R34" name="maria_1_6" securityDescriptor="O:WDG:WDD:(A;;CC;;;S-1-5-21-3048853270-2157241324-869001692-3245)(A;;CC;;;S-1-5-21-3048853270-2157241324-869001692-1007)"/>
    <protectedRange sqref="S31:AF31 X30 AA30 AF30 S25:AF25 U30 S29:AF29 AI21 AI25:AI31 Y33:Y35 AB33:AB35 AE33:AE35 V33:V35 S33:S35" name="maria_1_1_5" securityDescriptor="O:WDG:WDD:(A;;CC;;;S-1-5-21-3048853270-2157241324-869001692-3245)(A;;CC;;;S-1-5-21-3048853270-2157241324-869001692-1007)"/>
    <protectedRange sqref="AL39:XFD39 B39:D39 F39:P39 O40:O45 M40:M45" name="maria_8" securityDescriptor="O:WDG:WDD:(A;;CC;;;S-1-5-21-3048853270-2157241324-869001692-3245)(A;;CC;;;S-1-5-21-3048853270-2157241324-869001692-1007)"/>
    <protectedRange sqref="Q39:R39" name="maria_1_8" securityDescriptor="O:WDG:WDD:(A;;CC;;;S-1-5-21-3048853270-2157241324-869001692-3245)(A;;CC;;;S-1-5-21-3048853270-2157241324-869001692-1007)"/>
    <protectedRange sqref="S39:U39 W39:AA39 AC39:AF39 AI39" name="maria_1_1_7" securityDescriptor="O:WDG:WDD:(A;;CC;;;S-1-5-21-3048853270-2157241324-869001692-3245)(A;;CC;;;S-1-5-21-3048853270-2157241324-869001692-1007)"/>
    <protectedRange sqref="AF40:AF41 T40:U41 W40:X41 Z40:AA41 AC40:AD41 P40:P41 B40:D41 F40:L41 AI40 AL40:XFD41 H42:H45 N40:N45 AI41:AK45" name="maria_9" securityDescriptor="O:WDG:WDD:(A;;CC;;;S-1-5-21-3048853270-2157241324-869001692-3245)(A;;CC;;;S-1-5-21-3048853270-2157241324-869001692-1007)"/>
    <protectedRange sqref="Q40:R40 Q41:Q45" name="maria_1_9" securityDescriptor="O:WDG:WDD:(A;;CC;;;S-1-5-21-3048853270-2157241324-869001692-3245)(A;;CC;;;S-1-5-21-3048853270-2157241324-869001692-1007)"/>
    <protectedRange sqref="AE58:AE59 S40:S45 Y40:Y45 AE40:AE45" name="maria_1_1_8" securityDescriptor="O:WDG:WDD:(A;;CC;;;S-1-5-21-3048853270-2157241324-869001692-3245)(A;;CC;;;S-1-5-21-3048853270-2157241324-869001692-1007)"/>
    <protectedRange sqref="AI46 AF46 T46:U46 W46:X46 Z46:AA46 B46:D46 AC46:AD46 F46:P46 AL46:XFD46" name="maria_10" securityDescriptor="O:WDG:WDD:(A;;CC;;;S-1-5-21-3048853270-2157241324-869001692-3245)(A;;CC;;;S-1-5-21-3048853270-2157241324-869001692-1007)"/>
    <protectedRange sqref="Q46:R46 R42:R45" name="maria_1_10" securityDescriptor="O:WDG:WDD:(A;;CC;;;S-1-5-21-3048853270-2157241324-869001692-3245)(A;;CC;;;S-1-5-21-3048853270-2157241324-869001692-1007)"/>
    <protectedRange sqref="AE46:AE57 S46:S55 Y46:Y55 AE62:AE66" name="maria_1_1_9" securityDescriptor="O:WDG:WDD:(A;;CC;;;S-1-5-21-3048853270-2157241324-869001692-3245)(A;;CC;;;S-1-5-21-3048853270-2157241324-869001692-1007)"/>
    <protectedRange sqref="AI67:AI68 AF67:AF68 T67:U68 W67:X68 Z67:AA68 C67:D68 AC67:AD68 AL67:XFD68 F67:P67 G68:H68 J68:P68" name="maria_11" securityDescriptor="O:WDG:WDD:(A;;CC;;;S-1-5-21-3048853270-2157241324-869001692-3245)(A;;CC;;;S-1-5-21-3048853270-2157241324-869001692-1007)"/>
    <protectedRange sqref="R56 R61:R62 R98:R100 Q67:R68" name="maria_1_11" securityDescriptor="O:WDG:WDD:(A;;CC;;;S-1-5-21-3048853270-2157241324-869001692-3245)(A;;CC;;;S-1-5-21-3048853270-2157241324-869001692-1007)"/>
    <protectedRange sqref="Y67:Y69 S67:S75 AE67:AE75" name="maria_1_1_10" securityDescriptor="O:WDG:WDD:(A;;CC;;;S-1-5-21-3048853270-2157241324-869001692-3245)(A;;CC;;;S-1-5-21-3048853270-2157241324-869001692-1007)"/>
    <protectedRange sqref="B69:D69 W69:X69 AI69 AC69:AD69 T69:U69 Z69:AA69 AF69 AL69:XFD69 F69:R69 M70:M75" name="maria_12" securityDescriptor="O:WDG:WDD:(A;;CC;;;S-1-5-21-3048853270-2157241324-869001692-3245)(A;;CC;;;S-1-5-21-3048853270-2157241324-869001692-1007)"/>
    <protectedRange sqref="AF70 T70:U70 W70:X70 Z70:AA70 B70:D70 AC70:AD70 N70:P70 F70:L70 AI70:XFD70" name="maria_13" securityDescriptor="O:WDG:WDD:(A;;CC;;;S-1-5-21-3048853270-2157241324-869001692-3245)(A;;CC;;;S-1-5-21-3048853270-2157241324-869001692-1007)"/>
    <protectedRange sqref="Q70:R70" name="maria_1_12" securityDescriptor="O:WDG:WDD:(A;;CC;;;S-1-5-21-3048853270-2157241324-869001692-3245)(A;;CC;;;S-1-5-21-3048853270-2157241324-869001692-1007)"/>
    <protectedRange sqref="Y70" name="maria_1_1_11" securityDescriptor="O:WDG:WDD:(A;;CC;;;S-1-5-21-3048853270-2157241324-869001692-3245)(A;;CC;;;S-1-5-21-3048853270-2157241324-869001692-1007)"/>
    <protectedRange sqref="T71:U75 W71:X75 Z71:AA75 AC71:AD75 AJ75:XFD75 AI71 AL71:XFD71 B71:D75 F68 F90:F91 F71:L73 G74:L75 N71:P75 AF71:AF75 AI72:XFD74 F64:F66" name="maria_14" securityDescriptor="O:WDG:WDD:(A;;CC;;;S-1-5-21-3048853270-2157241324-869001692-3245)(A;;CC;;;S-1-5-21-3048853270-2157241324-869001692-1007)"/>
    <protectedRange sqref="Q71:R75" name="maria_1_13" securityDescriptor="O:WDG:WDD:(A;;CC;;;S-1-5-21-3048853270-2157241324-869001692-3245)(A;;CC;;;S-1-5-21-3048853270-2157241324-869001692-1007)"/>
    <protectedRange sqref="Y71:Y75" name="maria_1_1_12" securityDescriptor="O:WDG:WDD:(A;;CC;;;S-1-5-21-3048853270-2157241324-869001692-3245)(A;;CC;;;S-1-5-21-3048853270-2157241324-869001692-1007)"/>
    <protectedRange sqref="AF76 T76:U76 W76:X76 Z76:AA76 B76:D76 AC76:AD76 F76:P76 AL76:XFD76 M77:M79 AI75:AI76" name="maria_15" securityDescriptor="O:WDG:WDD:(A;;CC;;;S-1-5-21-3048853270-2157241324-869001692-3245)(A;;CC;;;S-1-5-21-3048853270-2157241324-869001692-1007)"/>
    <protectedRange sqref="Q76:R76" name="maria_1_14" securityDescriptor="O:WDG:WDD:(A;;CC;;;S-1-5-21-3048853270-2157241324-869001692-3245)(A;;CC;;;S-1-5-21-3048853270-2157241324-869001692-1007)"/>
    <protectedRange sqref="Y76 S76:S80 AE76:AE80" name="maria_1_1_13" securityDescriptor="O:WDG:WDD:(A;;CC;;;S-1-5-21-3048853270-2157241324-869001692-3245)(A;;CC;;;S-1-5-21-3048853270-2157241324-869001692-1007)"/>
    <protectedRange sqref="AF81 B81:D81 W81:AA81 AC81:AD81 O82 F81:U81 M82 L134 L174 AL81:XFD81 AI81:AI82 Q82:S82 Y82 I82" name="maria_16" securityDescriptor="O:WDG:WDD:(A;;CC;;;S-1-5-21-3048853270-2157241324-869001692-3245)(A;;CC;;;S-1-5-21-3048853270-2157241324-869001692-1007)"/>
    <protectedRange sqref="AE81:AE82" name="maria_1_15" securityDescriptor="O:WDG:WDD:(A;;CC;;;S-1-5-21-3048853270-2157241324-869001692-3245)(A;;CC;;;S-1-5-21-3048853270-2157241324-869001692-1007)"/>
    <protectedRange sqref="B92:D92 W92:AA92 AC92:AF92 Y93:Y96 AE193:AE279 O93:S94 AE281:AE339 AE341:AE360 AI93:AI94 AI92:XFD92 O95:P95 F92:U92 L197 AE362:AE376 AE188:AE189 M93:M96 R95:S96 AE379:AE384 AE151:AE185 AE93:AE149" name="maria_17" securityDescriptor="O:WDG:WDD:(A;;CC;;;S-1-5-21-3048853270-2157241324-869001692-3245)(A;;CC;;;S-1-5-21-3048853270-2157241324-869001692-1007)"/>
    <protectedRange sqref="AL83:XFD83 B83:D83 AJ84:AK86 N86:P86 F83:L83 M83:P85 M86:M91" name="maria_18" securityDescriptor="O:WDG:WDD:(A;;CC;;;S-1-5-21-3048853270-2157241324-869001692-3245)(A;;CC;;;S-1-5-21-3048853270-2157241324-869001692-1007)"/>
    <protectedRange sqref="Q83:R86" name="maria_1_16" securityDescriptor="O:WDG:WDD:(A;;CC;;;S-1-5-21-3048853270-2157241324-869001692-3245)(A;;CC;;;S-1-5-21-3048853270-2157241324-869001692-1007)"/>
    <protectedRange sqref="S83:U83 W83:AA83 AC83:AF83 AI83:AI86 S84:S91 Y84:Y91 AE84:AE91" name="maria_1_1_14" securityDescriptor="O:WDG:WDD:(A;;CC;;;S-1-5-21-3048853270-2157241324-869001692-3245)(A;;CC;;;S-1-5-21-3048853270-2157241324-869001692-1007)"/>
    <protectedRange sqref="AI101 AF101 T101:U101 W101:X101 Z101:AA101 C101:D101 AC101:AD101 O102:P104 F101:P101 AL101:XFD101 O105:O107" name="maria_19" securityDescriptor="O:WDG:WDD:(A;;CC;;;S-1-5-21-3048853270-2157241324-869001692-3245)(A;;CC;;;S-1-5-21-3048853270-2157241324-869001692-1007)"/>
    <protectedRange sqref="Q101:R101" name="maria_1_17" securityDescriptor="O:WDG:WDD:(A;;CC;;;S-1-5-21-3048853270-2157241324-869001692-3245)(A;;CC;;;S-1-5-21-3048853270-2157241324-869001692-1007)"/>
    <protectedRange sqref="S101:S107 T105:T107 Y101:Y107" name="maria_1_1_15" securityDescriptor="O:WDG:WDD:(A;;CC;;;S-1-5-21-3048853270-2157241324-869001692-3245)(A;;CC;;;S-1-5-21-3048853270-2157241324-869001692-1007)"/>
    <protectedRange sqref="AF97 T97:U97 W97:X97 Z97:AA97 B97:D97 AC97:AD97 B101 F97:P97 M98:M100 H99:H100 AI98:AI100 O98:P100 AI97:XFD97" name="maria_20" securityDescriptor="O:WDG:WDD:(A;;CC;;;S-1-5-21-3048853270-2157241324-869001692-3245)(A;;CC;;;S-1-5-21-3048853270-2157241324-869001692-1007)"/>
    <protectedRange sqref="Q97:R97 Q98:Q100" name="maria_1_18" securityDescriptor="O:WDG:WDD:(A;;CC;;;S-1-5-21-3048853270-2157241324-869001692-3245)(A;;CC;;;S-1-5-21-3048853270-2157241324-869001692-1007)"/>
    <protectedRange sqref="Y97:Y100 Z99:Z100 T99:T100 S97:S100" name="maria_1_1_16" securityDescriptor="O:WDG:WDD:(A;;CC;;;S-1-5-21-3048853270-2157241324-869001692-3245)(A;;CC;;;S-1-5-21-3048853270-2157241324-869001692-1007)"/>
    <protectedRange sqref="AL112:XFD112 B112:D112 M113:M115 B127 B129 B131 B120:B121 F112:P112 H114:H115 P114" name="maria_21" securityDescriptor="O:WDG:WDD:(A;;CC;;;S-1-5-21-3048853270-2157241324-869001692-3245)(A;;CC;;;S-1-5-21-3048853270-2157241324-869001692-1007)"/>
    <protectedRange sqref="Q112:R112 Q114:Q119 Q111" name="maria_1_19" securityDescriptor="O:WDG:WDD:(A;;CC;;;S-1-5-21-3048853270-2157241324-869001692-3245)(A;;CC;;;S-1-5-21-3048853270-2157241324-869001692-1007)"/>
    <protectedRange sqref="S112:U112 W112:AA112 AF112 AI112 AC112:AD112 Y113:Y114 X114 S113:S114 U114 AA114 S115:U115 W115:AA115 AC114:AD115 AI114:AI119 S116:S119 Y116:Y119 AF114:AF119" name="maria_1_1_17" securityDescriptor="O:WDG:WDD:(A;;CC;;;S-1-5-21-3048853270-2157241324-869001692-3245)(A;;CC;;;S-1-5-21-3048853270-2157241324-869001692-1007)"/>
    <protectedRange sqref="B108:D108 P108 F108:N108 M116:M119 M109:M111 AJ108:XFD108" name="maria_22" securityDescriptor="O:WDG:WDD:(A;;CC;;;S-1-5-21-3048853270-2157241324-869001692-3245)(A;;CC;;;S-1-5-21-3048853270-2157241324-869001692-1007)"/>
    <protectedRange sqref="Q108:R108" name="maria_1_20" securityDescriptor="O:WDG:WDD:(A;;CC;;;S-1-5-21-3048853270-2157241324-869001692-3245)(A;;CC;;;S-1-5-21-3048853270-2157241324-869001692-1007)"/>
    <protectedRange sqref="S108:U108 W108:AA108 AC108:AD108 AI108 AF108:AF111 S109:S111 Y109:Y111" name="maria_1_1_18" securityDescriptor="O:WDG:WDD:(A;;CC;;;S-1-5-21-3048853270-2157241324-869001692-3245)(A;;CC;;;S-1-5-21-3048853270-2157241324-869001692-1007)"/>
    <protectedRange sqref="AF120:AF121 U120:U121 W120:X121 Z120:AA121 AC120:AD121 F122 C120:D121 F120:P121 AI120:AI121 AL120:XFD121 M122:M123 O122:O125" name="maria_23" securityDescriptor="O:WDG:WDD:(A;;CC;;;S-1-5-21-3048853270-2157241324-869001692-3245)(A;;CC;;;S-1-5-21-3048853270-2157241324-869001692-1007)"/>
    <protectedRange sqref="R35 R126 Q120:R125" name="maria_1_21" securityDescriptor="O:WDG:WDD:(A;;CC;;;S-1-5-21-3048853270-2157241324-869001692-3245)(A;;CC;;;S-1-5-21-3048853270-2157241324-869001692-1007)"/>
    <protectedRange sqref="S120:T121 Y120:Y121 S130 S122:S128" name="maria_1_1_19" securityDescriptor="O:WDG:WDD:(A;;CC;;;S-1-5-21-3048853270-2157241324-869001692-3245)(A;;CC;;;S-1-5-21-3048853270-2157241324-869001692-1007)"/>
    <protectedRange sqref="AF131 T131:U131 W131:X131 Z131:AA131 C131:D131 AC131:AD131 D129 AI129 AF129 T129:U129 W129:X129 Z129:AA129 M129:P129 AC129:AD129 AJ127:AK127 AF127 AA130 M132:M133 F129 F131:P131 O130:P130 U130 X130 M127:M128 M130 M137 AI131:XFD131" name="maria_24" securityDescriptor="O:WDG:WDD:(A;;CC;;;S-1-5-21-3048853270-2157241324-869001692-3245)(A;;CC;;;S-1-5-21-3048853270-2157241324-869001692-1007)"/>
    <protectedRange sqref="R127:R128 Q129:R131" name="maria_1_22" securityDescriptor="O:WDG:WDD:(A;;CC;;;S-1-5-21-3048853270-2157241324-869001692-3245)(A;;CC;;;S-1-5-21-3048853270-2157241324-869001692-1007)"/>
    <protectedRange sqref="Y131 Y129 S129 S131:S133 S137" name="maria_1_1_20" securityDescriptor="O:WDG:WDD:(A;;CC;;;S-1-5-21-3048853270-2157241324-869001692-3245)(A;;CC;;;S-1-5-21-3048853270-2157241324-869001692-1007)"/>
    <protectedRange sqref="AI141 T141:U141 W141:X141 Z141:AA141 B141:D141 AC141:AD141 B144 B149 B158:B159 B163 B170 B167 H142 F142 AF141:AF142 AI142:AK142 F141:P141 F149 M142:P143 B152:B154 AL141:XFD141 I142:I143" name="maria_25" securityDescriptor="O:WDG:WDD:(A;;CC;;;S-1-5-21-3048853270-2157241324-869001692-3245)(A;;CC;;;S-1-5-21-3048853270-2157241324-869001692-1007)"/>
    <protectedRange sqref="Q141:R141 Q142:Q143 R143" name="maria_1_23" securityDescriptor="O:WDG:WDD:(A;;CC;;;S-1-5-21-3048853270-2157241324-869001692-3245)(A;;CC;;;S-1-5-21-3048853270-2157241324-869001692-1007)"/>
    <protectedRange sqref="S141:S143 Y141:Y143" name="maria_1_1_21" securityDescriptor="O:WDG:WDD:(A;;CC;;;S-1-5-21-3048853270-2157241324-869001692-3245)(A;;CC;;;S-1-5-21-3048853270-2157241324-869001692-1007)"/>
    <protectedRange sqref="AF36 T36:U36 W36:X36 Z36:AD36 B36:D36 AB193:AB201 AI36:AI37 AB32 M37:P38 F36:P36 H150 M150:N150 AB59 AL36:XFD36 R36:R38 H37:H38 P150 AB188:AB189 R150:R151 AB127:AB137 AB37:AB57 AB61:AB122 AB141:AB185" name="maria_26" securityDescriptor="O:WDG:WDD:(A;;CC;;;S-1-5-21-3048853270-2157241324-869001692-3245)(A;;CC;;;S-1-5-21-3048853270-2157241324-869001692-1007)"/>
    <protectedRange sqref="Q150 Q36:Q38" name="maria_1_24" securityDescriptor="O:WDG:WDD:(A;;CC;;;S-1-5-21-3048853270-2157241324-869001692-3245)(A;;CC;;;S-1-5-21-3048853270-2157241324-869001692-1007)"/>
    <protectedRange sqref="W99:W100 W56 S32 V32 AE32 Y32 W154 W62 V188:V189 S150 AE150 Y150:Y151 AE36:AE38 Y36:Y38 S36:S38 V36:V59 V61:V137 V141:V185" name="maria_1_1_22" securityDescriptor="O:WDG:WDD:(A;;CC;;;S-1-5-21-3048853270-2157241324-869001692-3245)(A;;CC;;;S-1-5-21-3048853270-2157241324-869001692-1007)"/>
    <protectedRange sqref="B174:D174 W174:AA174 AF174 AI174 AC174:AD174 M174:U174 AL174:XFD174 F302 F174:K174 Y175:Y181 M175:M181 S175:S181" name="maria_28" securityDescriptor="O:WDG:WDD:(A;;CC;;;S-1-5-21-3048853270-2157241324-869001692-3245)(A;;CC;;;S-1-5-21-3048853270-2157241324-869001692-1007)"/>
    <protectedRange sqref="T175:U181 W175:X181 Z175:AA181 B175:D181 AC175:AD177 F42 F61:F62 AC179:AD181 F175:L177 G178:L181 AI175:AI176 AL175:XFD176 F98:F100 F110 N175:P181 AI177:XFD181 F49:F57 AF175:AF181" name="maria_29" securityDescriptor="O:WDG:WDD:(A;;CC;;;S-1-5-21-3048853270-2157241324-869001692-3245)(A;;CC;;;S-1-5-21-3048853270-2157241324-869001692-1007)"/>
    <protectedRange sqref="R105:R107 R111 R113:R119 Q175:R181" name="maria_1_25" securityDescriptor="O:WDG:WDD:(A;;CC;;;S-1-5-21-3048853270-2157241324-869001692-3245)(A;;CC;;;S-1-5-21-3048853270-2157241324-869001692-1007)"/>
    <protectedRange sqref="AI159 AF159 T159:U159 W159:X159 Z159:AA159 C159:D159 AI154:AK157 F159:P159 AL159:XFD159 K154:K157 M154:M157 O160:O162 M160:M162" name="maria_30" securityDescriptor="O:WDG:WDD:(A;;CC;;;S-1-5-21-3048853270-2157241324-869001692-3245)(A;;CC;;;S-1-5-21-3048853270-2157241324-869001692-1007)"/>
    <protectedRange sqref="Q159:R159 R154 R160:R162" name="maria_1_26" securityDescriptor="O:WDG:WDD:(A;;CC;;;S-1-5-21-3048853270-2157241324-869001692-3245)(A;;CC;;;S-1-5-21-3048853270-2157241324-869001692-1007)"/>
    <protectedRange sqref="S159:S173 Y159:Y173" name="maria_1_1_24" securityDescriptor="O:WDG:WDD:(A;;CC;;;S-1-5-21-3048853270-2157241324-869001692-3245)(A;;CC;;;S-1-5-21-3048853270-2157241324-869001692-1007)"/>
    <protectedRange sqref="AI144 AF144 T144:U144 W144:X144 Z144:AA144 C144:D144 AC144:AD144 M135:M136 M140 F144:P144 M138 H146 AL144:XFD144 M145:M148 N146:P148" name="maria_31" securityDescriptor="O:WDG:WDD:(A;;CC;;;S-1-5-21-3048853270-2157241324-869001692-3245)(A;;CC;;;S-1-5-21-3048853270-2157241324-869001692-1007)"/>
    <protectedRange sqref="Q144:R144 R89 Q146:R148" name="maria_1_27" securityDescriptor="O:WDG:WDD:(A;;CC;;;S-1-5-21-3048853270-2157241324-869001692-3245)(A;;CC;;;S-1-5-21-3048853270-2157241324-869001692-1007)"/>
    <protectedRange sqref="Y135 S135 S144:S148 Y144:Y148" name="maria_1_1_25" securityDescriptor="O:WDG:WDD:(A;;CC;;;S-1-5-21-3048853270-2157241324-869001692-3245)(A;;CC;;;S-1-5-21-3048853270-2157241324-869001692-1007)"/>
    <protectedRange sqref="B134 F134" name="maria_32" securityDescriptor="O:WDG:WDD:(A;;CC;;;S-1-5-21-3048853270-2157241324-869001692-3245)(A;;CC;;;S-1-5-21-3048853270-2157241324-869001692-1007)"/>
    <protectedRange sqref="C134:D134 G134:H134 W134:AA134 AF134 AI134 AC134:AD134 S136 O135:P135 H135:H136 P136 J134:K134 M134:U134 AL134:XFD134 Y136:Y137" name="maria_1_28" securityDescriptor="O:WDG:WDD:(A;;CC;;;S-1-5-21-3048853270-2157241324-869001692-3245)(A;;CC;;;S-1-5-21-3048853270-2157241324-869001692-1007)"/>
    <protectedRange sqref="C237:H237 C194:H229 C238:I241 J229:L229 T195:U241 W211:X241 Z211:AA241 I194:L196 AF193:AF241 AC193:AD241 W194:AA210 N195:R241 N194:U194 V194:V279 Y211:Y279 AB202:AB279 B194:B290 C292:C293 S195:S296 C230:L236 Y139 AB139 M139 M194:M339 S298:S339 AB281:AB339 Y282:Y339 V281:V339 B294:B339 B139 S139 V139 J237:L241 B355:B361 B193:AA193 V341:V360 S341:S360 B341:B353 M341:M360 AB341:AB360 Y341:Y360 AL193:XFD193 I198:L228 I197:K197 AI193 AB362:AB376 Y362:Y376 V362:V376 S362:S376 M362:M376 S378 Y378 S379:AD384 U126 AI194:XFD241" name="maria_33" securityDescriptor="O:WDG:WDD:(A;;CC;;;S-1-5-21-3048853270-2157241324-869001692-3245)(A;;CC;;;S-1-5-21-3048853270-2157241324-869001692-1007)"/>
    <protectedRange sqref="AI242 AF242 T242:U242 W242:X242 Z242:AA242 C242:L242 AC242:AD242 N242:P242 E312:E315 AL242:XFD242" name="maria_34" securityDescriptor="O:WDG:WDD:(A;;CC;;;S-1-5-21-3048853270-2157241324-869001692-3245)(A;;CC;;;S-1-5-21-3048853270-2157241324-869001692-1007)"/>
    <protectedRange sqref="Q242:R242" name="maria_1_29" securityDescriptor="O:WDG:WDD:(A;;CC;;;S-1-5-21-3048853270-2157241324-869001692-3245)(A;;CC;;;S-1-5-21-3048853270-2157241324-869001692-1007)"/>
    <protectedRange sqref="O243:P243 R243:R245 O245:P245 AF243:AF245 T243:U245 W243:X245 Z243 AA243:AA244 Z245:AA245 AC243:AD245 N243:N245 AI302 R302:R304 R306:R307 C243:D245 F243:L245 AI243:AI245 AL243:XFD245" name="maria_35" securityDescriptor="O:WDG:WDD:(A;;CC;;;S-1-5-21-3048853270-2157241324-869001692-3245)(A;;CC;;;S-1-5-21-3048853270-2157241324-869001692-1007)"/>
    <protectedRange sqref="Q243:Q245" name="maria_1_30" securityDescriptor="O:WDG:WDD:(A;;CC;;;S-1-5-21-3048853270-2157241324-869001692-3245)(A;;CC;;;S-1-5-21-3048853270-2157241324-869001692-1007)"/>
    <protectedRange sqref="Z244" name="maria_1_1_27" securityDescriptor="O:WDG:WDD:(A;;CC;;;S-1-5-21-3048853270-2157241324-869001692-3245)(A;;CC;;;S-1-5-21-3048853270-2157241324-869001692-1007)"/>
    <protectedRange sqref="AF246:AF253 T246:U253 W246:X253 Z246:AA253 AC246:AD253 C246:L253 N246:P253 E257 E262:E264 E268:E269 E271 E273:E277 E280 E288:E290 E296 E305:E306 E308:E311 E324:E331 E338:E339 E342:E349 E316:E322 E170 E167 E163:E164 E155 E145 E135 E127 E103:E104 E86 E41 E37 E32 E30 E17 E7 E84 E353 E333:E336 E355:E360 E152 AI246:AI253 AL246:XFD253 E22:E25 E372:E373 E376:F376 E10:E12 E15 E34:E35 E124 E181 E384 E111" name="maria_36" securityDescriptor="O:WDG:WDD:(A;;CC;;;S-1-5-21-3048853270-2157241324-869001692-3245)(A;;CC;;;S-1-5-21-3048853270-2157241324-869001692-1007)"/>
    <protectedRange sqref="Q246:R253" name="maria_1_31" securityDescriptor="O:WDG:WDD:(A;;CC;;;S-1-5-21-3048853270-2157241324-869001692-3245)(A;;CC;;;S-1-5-21-3048853270-2157241324-869001692-1007)"/>
    <protectedRange sqref="AF254:AF255 T254:U255 W254:X255 Z255 AA254:AA255 C254:L255 AC254:AD255 N254:P255 AF266 T266:U266 W266:X266 AA266 C266:L266 AC266:AD266 E265 E267 N266:P267 AI267 E278 E270 AI255 AL255:XFD255 E374 AI266:XFD266 AI254:XFD254" name="maria_37" securityDescriptor="O:WDG:WDD:(A;;CC;;;S-1-5-21-3048853270-2157241324-869001692-3245)(A;;CC;;;S-1-5-21-3048853270-2157241324-869001692-1007)"/>
    <protectedRange sqref="Q254:R255 Q266:R267" name="maria_1_32" securityDescriptor="O:WDG:WDD:(A;;CC;;;S-1-5-21-3048853270-2157241324-869001692-3245)(A;;CC;;;S-1-5-21-3048853270-2157241324-869001692-1007)"/>
    <protectedRange sqref="Z254 Z266" name="maria_1_1_29" securityDescriptor="O:WDG:WDD:(A;;CC;;;S-1-5-21-3048853270-2157241324-869001692-3245)(A;;CC;;;S-1-5-21-3048853270-2157241324-869001692-1007)"/>
    <protectedRange sqref="AF256:AF257 T256:U257 W256:X257 Z257:AA257 AC256:AD257 C256:L256 N256:P257 C257:D257 F257:L257 AI256:AI257 AL256:XFD257" name="maria_38" securityDescriptor="O:WDG:WDD:(A;;CC;;;S-1-5-21-3048853270-2157241324-869001692-3245)(A;;CC;;;S-1-5-21-3048853270-2157241324-869001692-1007)"/>
    <protectedRange sqref="Q256:R256 Q257" name="maria_1_33" securityDescriptor="O:WDG:WDD:(A;;CC;;;S-1-5-21-3048853270-2157241324-869001692-3245)(A;;CC;;;S-1-5-21-3048853270-2157241324-869001692-1007)"/>
    <protectedRange sqref="H260:I260 G258:I259 AF258:AF260 C258:F260 T258:U260 W258:X260 Z258:AA260 J258:L260 AC258:AD260 N265:P265 N258:P260 AI258:AI259 AL258:XFD259 AI260:XFD260" name="maria_39" securityDescriptor="O:WDG:WDD:(A;;CC;;;S-1-5-21-3048853270-2157241324-869001692-3245)(A;;CC;;;S-1-5-21-3048853270-2157241324-869001692-1007)"/>
    <protectedRange sqref="Q258:R260 R265" name="maria_1_34" securityDescriptor="O:WDG:WDD:(A;;CC;;;S-1-5-21-3048853270-2157241324-869001692-3245)(A;;CC;;;S-1-5-21-3048853270-2157241324-869001692-1007)"/>
    <protectedRange sqref="AF261:AF262 T261:U262 W261:X262 C261:L261 AC261:AD262 Z261:AA263 AI263:AK263 N261:P264 AI268 N268:P268 C262:D262 F262:L262 F263:F264 F268:F269 F280 AI262 AL262:XFD262 AI264 AI261:XFD261" name="maria_40" securityDescriptor="O:WDG:WDD:(A;;CC;;;S-1-5-21-3048853270-2157241324-869001692-3245)(A;;CC;;;S-1-5-21-3048853270-2157241324-869001692-1007)"/>
    <protectedRange sqref="Q261:R264 Q268:R268 R269:R271" name="maria_1_35" securityDescriptor="O:WDG:WDD:(A;;CC;;;S-1-5-21-3048853270-2157241324-869001692-3245)(A;;CC;;;S-1-5-21-3048853270-2157241324-869001692-1007)"/>
    <protectedRange sqref="AF102:AF104 T102:U104 W102:X104 Z102:AA104 AC102:AD104 C102:D104 F102:N104 AI105:AI106 M105:M107 AI102:XFD104" name="maria_42" securityDescriptor="O:WDG:WDD:(A;;CC;;;S-1-5-21-3048853270-2157241324-869001692-3245)(A;;CC;;;S-1-5-21-3048853270-2157241324-869001692-1007)"/>
    <protectedRange sqref="Q102:R102 Q103:Q104" name="maria_1_37" securityDescriptor="O:WDG:WDD:(A;;CC;;;S-1-5-21-3048853270-2157241324-869001692-3245)(A;;CC;;;S-1-5-21-3048853270-2157241324-869001692-1007)"/>
    <protectedRange sqref="T340:U340 W340:X340 AF340 Z340:AA340 AC340:AD340 C340:D340 N340:P340 AH340:AI340 F340:L340 F341 F350:F352 AL340:XFD340" name="maria_7" securityDescriptor="O:WDG:WDD:(A;;CC;;;S-1-5-21-3048853270-2157241324-869001692-3245)(A;;CC;;;S-1-5-21-3048853270-2157241324-869001692-1007)"/>
    <protectedRange sqref="Q340" name="maria_1_7" securityDescriptor="O:WDG:WDD:(A;;CC;;;S-1-5-21-3048853270-2157241324-869001692-3245)(A;;CC;;;S-1-5-21-3048853270-2157241324-869001692-1007)"/>
    <protectedRange sqref="AE340" name="maria_17_1" securityDescriptor="O:WDG:WDD:(A;;CC;;;S-1-5-21-3048853270-2157241324-869001692-3245)(A;;CC;;;S-1-5-21-3048853270-2157241324-869001692-1007)"/>
    <protectedRange sqref="V340 Y340 AB340 B340 S340 M340" name="maria_33_1" securityDescriptor="O:WDG:WDD:(A;;CC;;;S-1-5-21-3048853270-2157241324-869001692-3245)(A;;CC;;;S-1-5-21-3048853270-2157241324-869001692-1007)"/>
    <protectedRange sqref="E340:E341 E350:E352" name="maria_36_1" securityDescriptor="O:WDG:WDD:(A;;CC;;;S-1-5-21-3048853270-2157241324-869001692-3245)(A;;CC;;;S-1-5-21-3048853270-2157241324-869001692-1007)"/>
    <protectedRange sqref="T377:U377 W377:X377 AF377 Z377:AA377 AC377:AD377 C377:D377 F377:G377 AH377:AK377" name="maria_27" securityDescriptor="O:WDG:WDD:(A;;CC;;;S-1-5-21-3048853270-2157241324-869001692-3245)(A;;CC;;;S-1-5-21-3048853270-2157241324-869001692-1007)"/>
    <protectedRange sqref="AE377:AE378" name="maria_17_2" securityDescriptor="O:WDG:WDD:(A;;CC;;;S-1-5-21-3048853270-2157241324-869001692-3245)(A;;CC;;;S-1-5-21-3048853270-2157241324-869001692-1007)"/>
    <protectedRange sqref="Y377 B377 S377 AB377:AB378 V377:V378 M377:M384" name="maria_33_2" securityDescriptor="O:WDG:WDD:(A;;CC;;;S-1-5-21-3048853270-2157241324-869001692-3245)(A;;CC;;;S-1-5-21-3048853270-2157241324-869001692-1007)"/>
    <protectedRange sqref="O377:P377" name="maria_10_1" securityDescriptor="O:WDG:WDD:(A;;CC;;;S-1-5-21-3048853270-2157241324-869001692-3245)(A;;CC;;;S-1-5-21-3048853270-2157241324-869001692-1007)"/>
    <protectedRange sqref="B109:D111 G109:H111" name="maria_41" securityDescriptor="O:WDG:WDD:(A;;CC;;;S-1-5-21-3048853270-2157241324-869001692-3245)(A;;CC;;;S-1-5-21-3048853270-2157241324-869001692-1007)"/>
    <protectedRange sqref="F109" name="maria_22_1" securityDescriptor="O:WDG:WDD:(A;;CC;;;S-1-5-21-3048853270-2157241324-869001692-3245)(A;;CC;;;S-1-5-21-3048853270-2157241324-869001692-1007)"/>
    <protectedRange sqref="J109:J111" name="maria_43" securityDescriptor="O:WDG:WDD:(A;;CC;;;S-1-5-21-3048853270-2157241324-869001692-3245)(A;;CC;;;S-1-5-21-3048853270-2157241324-869001692-1007)"/>
    <protectedRange sqref="I109:I111" name="maria_22_2" securityDescriptor="O:WDG:WDD:(A;;CC;;;S-1-5-21-3048853270-2157241324-869001692-3245)(A;;CC;;;S-1-5-21-3048853270-2157241324-869001692-1007)"/>
    <protectedRange sqref="K109:L111" name="maria_44" securityDescriptor="O:WDG:WDD:(A;;CC;;;S-1-5-21-3048853270-2157241324-869001692-3245)(A;;CC;;;S-1-5-21-3048853270-2157241324-869001692-1007)"/>
    <protectedRange sqref="P109 N109:N111" name="maria_22_3" securityDescriptor="O:WDG:WDD:(A;;CC;;;S-1-5-21-3048853270-2157241324-869001692-3245)(A;;CC;;;S-1-5-21-3048853270-2157241324-869001692-1007)"/>
    <protectedRange sqref="Q109:R110" name="maria_1_20_1" securityDescriptor="O:WDG:WDD:(A;;CC;;;S-1-5-21-3048853270-2157241324-869001692-3245)(A;;CC;;;S-1-5-21-3048853270-2157241324-869001692-1007)"/>
    <protectedRange sqref="T109:U111" name="maria_45" securityDescriptor="O:WDG:WDD:(A;;CC;;;S-1-5-21-3048853270-2157241324-869001692-3245)(A;;CC;;;S-1-5-21-3048853270-2157241324-869001692-1007)"/>
    <protectedRange sqref="W109:X111" name="maria_46" securityDescriptor="O:WDG:WDD:(A;;CC;;;S-1-5-21-3048853270-2157241324-869001692-3245)(A;;CC;;;S-1-5-21-3048853270-2157241324-869001692-1007)"/>
    <protectedRange sqref="Z109:AA111" name="maria_47" securityDescriptor="O:WDG:WDD:(A;;CC;;;S-1-5-21-3048853270-2157241324-869001692-3245)(A;;CC;;;S-1-5-21-3048853270-2157241324-869001692-1007)"/>
    <protectedRange sqref="W361:X361 AF361 AC361:AD361 C361:D361 T361:U361 Z361:AA361 F361:L361 AH361 O365:P365 N361:P364 R361:R364 R366:R369 N366:P376 O35:P35 O126:P126 O378:P384" name="maria_48" securityDescriptor="O:WDG:WDD:(A;;CC;;;S-1-5-21-3048853270-2157241324-869001692-3245)(A;;CC;;;S-1-5-21-3048853270-2157241324-869001692-1007)"/>
    <protectedRange sqref="Q361:Q376" name="maria_1_36" securityDescriptor="O:WDG:WDD:(A;;CC;;;S-1-5-21-3048853270-2157241324-869001692-3245)(A;;CC;;;S-1-5-21-3048853270-2157241324-869001692-1007)"/>
    <protectedRange sqref="AE361" name="maria_17_3" securityDescriptor="O:WDG:WDD:(A;;CC;;;S-1-5-21-3048853270-2157241324-869001692-3245)(A;;CC;;;S-1-5-21-3048853270-2157241324-869001692-1007)"/>
    <protectedRange sqref="Y361 AB361 S361 V361 M361" name="maria_33_3" securityDescriptor="O:WDG:WDD:(A;;CC;;;S-1-5-21-3048853270-2157241324-869001692-3245)(A;;CC;;;S-1-5-21-3048853270-2157241324-869001692-1007)"/>
    <protectedRange sqref="E361" name="maria_36_2" securityDescriptor="O:WDG:WDD:(A;;CC;;;S-1-5-21-3048853270-2157241324-869001692-3245)(A;;CC;;;S-1-5-21-3048853270-2157241324-869001692-1007)"/>
    <protectedRange sqref="E337" name="maria_1_4_1" securityDescriptor="O:WDG:WDD:(A;;CC;;;S-1-5-21-3048853270-2157241324-869001692-3245)(A;;CC;;;S-1-5-21-3048853270-2157241324-869001692-1007)"/>
    <protectedRange sqref="E365" name="maria_1_1" securityDescriptor="O:WDG:WDD:(A;;CC;;;S-1-5-21-3048853270-2157241324-869001692-3245)(A;;CC;;;S-1-5-21-3048853270-2157241324-869001692-1007)"/>
    <protectedRange sqref="F365" name="maria_49" securityDescriptor="O:WDG:WDD:(A;;CC;;;S-1-5-21-3048853270-2157241324-869001692-3245)(A;;CC;;;S-1-5-21-3048853270-2157241324-869001692-1007)"/>
    <protectedRange sqref="N365" name="maria_2_1" securityDescriptor="O:WDG:WDD:(A;;CC;;;S-1-5-21-3048853270-2157241324-869001692-3245)(A;;CC;;;S-1-5-21-3048853270-2157241324-869001692-1007)"/>
    <protectedRange sqref="R365 R370:R376" name="maria_3_1" securityDescriptor="O:WDG:WDD:(A;;CC;;;S-1-5-21-3048853270-2157241324-869001692-3245)(A;;CC;;;S-1-5-21-3048853270-2157241324-869001692-1007)"/>
    <protectedRange sqref="AJ242:AK242" name="maria_34_2" securityDescriptor="O:WDG:WDD:(A;;CC;;;S-1-5-21-3048853270-2157241324-869001692-3245)(A;;CC;;;S-1-5-21-3048853270-2157241324-869001692-1007)"/>
    <protectedRange sqref="AJ246:AK246" name="maria_36_4" securityDescriptor="O:WDG:WDD:(A;;CC;;;S-1-5-21-3048853270-2157241324-869001692-3245)(A;;CC;;;S-1-5-21-3048853270-2157241324-869001692-1007)"/>
    <protectedRange sqref="AJ247:AK247" name="maria_36_6" securityDescriptor="O:WDG:WDD:(A;;CC;;;S-1-5-21-3048853270-2157241324-869001692-3245)(A;;CC;;;S-1-5-21-3048853270-2157241324-869001692-1007)"/>
    <protectedRange sqref="AJ248:AK248" name="maria_36_7" securityDescriptor="O:WDG:WDD:(A;;CC;;;S-1-5-21-3048853270-2157241324-869001692-3245)(A;;CC;;;S-1-5-21-3048853270-2157241324-869001692-1007)"/>
    <protectedRange sqref="AJ249:AK249" name="maria_36_8" securityDescriptor="O:WDG:WDD:(A;;CC;;;S-1-5-21-3048853270-2157241324-869001692-3245)(A;;CC;;;S-1-5-21-3048853270-2157241324-869001692-1007)"/>
    <protectedRange sqref="AJ250:AK250" name="maria_36_9" securityDescriptor="O:WDG:WDD:(A;;CC;;;S-1-5-21-3048853270-2157241324-869001692-3245)(A;;CC;;;S-1-5-21-3048853270-2157241324-869001692-1007)"/>
    <protectedRange sqref="AJ251:AK251" name="maria_36_10" securityDescriptor="O:WDG:WDD:(A;;CC;;;S-1-5-21-3048853270-2157241324-869001692-3245)(A;;CC;;;S-1-5-21-3048853270-2157241324-869001692-1007)"/>
    <protectedRange sqref="AJ252:AK252" name="maria_36_12" securityDescriptor="O:WDG:WDD:(A;;CC;;;S-1-5-21-3048853270-2157241324-869001692-3245)(A;;CC;;;S-1-5-21-3048853270-2157241324-869001692-1007)"/>
    <protectedRange sqref="AJ253:AK253" name="maria_36_14" securityDescriptor="O:WDG:WDD:(A;;CC;;;S-1-5-21-3048853270-2157241324-869001692-3245)(A;;CC;;;S-1-5-21-3048853270-2157241324-869001692-1007)"/>
    <protectedRange sqref="AJ255:AK255" name="maria_37_1" securityDescriptor="O:WDG:WDD:(A;;CC;;;S-1-5-21-3048853270-2157241324-869001692-3245)(A;;CC;;;S-1-5-21-3048853270-2157241324-869001692-1007)"/>
    <protectedRange sqref="AJ256:AK256" name="maria_38_1" securityDescriptor="O:WDG:WDD:(A;;CC;;;S-1-5-21-3048853270-2157241324-869001692-3245)(A;;CC;;;S-1-5-21-3048853270-2157241324-869001692-1007)"/>
    <protectedRange sqref="AJ257:AK257" name="maria_38_3" securityDescriptor="O:WDG:WDD:(A;;CC;;;S-1-5-21-3048853270-2157241324-869001692-3245)(A;;CC;;;S-1-5-21-3048853270-2157241324-869001692-1007)"/>
    <protectedRange sqref="AJ258:AK258" name="maria_39_2" securityDescriptor="O:WDG:WDD:(A;;CC;;;S-1-5-21-3048853270-2157241324-869001692-3245)(A;;CC;;;S-1-5-21-3048853270-2157241324-869001692-1007)"/>
    <protectedRange sqref="AJ259:AK259" name="maria_39_3" securityDescriptor="O:WDG:WDD:(A;;CC;;;S-1-5-21-3048853270-2157241324-869001692-3245)(A;;CC;;;S-1-5-21-3048853270-2157241324-869001692-1007)"/>
    <protectedRange sqref="AJ262:AK262" name="maria_40_1" securityDescriptor="O:WDG:WDD:(A;;CC;;;S-1-5-21-3048853270-2157241324-869001692-3245)(A;;CC;;;S-1-5-21-3048853270-2157241324-869001692-1007)"/>
    <protectedRange sqref="AJ264:AK264" name="maria_40_2" securityDescriptor="O:WDG:WDD:(A;;CC;;;S-1-5-21-3048853270-2157241324-869001692-3245)(A;;CC;;;S-1-5-21-3048853270-2157241324-869001692-1007)"/>
    <protectedRange sqref="AJ268:AK268" name="maria_40_4" securityDescriptor="O:WDG:WDD:(A;;CC;;;S-1-5-21-3048853270-2157241324-869001692-3245)(A;;CC;;;S-1-5-21-3048853270-2157241324-869001692-1007)"/>
    <protectedRange sqref="AJ269:AK269" name="maria_50" securityDescriptor="O:WDG:WDD:(A;;CC;;;S-1-5-21-3048853270-2157241324-869001692-3245)(A;;CC;;;S-1-5-21-3048853270-2157241324-869001692-1007)"/>
    <protectedRange sqref="AJ271:AK271" name="maria_51" securityDescriptor="O:WDG:WDD:(A;;CC;;;S-1-5-21-3048853270-2157241324-869001692-3245)(A;;CC;;;S-1-5-21-3048853270-2157241324-869001692-1007)"/>
    <protectedRange sqref="AJ273:AK273" name="maria_52" securityDescriptor="O:WDG:WDD:(A;;CC;;;S-1-5-21-3048853270-2157241324-869001692-3245)(A;;CC;;;S-1-5-21-3048853270-2157241324-869001692-1007)"/>
    <protectedRange sqref="AJ274:AK274" name="maria_53" securityDescriptor="O:WDG:WDD:(A;;CC;;;S-1-5-21-3048853270-2157241324-869001692-3245)(A;;CC;;;S-1-5-21-3048853270-2157241324-869001692-1007)"/>
    <protectedRange sqref="AJ275:AK275" name="maria_54" securityDescriptor="O:WDG:WDD:(A;;CC;;;S-1-5-21-3048853270-2157241324-869001692-3245)(A;;CC;;;S-1-5-21-3048853270-2157241324-869001692-1007)"/>
    <protectedRange sqref="AJ276:AK276" name="maria_55" securityDescriptor="O:WDG:WDD:(A;;CC;;;S-1-5-21-3048853270-2157241324-869001692-3245)(A;;CC;;;S-1-5-21-3048853270-2157241324-869001692-1007)"/>
    <protectedRange sqref="AJ277:AK277" name="maria_57" securityDescriptor="O:WDG:WDD:(A;;CC;;;S-1-5-21-3048853270-2157241324-869001692-3245)(A;;CC;;;S-1-5-21-3048853270-2157241324-869001692-1007)"/>
    <protectedRange sqref="AJ280:AK280" name="maria_58" securityDescriptor="O:WDG:WDD:(A;;CC;;;S-1-5-21-3048853270-2157241324-869001692-3245)(A;;CC;;;S-1-5-21-3048853270-2157241324-869001692-1007)"/>
    <protectedRange sqref="AJ281:AK281" name="maria_60" securityDescriptor="O:WDG:WDD:(A;;CC;;;S-1-5-21-3048853270-2157241324-869001692-3245)(A;;CC;;;S-1-5-21-3048853270-2157241324-869001692-1007)"/>
    <protectedRange sqref="AJ284:AK284" name="maria_62" securityDescriptor="O:WDG:WDD:(A;;CC;;;S-1-5-21-3048853270-2157241324-869001692-3245)(A;;CC;;;S-1-5-21-3048853270-2157241324-869001692-1007)"/>
    <protectedRange sqref="AJ285:AK285" name="maria_64" securityDescriptor="O:WDG:WDD:(A;;CC;;;S-1-5-21-3048853270-2157241324-869001692-3245)(A;;CC;;;S-1-5-21-3048853270-2157241324-869001692-1007)"/>
    <protectedRange sqref="AJ286:AK286" name="maria_65" securityDescriptor="O:WDG:WDD:(A;;CC;;;S-1-5-21-3048853270-2157241324-869001692-3245)(A;;CC;;;S-1-5-21-3048853270-2157241324-869001692-1007)"/>
    <protectedRange sqref="AJ288:AK288" name="maria_66" securityDescriptor="O:WDG:WDD:(A;;CC;;;S-1-5-21-3048853270-2157241324-869001692-3245)(A;;CC;;;S-1-5-21-3048853270-2157241324-869001692-1007)"/>
    <protectedRange sqref="AJ289:AK289" name="maria_68" securityDescriptor="O:WDG:WDD:(A;;CC;;;S-1-5-21-3048853270-2157241324-869001692-3245)(A;;CC;;;S-1-5-21-3048853270-2157241324-869001692-1007)"/>
    <protectedRange sqref="AJ290:AK290" name="maria_69" securityDescriptor="O:WDG:WDD:(A;;CC;;;S-1-5-21-3048853270-2157241324-869001692-3245)(A;;CC;;;S-1-5-21-3048853270-2157241324-869001692-1007)"/>
    <protectedRange sqref="AJ292:AK292" name="maria_70" securityDescriptor="O:WDG:WDD:(A;;CC;;;S-1-5-21-3048853270-2157241324-869001692-3245)(A;;CC;;;S-1-5-21-3048853270-2157241324-869001692-1007)"/>
    <protectedRange sqref="AJ293:AK293" name="maria_71" securityDescriptor="O:WDG:WDD:(A;;CC;;;S-1-5-21-3048853270-2157241324-869001692-3245)(A;;CC;;;S-1-5-21-3048853270-2157241324-869001692-1007)"/>
    <protectedRange sqref="AJ295:AK295" name="maria_72" securityDescriptor="O:WDG:WDD:(A;;CC;;;S-1-5-21-3048853270-2157241324-869001692-3245)(A;;CC;;;S-1-5-21-3048853270-2157241324-869001692-1007)"/>
    <protectedRange sqref="AJ297:AK297" name="maria_74" securityDescriptor="O:WDG:WDD:(A;;CC;;;S-1-5-21-3048853270-2157241324-869001692-3245)(A;;CC;;;S-1-5-21-3048853270-2157241324-869001692-1007)"/>
    <protectedRange sqref="AJ300:AK300" name="maria_76" securityDescriptor="O:WDG:WDD:(A;;CC;;;S-1-5-21-3048853270-2157241324-869001692-3245)(A;;CC;;;S-1-5-21-3048853270-2157241324-869001692-1007)"/>
    <protectedRange sqref="AJ301:AK301" name="maria_77" securityDescriptor="O:WDG:WDD:(A;;CC;;;S-1-5-21-3048853270-2157241324-869001692-3245)(A;;CC;;;S-1-5-21-3048853270-2157241324-869001692-1007)"/>
    <protectedRange sqref="AJ303:AK303" name="maria_78" securityDescriptor="O:WDG:WDD:(A;;CC;;;S-1-5-21-3048853270-2157241324-869001692-3245)(A;;CC;;;S-1-5-21-3048853270-2157241324-869001692-1007)"/>
    <protectedRange sqref="AJ304:AK304" name="maria_79" securityDescriptor="O:WDG:WDD:(A;;CC;;;S-1-5-21-3048853270-2157241324-869001692-3245)(A;;CC;;;S-1-5-21-3048853270-2157241324-869001692-1007)"/>
    <protectedRange sqref="AJ305:AK305" name="maria_80" securityDescriptor="O:WDG:WDD:(A;;CC;;;S-1-5-21-3048853270-2157241324-869001692-3245)(A;;CC;;;S-1-5-21-3048853270-2157241324-869001692-1007)"/>
    <protectedRange sqref="AJ306:AK306" name="maria_81" securityDescriptor="O:WDG:WDD:(A;;CC;;;S-1-5-21-3048853270-2157241324-869001692-3245)(A;;CC;;;S-1-5-21-3048853270-2157241324-869001692-1007)"/>
    <protectedRange sqref="AJ308:AK308" name="maria_82" securityDescriptor="O:WDG:WDD:(A;;CC;;;S-1-5-21-3048853270-2157241324-869001692-3245)(A;;CC;;;S-1-5-21-3048853270-2157241324-869001692-1007)"/>
    <protectedRange sqref="AJ309:AK309" name="maria_83" securityDescriptor="O:WDG:WDD:(A;;CC;;;S-1-5-21-3048853270-2157241324-869001692-3245)(A;;CC;;;S-1-5-21-3048853270-2157241324-869001692-1007)"/>
    <protectedRange sqref="AJ311:AK311" name="maria_84" securityDescriptor="O:WDG:WDD:(A;;CC;;;S-1-5-21-3048853270-2157241324-869001692-3245)(A;;CC;;;S-1-5-21-3048853270-2157241324-869001692-1007)"/>
    <protectedRange sqref="AJ312:AK312" name="maria_85" securityDescriptor="O:WDG:WDD:(A;;CC;;;S-1-5-21-3048853270-2157241324-869001692-3245)(A;;CC;;;S-1-5-21-3048853270-2157241324-869001692-1007)"/>
    <protectedRange sqref="AJ313:AK313" name="maria_87" securityDescriptor="O:WDG:WDD:(A;;CC;;;S-1-5-21-3048853270-2157241324-869001692-3245)(A;;CC;;;S-1-5-21-3048853270-2157241324-869001692-1007)"/>
    <protectedRange sqref="AJ314:AK314" name="maria_88" securityDescriptor="O:WDG:WDD:(A;;CC;;;S-1-5-21-3048853270-2157241324-869001692-3245)(A;;CC;;;S-1-5-21-3048853270-2157241324-869001692-1007)"/>
    <protectedRange sqref="AJ315:AK315" name="maria_89" securityDescriptor="O:WDG:WDD:(A;;CC;;;S-1-5-21-3048853270-2157241324-869001692-3245)(A;;CC;;;S-1-5-21-3048853270-2157241324-869001692-1007)"/>
    <protectedRange sqref="AJ317:AK317" name="maria_91" securityDescriptor="O:WDG:WDD:(A;;CC;;;S-1-5-21-3048853270-2157241324-869001692-3245)(A;;CC;;;S-1-5-21-3048853270-2157241324-869001692-1007)"/>
    <protectedRange sqref="AJ318:AK318" name="maria_92" securityDescriptor="O:WDG:WDD:(A;;CC;;;S-1-5-21-3048853270-2157241324-869001692-3245)(A;;CC;;;S-1-5-21-3048853270-2157241324-869001692-1007)"/>
    <protectedRange sqref="AJ319:AK319" name="maria_93" securityDescriptor="O:WDG:WDD:(A;;CC;;;S-1-5-21-3048853270-2157241324-869001692-3245)(A;;CC;;;S-1-5-21-3048853270-2157241324-869001692-1007)"/>
    <protectedRange sqref="AJ320:AK320" name="maria_95" securityDescriptor="O:WDG:WDD:(A;;CC;;;S-1-5-21-3048853270-2157241324-869001692-3245)(A;;CC;;;S-1-5-21-3048853270-2157241324-869001692-1007)"/>
    <protectedRange sqref="AJ321:AK321" name="maria_96" securityDescriptor="O:WDG:WDD:(A;;CC;;;S-1-5-21-3048853270-2157241324-869001692-3245)(A;;CC;;;S-1-5-21-3048853270-2157241324-869001692-1007)"/>
    <protectedRange sqref="AJ325:AK325" name="maria_98" securityDescriptor="O:WDG:WDD:(A;;CC;;;S-1-5-21-3048853270-2157241324-869001692-3245)(A;;CC;;;S-1-5-21-3048853270-2157241324-869001692-1007)"/>
    <protectedRange sqref="AJ326:AK326" name="maria_99" securityDescriptor="O:WDG:WDD:(A;;CC;;;S-1-5-21-3048853270-2157241324-869001692-3245)(A;;CC;;;S-1-5-21-3048853270-2157241324-869001692-1007)"/>
    <protectedRange sqref="AJ340:AK340" name="maria_7_1" securityDescriptor="O:WDG:WDD:(A;;CC;;;S-1-5-21-3048853270-2157241324-869001692-3245)(A;;CC;;;S-1-5-21-3048853270-2157241324-869001692-1007)"/>
    <protectedRange sqref="AJ46:AK46" name="maria_10_3" securityDescriptor="O:WDG:WDD:(A;;CC;;;S-1-5-21-3048853270-2157241324-869001692-3245)(A;;CC;;;S-1-5-21-3048853270-2157241324-869001692-1007)"/>
    <protectedRange sqref="AJ16:AK16 AJ19:AK19" name="maria_4_2" securityDescriptor="O:WDG:WDD:(A;;CC;;;S-1-5-21-3048853270-2157241324-869001692-3245)(A;;CC;;;S-1-5-21-3048853270-2157241324-869001692-1007)"/>
    <protectedRange sqref="AJ60:AK60" name="maria_5_2" securityDescriptor="O:WDG:WDD:(A;;CC;;;S-1-5-21-3048853270-2157241324-869001692-3245)(A;;CC;;;S-1-5-21-3048853270-2157241324-869001692-1007)"/>
    <protectedRange sqref="AJ29:AK29" name="maria_6_1" securityDescriptor="O:WDG:WDD:(A;;CC;;;S-1-5-21-3048853270-2157241324-869001692-3245)(A;;CC;;;S-1-5-21-3048853270-2157241324-869001692-1007)"/>
    <protectedRange sqref="AJ36:AK36" name="maria_26_1" securityDescriptor="O:WDG:WDD:(A;;CC;;;S-1-5-21-3048853270-2157241324-869001692-3245)(A;;CC;;;S-1-5-21-3048853270-2157241324-869001692-1007)"/>
    <protectedRange sqref="AJ39:AK39" name="maria_8_1" securityDescriptor="O:WDG:WDD:(A;;CC;;;S-1-5-21-3048853270-2157241324-869001692-3245)(A;;CC;;;S-1-5-21-3048853270-2157241324-869001692-1007)"/>
    <protectedRange sqref="AJ40:AK40" name="maria_9_2" securityDescriptor="O:WDG:WDD:(A;;CC;;;S-1-5-21-3048853270-2157241324-869001692-3245)(A;;CC;;;S-1-5-21-3048853270-2157241324-869001692-1007)"/>
    <protectedRange sqref="AJ67:AK68" name="maria_11_1" securityDescriptor="O:WDG:WDD:(A;;CC;;;S-1-5-21-3048853270-2157241324-869001692-3245)(A;;CC;;;S-1-5-21-3048853270-2157241324-869001692-1007)"/>
    <protectedRange sqref="AJ69:AK69" name="maria_12_2" securityDescriptor="O:WDG:WDD:(A;;CC;;;S-1-5-21-3048853270-2157241324-869001692-3245)(A;;CC;;;S-1-5-21-3048853270-2157241324-869001692-1007)"/>
    <protectedRange sqref="AJ71:AK71" name="maria_14_1" securityDescriptor="O:WDG:WDD:(A;;CC;;;S-1-5-21-3048853270-2157241324-869001692-3245)(A;;CC;;;S-1-5-21-3048853270-2157241324-869001692-1007)"/>
    <protectedRange sqref="AJ76:AK76" name="maria_15_1" securityDescriptor="O:WDG:WDD:(A;;CC;;;S-1-5-21-3048853270-2157241324-869001692-3245)(A;;CC;;;S-1-5-21-3048853270-2157241324-869001692-1007)"/>
    <protectedRange sqref="AJ81:AK81" name="maria_16_2" securityDescriptor="O:WDG:WDD:(A;;CC;;;S-1-5-21-3048853270-2157241324-869001692-3245)(A;;CC;;;S-1-5-21-3048853270-2157241324-869001692-1007)"/>
    <protectedRange sqref="AJ83:AK83" name="maria_18_1" securityDescriptor="O:WDG:WDD:(A;;CC;;;S-1-5-21-3048853270-2157241324-869001692-3245)(A;;CC;;;S-1-5-21-3048853270-2157241324-869001692-1007)"/>
    <protectedRange sqref="AJ101:AK101" name="maria_19_2" securityDescriptor="O:WDG:WDD:(A;;CC;;;S-1-5-21-3048853270-2157241324-869001692-3245)(A;;CC;;;S-1-5-21-3048853270-2157241324-869001692-1007)"/>
    <protectedRange sqref="AJ112:AK112" name="maria_21_1" securityDescriptor="O:WDG:WDD:(A;;CC;;;S-1-5-21-3048853270-2157241324-869001692-3245)(A;;CC;;;S-1-5-21-3048853270-2157241324-869001692-1007)"/>
    <protectedRange sqref="AJ120:AK120" name="maria_23_1" securityDescriptor="O:WDG:WDD:(A;;CC;;;S-1-5-21-3048853270-2157241324-869001692-3245)(A;;CC;;;S-1-5-21-3048853270-2157241324-869001692-1007)"/>
    <protectedRange sqref="AJ121:AK121" name="maria_23_3" securityDescriptor="O:WDG:WDD:(A;;CC;;;S-1-5-21-3048853270-2157241324-869001692-3245)(A;;CC;;;S-1-5-21-3048853270-2157241324-869001692-1007)"/>
    <protectedRange sqref="AJ129:AK129" name="maria_24_1" securityDescriptor="O:WDG:WDD:(A;;CC;;;S-1-5-21-3048853270-2157241324-869001692-3245)(A;;CC;;;S-1-5-21-3048853270-2157241324-869001692-1007)"/>
    <protectedRange sqref="AJ134:AK134" name="maria_1_28_1" securityDescriptor="O:WDG:WDD:(A;;CC;;;S-1-5-21-3048853270-2157241324-869001692-3245)(A;;CC;;;S-1-5-21-3048853270-2157241324-869001692-1007)"/>
    <protectedRange sqref="AJ141:AK141" name="maria_25_1" securityDescriptor="O:WDG:WDD:(A;;CC;;;S-1-5-21-3048853270-2157241324-869001692-3245)(A;;CC;;;S-1-5-21-3048853270-2157241324-869001692-1007)"/>
    <protectedRange sqref="AK144" name="maria_31_2" securityDescriptor="O:WDG:WDD:(A;;CC;;;S-1-5-21-3048853270-2157241324-869001692-3245)(A;;CC;;;S-1-5-21-3048853270-2157241324-869001692-1007)"/>
    <protectedRange sqref="AJ159:AK159" name="maria_30_1" securityDescriptor="O:WDG:WDD:(A;;CC;;;S-1-5-21-3048853270-2157241324-869001692-3245)(A;;CC;;;S-1-5-21-3048853270-2157241324-869001692-1007)"/>
    <protectedRange sqref="AJ174:AK174" name="maria_28_1" securityDescriptor="O:WDG:WDD:(A;;CC;;;S-1-5-21-3048853270-2157241324-869001692-3245)(A;;CC;;;S-1-5-21-3048853270-2157241324-869001692-1007)"/>
    <protectedRange sqref="AJ175:AK175" name="maria_29_1" securityDescriptor="O:WDG:WDD:(A;;CC;;;S-1-5-21-3048853270-2157241324-869001692-3245)(A;;CC;;;S-1-5-21-3048853270-2157241324-869001692-1007)"/>
    <protectedRange sqref="AJ176:AK176" name="maria_29_2" securityDescriptor="O:WDG:WDD:(A;;CC;;;S-1-5-21-3048853270-2157241324-869001692-3245)(A;;CC;;;S-1-5-21-3048853270-2157241324-869001692-1007)"/>
    <protectedRange sqref="AJ243:AK243" name="maria_35_1" securityDescriptor="O:WDG:WDD:(A;;CC;;;S-1-5-21-3048853270-2157241324-869001692-3245)(A;;CC;;;S-1-5-21-3048853270-2157241324-869001692-1007)"/>
    <protectedRange sqref="AJ244:AK244" name="maria_35_3" securityDescriptor="O:WDG:WDD:(A;;CC;;;S-1-5-21-3048853270-2157241324-869001692-3245)(A;;CC;;;S-1-5-21-3048853270-2157241324-869001692-1007)"/>
    <protectedRange sqref="AJ245:AK245" name="maria_35_4" securityDescriptor="O:WDG:WDD:(A;;CC;;;S-1-5-21-3048853270-2157241324-869001692-3245)(A;;CC;;;S-1-5-21-3048853270-2157241324-869001692-1007)"/>
    <protectedRange sqref="AJ302:AK302" name="maria_35_5" securityDescriptor="O:WDG:WDD:(A;;CC;;;S-1-5-21-3048853270-2157241324-869001692-3245)(A;;CC;;;S-1-5-21-3048853270-2157241324-869001692-1007)"/>
    <protectedRange sqref="AJ144" name="maria_31_3" securityDescriptor="O:WDG:WDD:(A;;CC;;;S-1-5-21-3048853270-2157241324-869001692-3245)(A;;CC;;;S-1-5-21-3048853270-2157241324-869001692-1007)"/>
    <protectedRange sqref="AJ193:AK193" name="maria_33_4" securityDescriptor="O:WDG:WDD:(A;;CC;;;S-1-5-21-3048853270-2157241324-869001692-3245)(A;;CC;;;S-1-5-21-3048853270-2157241324-869001692-1007)"/>
    <protectedRange sqref="AL186:XFD187 F186:F189 Q186:R189" name="maria_56" securityDescriptor="O:WDG:WDD:(A;;CC;;;S-1-5-21-3048853270-2157241324-869001692-3245)(A;;CC;;;S-1-5-21-3048853270-2157241324-869001692-1007)"/>
    <protectedRange sqref="E186:E189" name="maria_5_1" securityDescriptor="O:WDG:WDD:(A;;CC;;;S-1-5-21-3048853270-2157241324-869001692-3245)(A;;CC;;;S-1-5-21-3048853270-2157241324-869001692-1007)"/>
    <protectedRange sqref="AE186:AE187" name="maria_17_4" securityDescriptor="O:WDG:WDD:(A;;CC;;;S-1-5-21-3048853270-2157241324-869001692-3245)(A;;CC;;;S-1-5-21-3048853270-2157241324-869001692-1007)"/>
    <protectedRange sqref="S186:AD187" name="maria_33_5" securityDescriptor="O:WDG:WDD:(A;;CC;;;S-1-5-21-3048853270-2157241324-869001692-3245)(A;;CC;;;S-1-5-21-3048853270-2157241324-869001692-1007)"/>
    <protectedRange sqref="M186:M187" name="maria_33_2_1" securityDescriptor="O:WDG:WDD:(A;;CC;;;S-1-5-21-3048853270-2157241324-869001692-3245)(A;;CC;;;S-1-5-21-3048853270-2157241324-869001692-1007)"/>
    <protectedRange sqref="N186:P187" name="maria_48_1" securityDescriptor="O:WDG:WDD:(A;;CC;;;S-1-5-21-3048853270-2157241324-869001692-3245)(A;;CC;;;S-1-5-21-3048853270-2157241324-869001692-1007)"/>
    <protectedRange sqref="AF190:AF192 G190:H192 B190:D192 S190:U192 W190:AA192 AC190:AD192 J190:P192 AI190:XFD192" name="maria_59" securityDescriptor="O:WDG:WDD:(A;;CC;;;S-1-5-21-3048853270-2157241324-869001692-3245)(A;;CC;;;S-1-5-21-3048853270-2157241324-869001692-1007)"/>
    <protectedRange sqref="AH190:AH192" name="maria_1_1_1_1" securityDescriptor="O:WDG:WDD:(A;;CC;;;S-1-5-21-3048853270-2157241324-869001692-3245)(A;;CC;;;S-1-5-21-3048853270-2157241324-869001692-1007)"/>
    <protectedRange sqref="AE190:AE192" name="maria_17_5" securityDescriptor="O:WDG:WDD:(A;;CC;;;S-1-5-21-3048853270-2157241324-869001692-3245)(A;;CC;;;S-1-5-21-3048853270-2157241324-869001692-1007)"/>
    <protectedRange sqref="AB190:AB192" name="maria_26_2" securityDescriptor="O:WDG:WDD:(A;;CC;;;S-1-5-21-3048853270-2157241324-869001692-3245)(A;;CC;;;S-1-5-21-3048853270-2157241324-869001692-1007)"/>
    <protectedRange sqref="V190:V192" name="maria_1_1_22_1" securityDescriptor="O:WDG:WDD:(A;;CC;;;S-1-5-21-3048853270-2157241324-869001692-3245)(A;;CC;;;S-1-5-21-3048853270-2157241324-869001692-1007)"/>
    <protectedRange sqref="F190:F192 Q190:R192" name="maria_56_1" securityDescriptor="O:WDG:WDD:(A;;CC;;;S-1-5-21-3048853270-2157241324-869001692-3245)(A;;CC;;;S-1-5-21-3048853270-2157241324-869001692-1007)"/>
    <protectedRange sqref="E190:E192" name="maria_5_1_1" securityDescriptor="O:WDG:WDD:(A;;CC;;;S-1-5-21-3048853270-2157241324-869001692-3245)(A;;CC;;;S-1-5-21-3048853270-2157241324-869001692-1007)"/>
    <protectedRange sqref="W91"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52" name="Aurelian" securityDescriptor="O:WDG:WDD:(A;;CC;;;S-1-5-21-3048853270-2157241324-869001692-3245)"/>
    <protectedRange algorithmName="SHA-512" hashValue="lGxgJO7OrK4RnR9Q5GyLdphtXSoKHWuU/DeqTwJZs4H1lZxtBvfwyidbkva9W10WZdVConxSMgW/uAS6mxdKPg==" saltValue="rUT2GzIQhp6pti72S74yRQ==" spinCount="100000" sqref="C53:C54" name="Aurelian_1" securityDescriptor="O:WDG:WDD:(A;;CC;;;S-1-5-21-3048853270-2157241324-869001692-3245)"/>
    <protectedRange algorithmName="SHA-512" hashValue="lGxgJO7OrK4RnR9Q5GyLdphtXSoKHWuU/DeqTwJZs4H1lZxtBvfwyidbkva9W10WZdVConxSMgW/uAS6mxdKPg==" saltValue="rUT2GzIQhp6pti72S74yRQ==" spinCount="100000" sqref="C55" name="Aurelian_2" securityDescriptor="O:WDG:WDD:(A;;CC;;;S-1-5-21-3048853270-2157241324-869001692-3245)"/>
    <protectedRange algorithmName="SHA-512" hashValue="lGxgJO7OrK4RnR9Q5GyLdphtXSoKHWuU/DeqTwJZs4H1lZxtBvfwyidbkva9W10WZdVConxSMgW/uAS6mxdKPg==" saltValue="rUT2GzIQhp6pti72S74yRQ==" spinCount="100000" sqref="G52" name="Aurelian_3" securityDescriptor="O:WDG:WDD:(A;;CC;;;S-1-5-21-3048853270-2157241324-869001692-3245)"/>
    <protectedRange algorithmName="SHA-512" hashValue="lGxgJO7OrK4RnR9Q5GyLdphtXSoKHWuU/DeqTwJZs4H1lZxtBvfwyidbkva9W10WZdVConxSMgW/uAS6mxdKPg==" saltValue="rUT2GzIQhp6pti72S74yRQ==" spinCount="100000" sqref="G53:G54" name="Aurelian_4" securityDescriptor="O:WDG:WDD:(A;;CC;;;S-1-5-21-3048853270-2157241324-869001692-3245)"/>
    <protectedRange algorithmName="SHA-512" hashValue="lGxgJO7OrK4RnR9Q5GyLdphtXSoKHWuU/DeqTwJZs4H1lZxtBvfwyidbkva9W10WZdVConxSMgW/uAS6mxdKPg==" saltValue="rUT2GzIQhp6pti72S74yRQ==" spinCount="100000" sqref="G55" name="Aurelian_5" securityDescriptor="O:WDG:WDD:(A;;CC;;;S-1-5-21-3048853270-2157241324-869001692-3245)"/>
    <protectedRange algorithmName="SHA-512" hashValue="lGxgJO7OrK4RnR9Q5GyLdphtXSoKHWuU/DeqTwJZs4H1lZxtBvfwyidbkva9W10WZdVConxSMgW/uAS6mxdKPg==" saltValue="rUT2GzIQhp6pti72S74yRQ==" spinCount="100000" sqref="H52" name="Aurelian_6" securityDescriptor="O:WDG:WDD:(A;;CC;;;S-1-5-21-3048853270-2157241324-869001692-3245)"/>
    <protectedRange algorithmName="SHA-512" hashValue="lGxgJO7OrK4RnR9Q5GyLdphtXSoKHWuU/DeqTwJZs4H1lZxtBvfwyidbkva9W10WZdVConxSMgW/uAS6mxdKPg==" saltValue="rUT2GzIQhp6pti72S74yRQ==" spinCount="100000" sqref="H53:H54" name="Aurelian_7" securityDescriptor="O:WDG:WDD:(A;;CC;;;S-1-5-21-3048853270-2157241324-869001692-3245)"/>
    <protectedRange algorithmName="SHA-512" hashValue="lGxgJO7OrK4RnR9Q5GyLdphtXSoKHWuU/DeqTwJZs4H1lZxtBvfwyidbkva9W10WZdVConxSMgW/uAS6mxdKPg==" saltValue="rUT2GzIQhp6pti72S74yRQ==" spinCount="100000" sqref="H55" name="Aurelian_8" securityDescriptor="O:WDG:WDD:(A;;CC;;;S-1-5-21-3048853270-2157241324-869001692-3245)"/>
  </protectedRanges>
  <autoFilter ref="A1:AK384" xr:uid="{8B41DF6E-FA13-4076-9E78-477C6C24A1D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4:AK96">
    <sortCondition descending="1" ref="E5:E40"/>
    <sortCondition ref="C5:C40"/>
  </sortState>
  <customSheetViews>
    <customSheetView guid="{5AAA4DFE-88B1-4674-95ED-5FCD7A50BC22}" scale="70" showPageBreaks="1" fitToPage="1" printArea="1" filter="1" showAutoFilter="1" topLeftCell="R1">
      <pane ySplit="350" topLeftCell="A352" activePane="bottomLeft" state="frozen"/>
      <selection pane="bottomLeft" activeCell="AH437" sqref="AH437"/>
      <pageMargins left="0.70866141732283472" right="0.70866141732283472" top="0.74803149606299213" bottom="0.74803149606299213" header="0.31496062992125984" footer="0.31496062992125984"/>
      <pageSetup paperSize="8" scale="22" fitToHeight="0" orientation="landscape" horizontalDpi="4294967294" verticalDpi="4294967294" r:id="rId1"/>
      <headerFooter>
        <oddHeader>&amp;CLISTA PROIECTELOR CONTRACTATE - PROGRAMUL OPERATIONAl CAPACITATE ADMINISTRATIVĂ</oddHeader>
        <oddFooter>Page &amp;P of &amp;N</oddFooter>
      </headerFooter>
      <autoFilter ref="A1:AL436" xr:uid="{00000000-0000-0000-0000-000000000000}">
        <filterColumn colId="2">
          <filters>
            <filter val="16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106" showPageBreaks="1" fitToPage="1" printArea="1" showAutoFilter="1" topLeftCell="AA328">
      <selection activeCell="AI328" sqref="AI328"/>
      <pageMargins left="0.70866141732283472" right="0.70866141732283472" top="0.74803149606299213" bottom="0.74803149606299213" header="0.31496062992125984" footer="0.31496062992125984"/>
      <pageSetup paperSize="8" scale="22" fitToHeight="0" orientation="landscape" horizontalDpi="4294967294" verticalDpi="4294967294" r:id="rId2"/>
      <headerFooter>
        <oddHeader>&amp;CLISTA PROIECTELOR CONTRACTATE - PROGRAMUL OPERATIONAl CAPACITATE ADMINISTRATIVĂ</oddHeader>
        <oddFooter>Page &amp;P of &amp;N</oddFooter>
      </headerFooter>
      <autoFilter ref="A1:AL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0781B6C2-B440-4971-9809-BD16245A70FD}" scale="85" showPageBreaks="1" fitToPage="1" printArea="1" filter="1" showAutoFilter="1">
      <selection activeCell="L30" sqref="L30"/>
      <pageMargins left="0.70866141732283472" right="0.70866141732283472" top="0.74803149606299213" bottom="0.74803149606299213" header="0.31496062992125984" footer="0.31496062992125984"/>
      <pageSetup paperSize="8" scale="22" fitToHeight="0" orientation="landscape" horizontalDpi="4294967294" verticalDpi="4294967294" r:id="rId3"/>
      <headerFooter>
        <oddHeader>&amp;CLISTA PROIECTELOR CONTRACTATE - PROGRAMUL OPERATIONAl CAPACITATE ADMINISTRATIVĂ</oddHeader>
        <oddFooter>Page &amp;P of &amp;N</oddFooter>
      </headerFooter>
      <autoFilter ref="A1:AL429" xr:uid="{00000000-0000-0000-0000-000000000000}">
        <filterColumn colId="2">
          <filters>
            <filter val="46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A4">
      <pane ySplit="3" topLeftCell="A84" activePane="bottomLeft" state="frozen"/>
      <selection pane="bottomLeft" activeCell="E85" sqref="E85"/>
      <pageMargins left="0.70866141732283472" right="0.70866141732283472" top="0.74803149606299213" bottom="0.74803149606299213" header="0.31496062992125984" footer="0.31496062992125984"/>
      <pageSetup paperSize="8" scale="22" fitToHeight="0" orientation="landscape" r:id="rId4"/>
      <headerFooter>
        <oddHeader>&amp;CLISTA PROIECTELOR CONTRACTATE - PROGRAMUL OPERATIONAl CAPACITATE ADMINISTRATIVĂ</oddHeader>
        <oddFooter>Page &amp;P of &amp;N</oddFooter>
      </headerFooter>
      <autoFilter ref="A6:AL456" xr:uid="{00000000-0000-0000-0000-000000000000}"/>
    </customSheetView>
    <customSheetView guid="{9980B309-0131-4577-BF29-212714399FDF}" scale="70" showPageBreaks="1" fitToPage="1" printArea="1" showAutoFilter="1">
      <pane ySplit="3" topLeftCell="A12" activePane="bottomLeft"/>
      <selection pane="bottomLeft" activeCell="G42" sqref="G42"/>
      <pageMargins left="0.70866141732283472" right="0.70866141732283472" top="0.74803149606299213" bottom="0.74803149606299213" header="0.31496062992125984" footer="0.31496062992125984"/>
      <pageSetup paperSize="8" scale="23" fitToHeight="0" orientation="landscape" horizontalDpi="4294967294" verticalDpi="4294967294" r:id="rId5"/>
      <headerFooter>
        <oddHeader>&amp;CLISTA PROIECTELOR CONTRACTATE - PROGRAMUL OPERATIONAl CAPACITATE ADMINISTRATIVĂ</oddHeader>
        <oddFooter>Page &amp;P of &amp;N</oddFooter>
      </headerFooter>
      <autoFilter ref="A1:AL42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filter="1" showAutoFilter="1">
      <selection activeCell="T381" sqref="T381"/>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1:DG416" xr:uid="{00000000-0000-0000-0000-000000000000}">
        <filterColumn colId="2">
          <filters>
            <filter val="2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filter="1" showAutoFilter="1" topLeftCell="P1">
      <selection activeCell="V109" sqref="V109"/>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C1:C449" xr:uid="{00000000-0000-0000-0000-000000000000}">
        <filterColumn colId="0">
          <filters>
            <filter val="6"/>
            <filter val="407"/>
          </filters>
        </filterColumn>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8"/>
      <headerFooter>
        <oddHeader>&amp;CLISTA PROIECTELOR CONTRACTATE - PROGRAMUL OPERATIONAl CAPACITATE ADMINISTRATIVĂ</oddHeader>
        <oddFooter>Page &amp;P of &amp;N</oddFooter>
      </headerFoo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6:AL323"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0"/>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1"/>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2"/>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4"/>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AG14" activePane="bottomRight" state="frozen"/>
      <selection pane="bottomRight" activeCell="A14" sqref="A14:XFD14"/>
      <pageMargins left="0.70866141732283472" right="0.70866141732283472" top="0.74803149606299213" bottom="0.74803149606299213" header="0.31496062992125984" footer="0.31496062992125984"/>
      <pageSetup paperSize="8" scale="23" fitToHeight="0" orientation="landscape" r:id="rId16"/>
      <headerFooter>
        <oddHeader>&amp;CLISTA PROIECTELOR CONTRACTATE - PROGRAMUL OPERATIONAl CAPACITATE ADMINISTRATIVĂ</oddHeader>
        <oddFooter>Page &amp;P of &amp;N</oddFooter>
      </headerFooter>
      <autoFilter ref="A6:DG422" xr:uid="{00000000-0000-0000-0000-000000000000}"/>
    </customSheetView>
    <customSheetView guid="{905D93EA-5662-45AB-8995-A9908B3E5D52}" scale="70" showPageBreaks="1" fitToPage="1" printArea="1" showAutoFilter="1">
      <selection activeCell="D464" sqref="D464"/>
      <pageMargins left="0.70866141732283472" right="0.70866141732283472" top="0.74803149606299213" bottom="0.74803149606299213" header="0.31496062992125984" footer="0.31496062992125984"/>
      <pageSetup paperSize="8" scale="23" fitToHeight="0" orientation="landscape" r:id="rId17"/>
      <headerFooter>
        <oddHeader>&amp;CLISTA PROIECTELOR CONTRACTATE - PROGRAMUL OPERATIONAl CAPACITATE ADMINISTRATIVĂ</oddHeader>
        <oddFooter>Page &amp;P of &amp;N</oddFooter>
      </headerFooter>
      <autoFilter ref="B1:B463" xr:uid="{00000000-0000-0000-0000-000000000000}"/>
    </customSheetView>
    <customSheetView guid="{84FB199A-D56E-4FDD-AC4A-70CE86CD87BC}" scale="80" showPageBreaks="1" fitToPage="1" printArea="1">
      <pane xSplit="1.8918918918918919" ySplit="0.5368421052631579" topLeftCell="Y392" activePane="bottomRight"/>
      <selection pane="bottomRight" activeCell="AI393" sqref="AI393"/>
      <pageMargins left="0.70866141732283472" right="0.70866141732283472" top="0.74803149606299213" bottom="0.74803149606299213" header="0.31496062992125984" footer="0.31496062992125984"/>
      <pageSetup paperSize="8" scale="22" fitToHeight="0" orientation="landscape" r:id="rId18"/>
      <headerFooter>
        <oddHeader>&amp;CLISTA PROIECTELOR CONTRACTATE - PROGRAMUL OPERATIONAl CAPACITATE ADMINISTRATIVĂ</oddHeader>
        <oddFooter>Page &amp;P of &amp;N</oddFooter>
      </headerFooter>
    </customSheetView>
    <customSheetView guid="{FE50EAC0-52A5-4C33-B973-65E93D03D3EA}" scale="73" showPageBreaks="1" fitToPage="1" printArea="1" showAutoFilter="1" topLeftCell="I426">
      <selection activeCell="T428" sqref="T428"/>
      <pageMargins left="0.70866141732283472" right="0.70866141732283472" top="0.74803149606299213" bottom="0.74803149606299213" header="0.31496062992125984" footer="0.31496062992125984"/>
      <pageSetup paperSize="8" scale="22" fitToHeight="0" orientation="landscape" horizontalDpi="4294967294" verticalDpi="4294967294" r:id="rId19"/>
      <headerFooter>
        <oddHeader>&amp;CLISTA PROIECTELOR CONTRACTATE - PROGRAMUL OPERATIONAl CAPACITATE ADMINISTRATIVĂ</oddHeader>
        <oddFooter>Page &amp;P of &amp;N</oddFooter>
      </headerFooter>
      <autoFilter ref="A1:AL43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showAutoFilter="1" topLeftCell="I1">
      <pane ySplit="5" topLeftCell="A358" activePane="bottomLeft" state="frozen"/>
      <selection pane="bottomLeft" activeCell="V358" sqref="V358"/>
      <pageMargins left="0.70866141732283472" right="0.70866141732283472" top="0.74803149606299213" bottom="0.74803149606299213" header="0.31496062992125984" footer="0.31496062992125984"/>
      <pageSetup paperSize="8" scale="22" fitToHeight="0" orientation="landscape" horizontalDpi="4294967294" verticalDpi="4294967294" r:id="rId20"/>
      <headerFooter>
        <oddHeader>&amp;CLISTA PROIECTELOR CONTRACTATE - PROGRAMUL OPERATIONAl CAPACITATE ADMINISTRATIVĂ</oddHeader>
        <oddFooter>Page &amp;P of &amp;N</oddFooter>
      </headerFooter>
      <autoFilter ref="A6:DG432" xr:uid="{00000000-0000-0000-0000-000000000000}"/>
    </customSheetView>
    <customSheetView guid="{7C1B4D6D-D666-48DD-AB17-E00791B6F0B6}" scale="70" showPageBreaks="1" fitToPage="1" printArea="1" showAutoFilter="1">
      <pane ySplit="6" topLeftCell="A141" activePane="bottomLeft" state="frozen"/>
      <selection pane="bottomLeft" activeCell="J141" sqref="J141"/>
      <pageMargins left="0.70866141732283472" right="0.70866141732283472" top="0.74803149606299213" bottom="0.74803149606299213" header="0.31496062992125984" footer="0.31496062992125984"/>
      <pageSetup paperSize="8" scale="22" fitToHeight="0" orientation="landscape" r:id="rId21"/>
      <headerFooter>
        <oddHeader>&amp;CLISTA PROIECTELOR CONTRACTATE - PROGRAMUL OPERATIONAl CAPACITATE ADMINISTRATIVĂ</oddHeader>
        <oddFooter>Page &amp;P of &amp;N</oddFooter>
      </headerFooter>
      <autoFilter ref="A6:DG433" xr:uid="{00000000-0000-0000-0000-000000000000}"/>
    </customSheetView>
    <customSheetView guid="{65C35D6D-934F-4431-BA92-90255FC17BA4}" scale="70" showPageBreaks="1" fitToPage="1" printArea="1" showAutoFilter="1" topLeftCell="U1">
      <pane ySplit="1" topLeftCell="A149" activePane="bottomLeft" state="frozen"/>
      <selection pane="bottomLeft" activeCell="AE149" sqref="AE149"/>
      <pageMargins left="0.70866141732283472" right="0.70866141732283472" top="0.74803149606299213" bottom="0.74803149606299213" header="0.31496062992125984" footer="0.31496062992125984"/>
      <pageSetup paperSize="8" scale="22" fitToHeight="0" orientation="landscape" horizontalDpi="4294967294" verticalDpi="4294967294" r:id="rId22"/>
      <headerFooter>
        <oddHeader>&amp;CLISTA PROIECTELOR CONTRACTATE - PROGRAMUL OPERATIONAl CAPACITATE ADMINISTRATIVĂ</oddHeader>
        <oddFooter>Page &amp;P of &amp;N</oddFooter>
      </headerFooter>
      <autoFilter ref="A1:AL7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showAutoFilter="1" topLeftCell="S64">
      <selection activeCell="J65" sqref="J65"/>
      <pageMargins left="0.70866141732283472" right="0.70866141732283472" top="0.74803149606299213" bottom="0.74803149606299213" header="0.31496062992125984" footer="0.31496062992125984"/>
      <pageSetup paperSize="8" scale="22" fitToHeight="0" orientation="landscape" horizontalDpi="4294967294" verticalDpi="4294967294" r:id="rId23"/>
      <headerFooter>
        <oddHeader>&amp;CLISTA PROIECTELOR CONTRACTATE - PROGRAMUL OPERATIONAl CAPACITATE ADMINISTRATIVĂ</oddHeader>
        <oddFooter>Page &amp;P of &amp;N</oddFooter>
      </headerFooter>
      <autoFilter ref="A6:AL467" xr:uid="{00000000-0000-0000-0000-000000000000}"/>
    </customSheetView>
    <customSheetView guid="{A87F3E0E-3A8E-4B82-8170-33752259B7DB}" scale="80" showPageBreaks="1" fitToPage="1" printArea="1" showAutoFilter="1">
      <pane xSplit="5" ySplit="2" topLeftCell="F3" activePane="bottomRight" state="frozen"/>
      <selection pane="bottomRight" activeCell="AK467" sqref="AK467:AK468"/>
      <pageMargins left="0.70866141732283472" right="0.70866141732283472" top="0.74803149606299213" bottom="0.74803149606299213" header="0.31496062992125984" footer="0.31496062992125984"/>
      <pageSetup paperSize="8" scale="15" fitToHeight="0" orientation="portrait" horizontalDpi="4294967294" verticalDpi="4294967294" r:id="rId24"/>
      <headerFooter>
        <oddHeader>&amp;CLISTA PROIECTELOR CONTRACTATE - PROGRAMUL OPERATIONAl CAPACITATE ADMINISTRATIVĂ</oddHeader>
        <oddFooter>Page &amp;P of &amp;N</oddFooter>
      </headerFooter>
      <autoFilter ref="A6:AL467" xr:uid="{00000000-0000-0000-0000-000000000000}"/>
    </customSheetView>
    <customSheetView guid="{36624B2D-80F9-4F79-AC4A-B3547C36F23F}" scale="70" showPageBreaks="1" fitToPage="1" printArea="1" showAutoFilter="1">
      <selection activeCell="B1" sqref="B1:B3"/>
      <pageMargins left="0.70866141732283472" right="0.70866141732283472" top="0.74803149606299213" bottom="0.74803149606299213" header="0.31496062992125984" footer="0.31496062992125984"/>
      <pageSetup paperSize="8" scale="22" fitToHeight="0" orientation="landscape" horizontalDpi="4294967294" verticalDpi="4294967294" r:id="rId25"/>
      <headerFooter>
        <oddHeader>&amp;CLISTA PROIECTELOR CONTRACTATE - PROGRAMUL OPERATIONAl CAPACITATE ADMINISTRATIVĂ</oddHeader>
        <oddFooter>Page &amp;P of &amp;N</oddFooter>
      </headerFooter>
      <autoFilter ref="A1:AL43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30">
    <mergeCell ref="AJ1:AK1"/>
    <mergeCell ref="AJ2:AJ3"/>
    <mergeCell ref="AK2:AK3"/>
    <mergeCell ref="AB2:AB3"/>
    <mergeCell ref="AG1:AG3"/>
    <mergeCell ref="AH1:AH3"/>
    <mergeCell ref="AI1:AI3"/>
    <mergeCell ref="AF2:AF3"/>
    <mergeCell ref="AE1:AE3"/>
    <mergeCell ref="Y2:Y3"/>
    <mergeCell ref="P1:P3"/>
    <mergeCell ref="Q1:Q3"/>
    <mergeCell ref="R1:R3"/>
    <mergeCell ref="S1:AB1"/>
    <mergeCell ref="S2:X2"/>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s>
  <phoneticPr fontId="60" type="noConversion"/>
  <pageMargins left="0.70866141732283472" right="0.70866141732283472" top="0.74803149606299213" bottom="0.74803149606299213" header="0.31496062992125984" footer="0.31496062992125984"/>
  <pageSetup paperSize="8" scale="22"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dcterms:created xsi:type="dcterms:W3CDTF">2019-05-03T10:06:35Z</dcterms:created>
  <dcterms:modified xsi:type="dcterms:W3CDTF">2019-07-05T07:44:24Z</dcterms:modified>
</cp:coreProperties>
</file>