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userNames1.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Headers.xml" ContentType="application/vnd.openxmlformats-officedocument.spreadsheetml.revisionHeaders+xml"/>
  <Override PartName="/xl/revisions/revisionLog8.xml" ContentType="application/vnd.openxmlformats-officedocument.spreadsheetml.revisionLog+xml"/>
  <Override PartName="/xl/revisions/revisionLog13.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12.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C:\Users\mircea.pavel\Downloads\"/>
    </mc:Choice>
  </mc:AlternateContent>
  <xr:revisionPtr revIDLastSave="0" documentId="13_ncr:81_{59E57A57-8EDB-44B7-B7CC-B5235B8B3D42}" xr6:coauthVersionLast="43" xr6:coauthVersionMax="43" xr10:uidLastSave="{00000000-0000-0000-0000-000000000000}"/>
  <workbookProtection workbookPassword="CA39" lockStructure="1"/>
  <bookViews>
    <workbookView xWindow="-120" yWindow="-120" windowWidth="29040" windowHeight="15840" tabRatio="154" xr2:uid="{00000000-000D-0000-FFFF-FFFF00000000}"/>
  </bookViews>
  <sheets>
    <sheet name="Sheet1" sheetId="1" r:id="rId1"/>
  </sheets>
  <definedNames>
    <definedName name="_xlnm._FilterDatabase" localSheetId="0" hidden="1">Sheet1!$A$1:$AK$351</definedName>
    <definedName name="_Hlk511228962">Sheet1!#REF!</definedName>
    <definedName name="_Hlk511229340">Sheet1!#REF!</definedName>
    <definedName name="_Hlk516490095" localSheetId="0">Sheet1!$I$317</definedName>
    <definedName name="_Hlk526934001" localSheetId="0">Sheet1!$G$77</definedName>
    <definedName name="_xlnm.Print_Area" localSheetId="0">Sheet1!$A$1:$AK$351</definedName>
    <definedName name="Z_0585DD1B_89D4_4278_953B_FA6D57DCCE82_.wvu.FilterData" localSheetId="0" hidden="1">Sheet1!$A$6:$AK$351</definedName>
    <definedName name="Z_0781B6C2_B440_4971_9809_BD16245A70FD_.wvu.FilterData" localSheetId="0" hidden="1">Sheet1!$A$1:$AK$351</definedName>
    <definedName name="Z_0781B6C2_B440_4971_9809_BD16245A70FD_.wvu.PrintArea" localSheetId="0" hidden="1">Sheet1!$A$1:$AK$351</definedName>
    <definedName name="Z_0A043D96_6DF8_4E40_9D1E_818A39BAFD81_.wvu.FilterData" localSheetId="0" hidden="1">Sheet1!$A$6:$AK$351</definedName>
    <definedName name="Z_0D4E932E_8E85_4001_9304_AAB4DBAD8A65_.wvu.FilterData" localSheetId="0" hidden="1">Sheet1!$A$6:$AK$333</definedName>
    <definedName name="Z_122B486E_8EE5_41FD_B958_74B116FA5D23_.wvu.FilterData" localSheetId="0" hidden="1">Sheet1!$A$1:$AK$333</definedName>
    <definedName name="Z_1278E668_633E_4AB5_BA11_904BA4B2301D_.wvu.FilterData" localSheetId="0" hidden="1">Sheet1!$A$1:$AK$333</definedName>
    <definedName name="Z_15F03B40_FCDD_463A_AE42_63F6121ACBED_.wvu.FilterData" localSheetId="0" hidden="1">Sheet1!$C$1:$C$351</definedName>
    <definedName name="Z_17F4A6A1_469E_46FB_A3A0_041FC3712E3B_.wvu.FilterData" localSheetId="0" hidden="1">Sheet1!$A$6:$AK$351</definedName>
    <definedName name="Z_19FC3531_0DA5_4817_A3AD_017115B33D3C_.wvu.FilterData" localSheetId="0" hidden="1">Sheet1!#REF!</definedName>
    <definedName name="Z_22D79F88_81A2_49FE_923A_13405540BBB2_.wvu.FilterData" localSheetId="0" hidden="1">Sheet1!$A$6:$AK$333</definedName>
    <definedName name="Z_2355B1FA_E7E3_44CD_A529_24812589AA28_.wvu.FilterData" localSheetId="0" hidden="1">Sheet1!$A$6:$AK$351</definedName>
    <definedName name="Z_250231BB_5F02_4B46_B1CA_B904A9B40BA2_.wvu.FilterData" localSheetId="0" hidden="1">Sheet1!$A$3:$AK$351</definedName>
    <definedName name="Z_25084D9D_9C92_4823_A653_D1AEC60737AD_.wvu.FilterData" localSheetId="0" hidden="1">Sheet1!$A$6:$AK$333</definedName>
    <definedName name="Z_2547C3D7_22F7_4CAF_8E48_C8F3425DB942_.wvu.FilterData" localSheetId="0" hidden="1">Sheet1!$A$6:$AK$351</definedName>
    <definedName name="Z_280C391A_EEDA_43A4_BCD2_EE017A1C1AE2_.wvu.FilterData" localSheetId="0" hidden="1">Sheet1!$A$6:$AK$351</definedName>
    <definedName name="Z_297CB86E_F816_4839_BE0B_A075145D0E50_.wvu.FilterData" localSheetId="0" hidden="1">Sheet1!$A$1:$AK$333</definedName>
    <definedName name="Z_2A26C971_CCE6_49C7_89EC_0B2699E5DD98_.wvu.FilterData" localSheetId="0" hidden="1">Sheet1!$A$6:$AK$351</definedName>
    <definedName name="Z_2A657C48_B241_4C19_9A74_98ECFC665F2A_.wvu.FilterData" localSheetId="0" hidden="1">Sheet1!$A$7:$AK$351</definedName>
    <definedName name="Z_2C296388_EDB5_4F1F_B0F4_90EC07CCD947_.wvu.FilterData" localSheetId="0" hidden="1">Sheet1!$A$1:$AK$351</definedName>
    <definedName name="Z_2C296388_EDB5_4F1F_B0F4_90EC07CCD947_.wvu.PrintArea" localSheetId="0" hidden="1">Sheet1!$A$1:$AK$351</definedName>
    <definedName name="Z_2E491347_3C24_4F24_80DE_5DC574AA2438_.wvu.FilterData" localSheetId="0" hidden="1">Sheet1!$A$6:$AK$351</definedName>
    <definedName name="Z_305BEEB9_C99E_4E52_A4AB_56EA1595A366_.wvu.FilterData" localSheetId="0" hidden="1">Sheet1!$A$6:$AK$351</definedName>
    <definedName name="Z_324E461A_DC75_4814_87BA_41F170D0ED0B_.wvu.FilterData" localSheetId="0" hidden="1">Sheet1!$A$6:$AK$351</definedName>
    <definedName name="Z_340EDCDE_FAE5_4319_AEAD_F8264DCA5D27_.wvu.FilterData" localSheetId="0" hidden="1">Sheet1!$A$7:$AK$351</definedName>
    <definedName name="Z_34BB42D3_88F0_437E_91ED_3E3C369B9525_.wvu.FilterData" localSheetId="0" hidden="1">Sheet1!$A$6:$AK$351</definedName>
    <definedName name="Z_36624B2D_80F9_4F79_AC4A_B3547C36F23F_.wvu.FilterData" localSheetId="0" hidden="1">Sheet1!$A$1:$AK$351</definedName>
    <definedName name="Z_36624B2D_80F9_4F79_AC4A_B3547C36F23F_.wvu.PrintArea" localSheetId="0" hidden="1">Sheet1!$A$1:$AK$351</definedName>
    <definedName name="Z_377DA8E3_6D61_4CAB_8EDD_2C41FF81A19E_.wvu.FilterData" localSheetId="0" hidden="1">Sheet1!$A$6:$AK$351</definedName>
    <definedName name="Z_38C68E87_361F_434A_8BE4_BA2AF4CB3868_.wvu.FilterData" localSheetId="0" hidden="1">Sheet1!$A$6:$AK$351</definedName>
    <definedName name="Z_3A00607E_664E_4ED3_AB65_1F25AC8DBC86_.wvu.FilterData" localSheetId="0" hidden="1">Sheet1!$C$1:$C$351</definedName>
    <definedName name="Z_3AFE79CE_CE75_447D_8C73_1AE63A224CBA_.wvu.FilterData" localSheetId="0" hidden="1">Sheet1!$A$6:$AK$351</definedName>
    <definedName name="Z_3AFE79CE_CE75_447D_8C73_1AE63A224CBA_.wvu.PrintArea" localSheetId="0" hidden="1">Sheet1!$A$1:$AK$351</definedName>
    <definedName name="Z_3E15816F_2EBF_42BD_89BB_84C7827E4C28_.wvu.FilterData" localSheetId="0" hidden="1">Sheet1!$A$6:$AK$351</definedName>
    <definedName name="Z_3E7AD119_0031_4735_857B_FBC0C47AB231_.wvu.FilterData" localSheetId="0" hidden="1">Sheet1!$A$6:$AK$351</definedName>
    <definedName name="Z_3F70E84F_60E2_4042_91AA_EFB3B23DDDDF_.wvu.FilterData" localSheetId="0" hidden="1">Sheet1!$A$1:$AK$333</definedName>
    <definedName name="Z_4179C3D9_D1C3_46CD_B643_627525757C5E_.wvu.FilterData" localSheetId="0" hidden="1">Sheet1!$A$1:$AK$242</definedName>
    <definedName name="Z_417D6CD8_690F_495B_A03E_2A89D52B6CE8_.wvu.FilterData" localSheetId="0" hidden="1">Sheet1!$A$6:$AK$351</definedName>
    <definedName name="Z_41AA4E5D_9625_4478_B720_2BD6AE34E699_.wvu.FilterData" localSheetId="0" hidden="1">Sheet1!$A$6:$AK$351</definedName>
    <definedName name="Z_471339A8_E0FA_4CA1_8194_04936068CF02_.wvu.FilterData" localSheetId="0" hidden="1">Sheet1!$A$1:$AK$351</definedName>
    <definedName name="Z_497C7126_2491_461C_AFC3_03C2E163F15C_.wvu.FilterData" localSheetId="0" hidden="1">Sheet1!$A$6:$AK$333</definedName>
    <definedName name="Z_4AAB8139_F2B6_43E5_8C9F_E607BD4F44E4_.wvu.FilterData" localSheetId="0" hidden="1">Sheet1!$A$1:$AK$333</definedName>
    <definedName name="Z_4C2A0B30_0070_415E_A110_A9BCC2779710_.wvu.FilterData" localSheetId="0" hidden="1">Sheet1!$C$1:$C$351</definedName>
    <definedName name="Z_4FDB167B_D56E_45D4_B120_847D0871AA6B_.wvu.FilterData" localSheetId="0" hidden="1">Sheet1!$A$6:$AK$351</definedName>
    <definedName name="Z_529F67B3_DE0D_4FDC_BFEA_8F16107265EB_.wvu.FilterData" localSheetId="0" hidden="1">Sheet1!$A$6:$AK$351</definedName>
    <definedName name="Z_53ED3D47_B2C0_43A1_9A1E_F030D529F74C_.wvu.FilterData" localSheetId="0" hidden="1">Sheet1!$A$6:$AK$351</definedName>
    <definedName name="Z_53ED3D47_B2C0_43A1_9A1E_F030D529F74C_.wvu.PrintArea" localSheetId="0" hidden="1">Sheet1!$A$1:$AK$351</definedName>
    <definedName name="Z_5789AB6A_B04B_4240_920E_89274E9F5C82_.wvu.FilterData" localSheetId="0" hidden="1">Sheet1!$A$6:$AK$246</definedName>
    <definedName name="Z_59EBF1CB_AF85_469A_B1D0_E57CB0203158_.wvu.FilterData" localSheetId="0" hidden="1">Sheet1!$C$1:$C$351</definedName>
    <definedName name="Z_5A66C3D0_FC57_4AA7_B0C6_C5E9A7DE2A79_.wvu.FilterData" localSheetId="0" hidden="1">Sheet1!$A$6:$AK$351</definedName>
    <definedName name="Z_5AAA4DFE_88B1_4674_95ED_5FCD7A50BC22_.wvu.FilterData" localSheetId="0" hidden="1">Sheet1!$A$1:$AK$351</definedName>
    <definedName name="Z_5AAA4DFE_88B1_4674_95ED_5FCD7A50BC22_.wvu.PrintArea" localSheetId="0" hidden="1">Sheet1!$A$1:$AK$351</definedName>
    <definedName name="Z_5E661ABE_E06E_455E_A661_DDD1907219D0_.wvu.FilterData" localSheetId="0" hidden="1">Sheet1!$A$1:$AK$333</definedName>
    <definedName name="Z_6408B19F_539D_4190_A77D_CCE77E163803_.wvu.FilterData" localSheetId="0" hidden="1">Sheet1!$A$1:$AK$333</definedName>
    <definedName name="Z_65B035E3_87FA_46C5_996E_864F2C8D0EBC_.wvu.Cols" localSheetId="0" hidden="1">Sheet1!$H:$N</definedName>
    <definedName name="Z_65B035E3_87FA_46C5_996E_864F2C8D0EBC_.wvu.FilterData" localSheetId="0" hidden="1">Sheet1!$A$6:$AK$351</definedName>
    <definedName name="Z_65B035E3_87FA_46C5_996E_864F2C8D0EBC_.wvu.PrintArea" localSheetId="0" hidden="1">Sheet1!$A$1:$AK$351</definedName>
    <definedName name="Z_65C35D6D_934F_4431_BA92_90255FC17BA4_.wvu.FilterData" localSheetId="0" hidden="1">Sheet1!$A$1:$AK$351</definedName>
    <definedName name="Z_65C35D6D_934F_4431_BA92_90255FC17BA4_.wvu.PrintArea" localSheetId="0" hidden="1">Sheet1!$A$1:$AK$351</definedName>
    <definedName name="Z_6B2EC822_DCDB_4711_A946_1038FC40FACE_.wvu.FilterData" localSheetId="0" hidden="1">Sheet1!$A$1:$AK$333</definedName>
    <definedName name="Z_6C96816B_17C2_4EA9_846E_8E6B5AD26B6D_.wvu.FilterData" localSheetId="0" hidden="1">Sheet1!#REF!</definedName>
    <definedName name="Z_6CE52079_5576_45A5_9A9F_9CA970D849EF_.wvu.FilterData" localSheetId="0" hidden="1">Sheet1!$A$6:$AK$351</definedName>
    <definedName name="Z_747340EB_2B31_46D2_ACDE_4FA91E2B50F6_.wvu.FilterData" localSheetId="0" hidden="1">Sheet1!$A$1:$AK$351</definedName>
    <definedName name="Z_747340EB_2B31_46D2_ACDE_4FA91E2B50F6_.wvu.PrintArea" localSheetId="0" hidden="1">Sheet1!$A$1:$AK$351</definedName>
    <definedName name="Z_7A12EF56_0E17_493A_8E1E_6DFC6553C116_.wvu.FilterData" localSheetId="0" hidden="1">Sheet1!$A$6:$AK$333</definedName>
    <definedName name="Z_7C1B4D6D_D666_48DD_AB17_E00791B6F0B6_.wvu.FilterData" localSheetId="0" hidden="1">Sheet1!$A$6:$AK$351</definedName>
    <definedName name="Z_7C1B4D6D_D666_48DD_AB17_E00791B6F0B6_.wvu.PrintArea" localSheetId="0" hidden="1">Sheet1!$A$1:$AK$351</definedName>
    <definedName name="Z_7C389A6C_C379_45EF_8779_FEC15F27C7E7_.wvu.FilterData" localSheetId="0" hidden="1">Sheet1!$C$1:$C$351</definedName>
    <definedName name="Z_7D2F4374_D571_49E4_B659_129D2AFDC43C_.wvu.FilterData" localSheetId="0" hidden="1">Sheet1!$A$6:$AK$351</definedName>
    <definedName name="Z_831F7439_6937_483F_B601_184FEF5CECFD_.wvu.FilterData" localSheetId="0" hidden="1">Sheet1!$A$6:$AK$351</definedName>
    <definedName name="Z_84FB199A_D56E_4FDD_AC4A_70CE86CD87BC_.wvu.FilterData" localSheetId="0" hidden="1">Sheet1!$A$1:$AK$21</definedName>
    <definedName name="Z_84FB199A_D56E_4FDD_AC4A_70CE86CD87BC_.wvu.PrintArea" localSheetId="0" hidden="1">Sheet1!$A$1:$AK$351</definedName>
    <definedName name="Z_89EE8E7D_C811_4C16_975A_830983580DAD_.wvu.FilterData" localSheetId="0" hidden="1">Sheet1!$A$6:$AK$351</definedName>
    <definedName name="Z_89F20599_320E_4C2A_9159_8E9F2F24F61C_.wvu.FilterData" localSheetId="0" hidden="1">Sheet1!$A$6:$AK$351</definedName>
    <definedName name="Z_8EDB8BF9_8BBB_4EEE_B4F0_C5928D0746DD_.wvu.FilterData" localSheetId="0" hidden="1">Sheet1!$A$1:$AK$351</definedName>
    <definedName name="Z_901F9774_8BE7_424D_87C2_1026F3FA2E93_.wvu.FilterData" localSheetId="0" hidden="1">Sheet1!$C$1:$C$351</definedName>
    <definedName name="Z_901F9774_8BE7_424D_87C2_1026F3FA2E93_.wvu.PrintArea" localSheetId="0" hidden="1">Sheet1!$A$1:$AK$351</definedName>
    <definedName name="Z_902D3CAF_0577_4A3F_A86A_C01FD8CA4695_.wvu.FilterData" localSheetId="0" hidden="1">Sheet1!$A$6:$AK$351</definedName>
    <definedName name="Z_905D93EA_5662_45AB_8995_A9908B3E5D52_.wvu.FilterData" localSheetId="0" hidden="1">Sheet1!$C$1:$C$351</definedName>
    <definedName name="Z_905D93EA_5662_45AB_8995_A9908B3E5D52_.wvu.PrintArea" localSheetId="0" hidden="1">Sheet1!$A$1:$AK$351</definedName>
    <definedName name="Z_91199DA1_59E7_4345_8CB7_A1085C901326_.wvu.FilterData" localSheetId="0" hidden="1">Sheet1!$A$6:$AK$351</definedName>
    <definedName name="Z_91251A9B_6CF6_49E6_857D_BA6C728D7C53_.wvu.FilterData" localSheetId="0" hidden="1">Sheet1!$A$1:$AK$333</definedName>
    <definedName name="Z_923E7374_9C36_4380_9E0A_313EA2F408F0_.wvu.FilterData" localSheetId="0" hidden="1">Sheet1!$A$6:$AK$351</definedName>
    <definedName name="Z_9552AAE6_9279_4387_9199_64D0E8A50A87_.wvu.FilterData" localSheetId="0" hidden="1">Sheet1!$A$6:$AK$351</definedName>
    <definedName name="Z_97F6C5A1_2596_4037_A854_1D6AE8A1071E_.wvu.FilterData" localSheetId="0" hidden="1">Sheet1!$A$6:$AK$351</definedName>
    <definedName name="Z_9980B309_0131_4577_BF29_212714399FDF_.wvu.FilterData" localSheetId="0" hidden="1">Sheet1!$A$1:$AK$351</definedName>
    <definedName name="Z_9980B309_0131_4577_BF29_212714399FDF_.wvu.PrintArea" localSheetId="0" hidden="1">Sheet1!$A$1:$AK$351</definedName>
    <definedName name="Z_9DE067B2_E801_456D_B5D0_CD5646CA5948_.wvu.FilterData" localSheetId="0" hidden="1">Sheet1!$A$1:$AK$333</definedName>
    <definedName name="Z_9EA5E3FA_46F1_4729_828C_4A08518018C1_.wvu.FilterData" localSheetId="0" hidden="1">Sheet1!$A$1:$AK$333</definedName>
    <definedName name="Z_9EA5E3FA_46F1_4729_828C_4A08518018C1_.wvu.PrintArea" localSheetId="0" hidden="1">Sheet1!$A$1:$AK$351</definedName>
    <definedName name="Z_9F268523_731B_48FE_86AA_1A6382332A83_.wvu.FilterData" localSheetId="0" hidden="1">Sheet1!$A$6:$AK$351</definedName>
    <definedName name="Z_A093D1FA_1747_4946_A02E_7D721604BB07_.wvu.FilterData" localSheetId="0" hidden="1">Sheet1!$B$1:$B$351</definedName>
    <definedName name="Z_A3134A53_5204_4FFF_BA84_3528D3179C0C_.wvu.FilterData" localSheetId="0" hidden="1">Sheet1!$A$3:$AK$242</definedName>
    <definedName name="Z_A5B1481C_EF26_486A_984F_85CDDC2FD94F_.wvu.FilterData" localSheetId="0" hidden="1">Sheet1!$A$6:$AK$351</definedName>
    <definedName name="Z_A5B1481C_EF26_486A_984F_85CDDC2FD94F_.wvu.PrintArea" localSheetId="0" hidden="1">Sheet1!$A$1:$AK$351</definedName>
    <definedName name="Z_A87F3E0E_3A8E_4B82_8170_33752259B7DB_.wvu.FilterData" localSheetId="0" hidden="1">Sheet1!$A$6:$AK$351</definedName>
    <definedName name="Z_A87F3E0E_3A8E_4B82_8170_33752259B7DB_.wvu.PrintArea" localSheetId="0" hidden="1">Sheet1!$A$1:$AK$351</definedName>
    <definedName name="Z_A9B3B58E_F12B_4916_890B_7D88AA745B81_.wvu.FilterData" localSheetId="0" hidden="1">Sheet1!$A$1:$AK$351</definedName>
    <definedName name="Z_AD1D8E66_18A9_4CB7_BBE4_02F7E757257F_.wvu.FilterData" localSheetId="0" hidden="1">Sheet1!$A$1:$AK$351</definedName>
    <definedName name="Z_AE58BCBC_9F06_4E6C_A28B_2F5626DD7C1B_.wvu.FilterData" localSheetId="0" hidden="1">Sheet1!$A$6:$AK$351</definedName>
    <definedName name="Z_AE8F3F1B_FDCB_45A5_9CC8_53B4E3A0445E_.wvu.FilterData" localSheetId="0" hidden="1">Sheet1!$A$1:$AK$333</definedName>
    <definedName name="Z_AECBC9F6_D9DE_4043_9C2F_160F7ECDAD3D_.wvu.FilterData" localSheetId="0" hidden="1">Sheet1!$A$6:$AK$351</definedName>
    <definedName name="Z_B31B819C_CFEB_4B80_9AED_AC603C39BE78_.wvu.FilterData" localSheetId="0" hidden="1">Sheet1!$A$6:$AK$351</definedName>
    <definedName name="Z_B407928D_3938_4D05_B2B2_40B4F21D0436_.wvu.FilterData" localSheetId="0" hidden="1">Sheet1!$A$6:$AK$6</definedName>
    <definedName name="Z_B5BED753_4D8C_498E_8AE1_A08F7C0956F7_.wvu.FilterData" localSheetId="0" hidden="1">Sheet1!$A$7:$AK$351</definedName>
    <definedName name="Z_BBF2EF6C_D4AD_46E1_803F_582F4D45F852_.wvu.FilterData" localSheetId="0" hidden="1">Sheet1!$A$1:$AK$351</definedName>
    <definedName name="Z_BDA3804A_96FA_4D9F_AFED_695788A754E9_.wvu.FilterData" localSheetId="0" hidden="1">Sheet1!$A$6:$AK$246</definedName>
    <definedName name="Z_C3502361_AD2C_4705_878B_D12169ED60B1_.wvu.FilterData" localSheetId="0" hidden="1">Sheet1!$A$6:$AK$351</definedName>
    <definedName name="Z_C3502361_AD2C_4705_878B_D12169ED60B1_.wvu.PrintArea" localSheetId="0" hidden="1">Sheet1!$A$1:$AK$351</definedName>
    <definedName name="Z_C408A2F1_296F_4EAD_B15B_336D73846FDD_.wvu.FilterData" localSheetId="0" hidden="1">Sheet1!$A$1:$AK$351</definedName>
    <definedName name="Z_C408A2F1_296F_4EAD_B15B_336D73846FDD_.wvu.PrintArea" localSheetId="0" hidden="1">Sheet1!$A$1:$AK$351</definedName>
    <definedName name="Z_C4E44235_F714_4BCE_B2B0_F4813D3BDF91_.wvu.FilterData" localSheetId="0" hidden="1">Sheet1!$A$6:$AK$351</definedName>
    <definedName name="Z_C71F80D5_B6C1_4ED9_B18D_D719D69F5A47_.wvu.FilterData" localSheetId="0" hidden="1">Sheet1!$A$6:$AK$351</definedName>
    <definedName name="Z_C90ECED7_D145_417E_BB55_4FC7FD4BF46C_.wvu.FilterData" localSheetId="0" hidden="1">Sheet1!$A$1:$AK$333</definedName>
    <definedName name="Z_CAB79FAE_AA32_4D62_A794_A6DB6513D801_.wvu.FilterData" localSheetId="0" hidden="1">Sheet1!$A$6:$AK$351</definedName>
    <definedName name="Z_CC51448C_22F6_4583_82CD_2835AD1A82D7_.wvu.FilterData" localSheetId="0" hidden="1">Sheet1!$A$1:$AK$242</definedName>
    <definedName name="Z_D1981FDB_7063_4FCF_8DD5_A549E616E6FF_.wvu.FilterData" localSheetId="0" hidden="1">Sheet1!$A$7:$AK$351</definedName>
    <definedName name="Z_D1B5461B_B040_4BC9_AF67_A8F429825375_.wvu.FilterData" localSheetId="0" hidden="1">Sheet1!$A$1:$AK$351</definedName>
    <definedName name="Z_D1B5461B_B040_4BC9_AF67_A8F429825375_.wvu.PrintArea" localSheetId="0" hidden="1">Sheet1!$A$1:$AK$351</definedName>
    <definedName name="Z_D365E121_F95E_415A_8CA0_9EA7ECCC60F5_.wvu.FilterData" localSheetId="0" hidden="1">Sheet1!$A$6:$AK$351</definedName>
    <definedName name="Z_D56F5ED6_74F2_4AA3_9A98_EE5750FE63AF_.wvu.FilterData" localSheetId="0" hidden="1">Sheet1!$A$6:$AK$351</definedName>
    <definedName name="Z_D802EE0F_98B9_4410_B31B_4ACC0EC9C9BC_.wvu.FilterData" localSheetId="0" hidden="1">Sheet1!$A$6:$AK$351</definedName>
    <definedName name="Z_DAD27C7B_8B8A_46CB_98B5_59B1D1EFC319_.wvu.FilterData" localSheetId="0" hidden="1">Sheet1!$A$7:$AK$351</definedName>
    <definedName name="Z_DB41C7D7_14F0_4834_A7BD_0F1115A89C8E_.wvu.FilterData" localSheetId="0" hidden="1">Sheet1!$A$6:$AK$351</definedName>
    <definedName name="Z_DB43929D_F4B7_43FF_975F_960476D189E8_.wvu.FilterData" localSheetId="0" hidden="1">Sheet1!$A$6:$AK$351</definedName>
    <definedName name="Z_DB51BB9F_5710_40B0_80E7_39B059BFD11D_.wvu.FilterData" localSheetId="0" hidden="1">Sheet1!$A$1:$AK$351</definedName>
    <definedName name="Z_DB51BB9F_5710_40B0_80E7_39B059BFD11D_.wvu.PrintArea" localSheetId="0" hidden="1">Sheet1!$A$1:$AK$351</definedName>
    <definedName name="Z_DD93CA86_AFD6_4C47_828D_70472BFCD288_.wvu.FilterData" localSheetId="0" hidden="1">Sheet1!$A$6:$AK$351</definedName>
    <definedName name="Z_DE09B69C_7EEF_4060_8E06_F7DEC4B96D7E_.wvu.FilterData" localSheetId="0" hidden="1">Sheet1!$A$6:$AK$351</definedName>
    <definedName name="Z_E53ADB69_E454_408C_8AAF_7FDA9FEDF6D0_.wvu.FilterData" localSheetId="0" hidden="1">Sheet1!$A$7:$AK$351</definedName>
    <definedName name="Z_E64C6006_DE37_44CA_8083_01C511E323D9_.wvu.FilterData" localSheetId="0" hidden="1">Sheet1!$A$3:$AK$242</definedName>
    <definedName name="Z_E875C76B_3648_4C9A_A6B2_C3654837AAAC_.wvu.FilterData" localSheetId="0" hidden="1">Sheet1!$A$7:$AK$351</definedName>
    <definedName name="Z_EA64E7D7_BA48_4965_B650_778AE412FE0C_.wvu.FilterData" localSheetId="0" hidden="1">Sheet1!$A$1:$AK$351</definedName>
    <definedName name="Z_EA64E7D7_BA48_4965_B650_778AE412FE0C_.wvu.PrintArea" localSheetId="0" hidden="1">Sheet1!$A$1:$AK$351</definedName>
    <definedName name="Z_EB0F2E6A_FA33_479E_9A47_8E3494FBB4DE_.wvu.FilterData" localSheetId="0" hidden="1">Sheet1!$A$6:$AK$351</definedName>
    <definedName name="Z_EB0F2E6A_FA33_479E_9A47_8E3494FBB4DE_.wvu.PrintArea" localSheetId="0" hidden="1">Sheet1!$A$1:$AK$351</definedName>
    <definedName name="Z_EEA37434_2D22_478B_B49F_C3E8CD4AC2E1_.wvu.FilterData" localSheetId="0" hidden="1">Sheet1!$A$6:$AK$351</definedName>
    <definedName name="Z_EEA37434_2D22_478B_B49F_C3E8CD4AC2E1_.wvu.PrintArea" localSheetId="0" hidden="1">Sheet1!$A$1:$AK$351</definedName>
    <definedName name="Z_EF10298D_3F59_43F1_9A86_8C1CCA3B5D93_.wvu.FilterData" localSheetId="0" hidden="1">Sheet1!$A$6:$AK$351</definedName>
    <definedName name="Z_EF10298D_3F59_43F1_9A86_8C1CCA3B5D93_.wvu.PrintArea" localSheetId="0" hidden="1">Sheet1!$A$1:$AK$351</definedName>
    <definedName name="Z_EFE45138_A2B3_46EB_8A69_D9745D73FBF5_.wvu.FilterData" localSheetId="0" hidden="1">Sheet1!$A$6:$AK$351</definedName>
    <definedName name="Z_F52D90D4_508D_43B6_8295_6D179E5F0FEB_.wvu.FilterData" localSheetId="0" hidden="1">Sheet1!$A$6:$AK$351</definedName>
    <definedName name="Z_F952A18B_3430_4F65_89F2_B7C17998F981_.wvu.FilterData" localSheetId="0" hidden="1">Sheet1!$A$6:$AK$351</definedName>
    <definedName name="Z_FE50EAC0_52A5_4C33_B973_65E93D03D3EA_.wvu.FilterData" localSheetId="0" hidden="1">Sheet1!$A$1:$AK$351</definedName>
    <definedName name="Z_FE50EAC0_52A5_4C33_B973_65E93D03D3EA_.wvu.PrintArea" localSheetId="0" hidden="1">Sheet1!$A$1:$AK$351</definedName>
    <definedName name="Z_FFC44E67_8559_4D31_893D_BF5BA4229E04_.wvu.FilterData" localSheetId="0" hidden="1">Sheet1!$A$1:$AK$333</definedName>
  </definedNames>
  <calcPr calcId="181029"/>
  <customWorkbookViews>
    <customWorkbookView name="mircea.pavel - Personal View" guid="{D1B5461B-B040-4BC9-AF67-A8F429825375}" mergeInterval="0" personalView="1" maximized="1" xWindow="-8" yWindow="-8" windowWidth="1936" windowHeight="1056" tabRatio="154" activeSheetId="1"/>
    <customWorkbookView name="luminita.jipa - Personal View" guid="{A87F3E0E-3A8E-4B82-8170-33752259B7DB}" mergeInterval="0" personalView="1" maximized="1" xWindow="-8" yWindow="-8" windowWidth="1936" windowHeight="1056" tabRatio="154" activeSheetId="1"/>
    <customWorkbookView name="raluca.georgescu - Personal View" guid="{901F9774-8BE7-424D-87C2-1026F3FA2E93}" mergeInterval="0" personalView="1" maximized="1" xWindow="-8" yWindow="-8" windowWidth="1936" windowHeight="1056" tabRatio="154" activeSheetId="1"/>
    <customWorkbookView name="vlad.pereteanu - Personal View" guid="{5AAA4DFE-88B1-4674-95ED-5FCD7A50BC22}" mergeInterval="0" personalView="1" maximized="1" xWindow="-8" yWindow="-8" windowWidth="1936" windowHeight="1056" tabRatio="154" activeSheetId="1" showComments="commIndAndComment"/>
    <customWorkbookView name="elisabeta.trifan - Personal View" guid="{36624B2D-80F9-4F79-AC4A-B3547C36F23F}" mergeInterval="0" personalView="1" maximized="1" xWindow="-8" yWindow="-8" windowWidth="1936" windowHeight="1056" tabRatio="154" activeSheetId="1"/>
    <customWorkbookView name="mihaela.vasilescu - Personal View" guid="{84FB199A-D56E-4FDD-AC4A-70CE86CD87BC}" mergeInterval="0" personalView="1" maximized="1" xWindow="1912" yWindow="-8" windowWidth="1936" windowHeight="1056" tabRatio="154" activeSheetId="1"/>
    <customWorkbookView name="maria.petre - Personal View" guid="{7C1B4D6D-D666-48DD-AB17-E00791B6F0B6}" mergeInterval="0" personalView="1" maximized="1" xWindow="-8" yWindow="-8" windowWidth="1936" windowHeight="1056" tabRatio="154" activeSheetId="1"/>
    <customWorkbookView name="otilia.chirita - Personal View" guid="{0781B6C2-B440-4971-9809-BD16245A70F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ovidiu.dumitrache - Personal View" guid="{FE50EAC0-52A5-4C33-B973-65E93D03D3EA}" mergeInterval="0" personalView="1" maximized="1" xWindow="1912" yWindow="-8" windowWidth="1936" windowHeight="1056" tabRatio="154" activeSheetId="1"/>
    <customWorkbookView name="daniela.voicu - Personal View" guid="{EA64E7D7-BA48-4965-B650-778AE412FE0C}" mergeInterval="0" personalView="1" maximized="1" xWindow="1912" yWindow="-8" windowWidth="1936" windowHeight="1056" tabRatio="154" activeSheetId="1"/>
    <customWorkbookView name="mihaela.nicolae - Personal View" guid="{EF10298D-3F59-43F1-9A86-8C1CCA3B5D9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corina.pelmus - Personal View" guid="{EB0F2E6A-FA33-479E-9A47-8E3494FBB4DE}"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mariana.moraru - Personal View" guid="{65C35D6D-934F-4431-BA92-90255FC17BA4}" mergeInterval="0" personalView="1" maximized="1" xWindow="-8" yWindow="-8" windowWidth="1936" windowHeight="1056" tabRatio="154" activeSheetId="1"/>
    <customWorkbookView name="ana.ionescu - Personal View" guid="{9980B309-0131-4577-BF29-212714399FDF}" mergeInterval="0" personalView="1" maximized="1" xWindow="1912"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s>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56" i="1" l="1"/>
  <c r="AE352" i="1"/>
  <c r="AG352" i="1"/>
  <c r="AJ322" i="1" l="1"/>
  <c r="AJ307" i="1"/>
  <c r="AJ257" i="1" l="1"/>
  <c r="AJ227" i="1"/>
  <c r="AJ213" i="1"/>
  <c r="AJ303" i="1"/>
  <c r="AJ269" i="1"/>
  <c r="AJ212" i="1"/>
  <c r="AJ210" i="1"/>
  <c r="AJ97" i="1"/>
  <c r="AJ75" i="1"/>
  <c r="AK103" i="1"/>
  <c r="AJ103" i="1"/>
  <c r="AK73" i="1"/>
  <c r="AJ73" i="1"/>
  <c r="AK40" i="1"/>
  <c r="AJ40" i="1"/>
  <c r="AJ85" i="1"/>
  <c r="AK11" i="1"/>
  <c r="AJ11" i="1"/>
  <c r="AJ143" i="1"/>
  <c r="AK143" i="1"/>
  <c r="AK26" i="1"/>
  <c r="AJ26" i="1"/>
  <c r="AK50" i="1"/>
  <c r="AJ50" i="1"/>
  <c r="AK22" i="1"/>
  <c r="AJ22" i="1"/>
  <c r="AK120" i="1"/>
  <c r="AJ120" i="1"/>
  <c r="AK110" i="1"/>
  <c r="AJ110" i="1"/>
  <c r="AK255" i="1"/>
  <c r="AJ255" i="1"/>
  <c r="AK257" i="1"/>
  <c r="AJ217" i="1"/>
  <c r="AJ315" i="1"/>
  <c r="AK274" i="1"/>
  <c r="AJ274" i="1"/>
  <c r="AK283" i="1"/>
  <c r="AJ283" i="1"/>
  <c r="AK282" i="1" l="1"/>
  <c r="AJ282" i="1"/>
  <c r="AK285" i="1"/>
  <c r="AJ285" i="1"/>
  <c r="AJ251" i="1"/>
  <c r="AJ219" i="1"/>
  <c r="AK235" i="1"/>
  <c r="AJ235" i="1"/>
  <c r="AK218" i="1"/>
  <c r="AJ218" i="1"/>
  <c r="AK217" i="1"/>
  <c r="AJ245" i="1"/>
  <c r="AJ248" i="1"/>
  <c r="AK259" i="1"/>
  <c r="AJ259" i="1"/>
  <c r="AJ288" i="1"/>
  <c r="AK322" i="1"/>
  <c r="AJ335" i="1"/>
  <c r="AK292" i="1"/>
  <c r="AJ292" i="1"/>
  <c r="AK315" i="1"/>
  <c r="AK232" i="1"/>
  <c r="AJ232" i="1"/>
  <c r="AK333" i="1"/>
  <c r="AJ333" i="1"/>
  <c r="AK330" i="1"/>
  <c r="AJ330" i="1"/>
  <c r="AK305" i="1"/>
  <c r="AJ305" i="1"/>
  <c r="AK304" i="1"/>
  <c r="AJ304" i="1"/>
  <c r="AK309" i="1"/>
  <c r="AJ309" i="1"/>
  <c r="AK318" i="1"/>
  <c r="AJ318" i="1"/>
  <c r="AK262" i="1"/>
  <c r="AJ262" i="1"/>
  <c r="AJ242" i="1"/>
  <c r="AK338" i="1"/>
  <c r="AJ338" i="1"/>
  <c r="AK244" i="1"/>
  <c r="AJ244" i="1"/>
  <c r="AK247" i="1"/>
  <c r="AK223" i="1"/>
  <c r="AJ223" i="1"/>
  <c r="AK264" i="1"/>
  <c r="AJ264" i="1"/>
  <c r="AK224" i="1"/>
  <c r="AJ224" i="1"/>
  <c r="AK222" i="1"/>
  <c r="AJ222" i="1"/>
  <c r="AJ230" i="1"/>
  <c r="AJ239" i="1"/>
  <c r="AK298" i="1"/>
  <c r="AJ298" i="1"/>
  <c r="AK280" i="1"/>
  <c r="AJ280" i="1"/>
  <c r="AJ316" i="1"/>
  <c r="AK260" i="1"/>
  <c r="AJ260" i="1"/>
  <c r="AK313" i="1"/>
  <c r="AJ313" i="1"/>
  <c r="AK276" i="1"/>
  <c r="AJ276" i="1"/>
  <c r="AJ310" i="1"/>
  <c r="AK314" i="1"/>
  <c r="AJ314" i="1"/>
  <c r="AK261" i="1"/>
  <c r="AJ261" i="1"/>
  <c r="AK289" i="1"/>
  <c r="AJ289" i="1"/>
  <c r="AK246" i="1"/>
  <c r="AJ246" i="1"/>
  <c r="AK228" i="1"/>
  <c r="AJ228" i="1"/>
  <c r="AK279" i="1"/>
  <c r="AJ279" i="1"/>
  <c r="AK268" i="1"/>
  <c r="AJ268" i="1"/>
  <c r="AK233" i="1"/>
  <c r="AJ233" i="1"/>
  <c r="AK220" i="1"/>
  <c r="AJ220" i="1"/>
  <c r="AJ277" i="1"/>
  <c r="AK277" i="1"/>
  <c r="AJ324" i="1"/>
  <c r="AK213" i="1"/>
  <c r="AJ297" i="1"/>
  <c r="AJ340" i="1"/>
  <c r="AK327" i="1"/>
  <c r="AJ337" i="1"/>
  <c r="AK332" i="1"/>
  <c r="AJ332" i="1"/>
  <c r="AK286" i="1"/>
  <c r="AJ286" i="1"/>
  <c r="AK272" i="1"/>
  <c r="AJ272" i="1"/>
  <c r="AJ319" i="1"/>
  <c r="AK328" i="1"/>
  <c r="AJ328" i="1"/>
  <c r="AK312" i="1"/>
  <c r="AJ312" i="1"/>
  <c r="AJ311" i="1"/>
  <c r="AK334" i="1"/>
  <c r="AJ334" i="1"/>
  <c r="AJ323" i="1"/>
  <c r="AK275" i="1"/>
  <c r="AJ275" i="1"/>
  <c r="AK278" i="1"/>
  <c r="AJ278" i="1"/>
  <c r="AJ294" i="1"/>
  <c r="AK294" i="1"/>
  <c r="AJ270" i="1"/>
  <c r="AK270" i="1"/>
  <c r="AJ308" i="1"/>
  <c r="AK7" i="1"/>
  <c r="AJ7" i="1"/>
  <c r="AK71" i="1"/>
  <c r="AJ71" i="1"/>
  <c r="AK117" i="1"/>
  <c r="AJ117" i="1"/>
  <c r="AJ149" i="1"/>
  <c r="AK136" i="1"/>
  <c r="AJ136" i="1"/>
  <c r="AK149" i="1"/>
  <c r="AK214" i="1"/>
  <c r="AJ214" i="1"/>
  <c r="AK34" i="1"/>
  <c r="AJ34" i="1"/>
  <c r="AK58" i="1"/>
  <c r="AJ58" i="1"/>
  <c r="AK122" i="1"/>
  <c r="AJ122" i="1"/>
  <c r="AK17" i="1"/>
  <c r="AJ17" i="1"/>
  <c r="AK102" i="1"/>
  <c r="AJ102" i="1"/>
  <c r="AK96" i="1"/>
  <c r="AJ96" i="1"/>
  <c r="AJ28" i="1"/>
  <c r="AJ89" i="1"/>
  <c r="AK132" i="1"/>
  <c r="AJ132" i="1"/>
  <c r="AK138" i="1"/>
  <c r="AJ138" i="1"/>
  <c r="AK144" i="1"/>
  <c r="AJ144" i="1"/>
  <c r="AJ31" i="1"/>
  <c r="AJ9" i="1"/>
  <c r="AJ253" i="1"/>
  <c r="AJ267" i="1"/>
  <c r="AJ241" i="1"/>
  <c r="AJ249" i="1"/>
  <c r="AJ197" i="1"/>
  <c r="AJ202" i="1"/>
  <c r="AJ225" i="1"/>
  <c r="AJ237" i="1"/>
  <c r="AJ187" i="1"/>
  <c r="AJ183" i="1"/>
  <c r="AJ176" i="1"/>
  <c r="AJ173" i="1"/>
  <c r="AJ166" i="1"/>
  <c r="Y108" i="1" l="1"/>
  <c r="AB20" i="1" l="1"/>
  <c r="Y20" i="1"/>
  <c r="V20" i="1"/>
  <c r="S20" i="1"/>
  <c r="AE20" i="1" l="1"/>
  <c r="AG20" i="1" s="1"/>
  <c r="AB252" i="1"/>
  <c r="Y252" i="1"/>
  <c r="S252" i="1"/>
  <c r="V252" i="1"/>
  <c r="M20" i="1" l="1"/>
  <c r="AJ254" i="1"/>
  <c r="AJ203" i="1"/>
  <c r="AJ199" i="1"/>
  <c r="AJ198" i="1"/>
  <c r="AJ191" i="1"/>
  <c r="AJ205" i="1"/>
  <c r="AJ188" i="1"/>
  <c r="AJ184" i="1"/>
  <c r="AJ174" i="1"/>
  <c r="AJ170" i="1"/>
  <c r="AJ169" i="1"/>
  <c r="AJ165" i="1"/>
  <c r="AK12" i="1"/>
  <c r="AJ12" i="1"/>
  <c r="AK9" i="1"/>
  <c r="AK31" i="1"/>
  <c r="AK123" i="1"/>
  <c r="AJ123" i="1"/>
  <c r="AK129" i="1"/>
  <c r="AJ129" i="1"/>
  <c r="AK113" i="1"/>
  <c r="AJ113" i="1"/>
  <c r="AK89" i="1"/>
  <c r="AJ83" i="1"/>
  <c r="AK37" i="1"/>
  <c r="AJ37" i="1"/>
  <c r="AK109" i="1"/>
  <c r="AJ109" i="1"/>
  <c r="AK8" i="1"/>
  <c r="AJ8" i="1"/>
  <c r="AK148" i="1"/>
  <c r="AJ148" i="1"/>
  <c r="AK61" i="1"/>
  <c r="AJ61" i="1"/>
  <c r="AK216" i="1"/>
  <c r="AJ216" i="1"/>
  <c r="AK53" i="1"/>
  <c r="AJ53" i="1"/>
  <c r="AK28" i="1"/>
  <c r="AK78" i="1"/>
  <c r="AJ78" i="1"/>
  <c r="AK317" i="1"/>
  <c r="AJ317" i="1"/>
  <c r="AK251" i="1"/>
  <c r="AK219" i="1"/>
  <c r="AK245" i="1"/>
  <c r="AK234" i="1"/>
  <c r="AJ234" i="1"/>
  <c r="AK248" i="1"/>
  <c r="AK287" i="1"/>
  <c r="AJ287" i="1"/>
  <c r="AK288" i="1"/>
  <c r="AK335" i="1"/>
  <c r="AK242" i="1" l="1"/>
  <c r="AJ320" i="1"/>
  <c r="AJ247" i="1"/>
  <c r="AK263" i="1"/>
  <c r="AJ263" i="1"/>
  <c r="AK258" i="1"/>
  <c r="AJ258" i="1"/>
  <c r="AK226" i="1"/>
  <c r="AJ226" i="1"/>
  <c r="AK230" i="1"/>
  <c r="AK307" i="1"/>
  <c r="AK316" i="1"/>
  <c r="AK310" i="1"/>
  <c r="AK301" i="1"/>
  <c r="AJ301" i="1"/>
  <c r="AK252" i="1"/>
  <c r="AJ252" i="1"/>
  <c r="AJ271" i="1"/>
  <c r="AK306" i="1"/>
  <c r="AJ306" i="1"/>
  <c r="AK240" i="1"/>
  <c r="AJ240" i="1"/>
  <c r="AK227" i="1"/>
  <c r="AK221" i="1"/>
  <c r="AJ221" i="1"/>
  <c r="AK297" i="1"/>
  <c r="AJ327" i="1"/>
  <c r="AK319" i="1"/>
  <c r="AK311" i="1" l="1"/>
  <c r="AK326" i="1"/>
  <c r="AJ326" i="1"/>
  <c r="AK256" i="1"/>
  <c r="AJ256" i="1"/>
  <c r="AK323" i="1"/>
  <c r="AJ155" i="1" l="1"/>
  <c r="AK75" i="1"/>
  <c r="AK155" i="1"/>
  <c r="AJ70" i="1"/>
  <c r="AK131" i="1"/>
  <c r="AJ131" i="1"/>
  <c r="AK97" i="1"/>
  <c r="AK135" i="1"/>
  <c r="AJ135" i="1"/>
  <c r="AK98" i="1"/>
  <c r="AJ98" i="1"/>
  <c r="AK65" i="1"/>
  <c r="AJ65" i="1"/>
  <c r="AB99" i="1" l="1"/>
  <c r="AB100" i="1"/>
  <c r="Y100" i="1"/>
  <c r="S100" i="1"/>
  <c r="V100" i="1"/>
  <c r="AE100" i="1" l="1"/>
  <c r="AG100" i="1" s="1"/>
  <c r="Y128" i="1"/>
  <c r="Y141" i="1" l="1"/>
  <c r="V141" i="1"/>
  <c r="S141" i="1"/>
  <c r="AE141" i="1" l="1"/>
  <c r="AG141" i="1" s="1"/>
  <c r="Y90" i="1"/>
  <c r="V90" i="1"/>
  <c r="S90" i="1"/>
  <c r="AB347" i="1"/>
  <c r="V347" i="1"/>
  <c r="S347" i="1"/>
  <c r="M141" i="1" l="1"/>
  <c r="AE347" i="1"/>
  <c r="AG347" i="1" s="1"/>
  <c r="Y133" i="1"/>
  <c r="AB163" i="1" l="1"/>
  <c r="Y163" i="1"/>
  <c r="V163" i="1"/>
  <c r="S163" i="1"/>
  <c r="AE163" i="1" l="1"/>
  <c r="AG163" i="1" s="1"/>
  <c r="AC162" i="1"/>
  <c r="AB16" i="1"/>
  <c r="Y16" i="1"/>
  <c r="V16" i="1"/>
  <c r="S16" i="1"/>
  <c r="M163" i="1" l="1"/>
  <c r="AE16" i="1"/>
  <c r="AG16" i="1" s="1"/>
  <c r="AB146" i="1"/>
  <c r="Y146" i="1"/>
  <c r="V146" i="1"/>
  <c r="S146" i="1"/>
  <c r="M16" i="1" l="1"/>
  <c r="AE146" i="1"/>
  <c r="AG146" i="1" s="1"/>
  <c r="M146" i="1" l="1"/>
  <c r="AB15" i="1"/>
  <c r="Y15" i="1"/>
  <c r="V15" i="1"/>
  <c r="S15" i="1"/>
  <c r="AE15" i="1" l="1"/>
  <c r="AB134" i="1"/>
  <c r="Y134" i="1"/>
  <c r="Y130" i="1"/>
  <c r="V133" i="1"/>
  <c r="V134" i="1"/>
  <c r="S134" i="1"/>
  <c r="S131" i="1"/>
  <c r="AG15" i="1" l="1"/>
  <c r="M15" i="1"/>
  <c r="AB133" i="1"/>
  <c r="S133" i="1"/>
  <c r="S132" i="1"/>
  <c r="AE134" i="1"/>
  <c r="AG134" i="1" l="1"/>
  <c r="M134" i="1"/>
  <c r="AE133" i="1"/>
  <c r="AG133" i="1" s="1"/>
  <c r="Y111" i="1"/>
  <c r="M133" i="1" l="1"/>
  <c r="AB160" i="1"/>
  <c r="Y160" i="1"/>
  <c r="V160" i="1"/>
  <c r="S160" i="1"/>
  <c r="AB159" i="1"/>
  <c r="Y159" i="1"/>
  <c r="V159" i="1"/>
  <c r="S159" i="1"/>
  <c r="AE159" i="1" l="1"/>
  <c r="AG159" i="1" s="1"/>
  <c r="AE160" i="1"/>
  <c r="AG160" i="1" s="1"/>
  <c r="AB77" i="1"/>
  <c r="M159" i="1" l="1"/>
  <c r="M160" i="1"/>
  <c r="AB351" i="1"/>
  <c r="Y351" i="1"/>
  <c r="V351" i="1"/>
  <c r="S351" i="1"/>
  <c r="AB350" i="1"/>
  <c r="Y350" i="1"/>
  <c r="V350" i="1"/>
  <c r="S350" i="1"/>
  <c r="AE351" i="1" l="1"/>
  <c r="AE350" i="1"/>
  <c r="AG351" i="1" l="1"/>
  <c r="M351" i="1"/>
  <c r="AG350" i="1"/>
  <c r="M350" i="1"/>
  <c r="AK171" i="1"/>
  <c r="AJ196" i="1"/>
  <c r="AJ348" i="1" l="1"/>
  <c r="AJ300" i="1"/>
  <c r="AJ243" i="1"/>
  <c r="AJ206" i="1"/>
  <c r="AJ204" i="1" l="1"/>
  <c r="AK119" i="1"/>
  <c r="AJ119" i="1"/>
  <c r="AJ56" i="1"/>
  <c r="AK39" i="1"/>
  <c r="AJ39" i="1"/>
  <c r="AK299" i="1"/>
  <c r="AJ299" i="1"/>
  <c r="AK25" i="1"/>
  <c r="AJ25" i="1"/>
  <c r="AJ180" i="1" l="1"/>
  <c r="AJ178" i="1"/>
  <c r="AJ164" i="1"/>
  <c r="AJ64" i="1"/>
  <c r="AK64" i="1"/>
  <c r="AK83" i="1"/>
  <c r="AK88" i="1"/>
  <c r="AJ88" i="1"/>
  <c r="AK303" i="1"/>
  <c r="AJ302" i="1" l="1"/>
  <c r="AJ296" i="1" l="1"/>
  <c r="AK296" i="1"/>
  <c r="AK265" i="1"/>
  <c r="AJ265" i="1"/>
  <c r="AK302" i="1" l="1"/>
  <c r="Y68" i="1" l="1"/>
  <c r="AK54" i="1" l="1"/>
  <c r="AJ54" i="1"/>
  <c r="AB158" i="1" l="1"/>
  <c r="AB161" i="1"/>
  <c r="AB162" i="1"/>
  <c r="Y158" i="1"/>
  <c r="Y161" i="1"/>
  <c r="Y162" i="1"/>
  <c r="V161" i="1"/>
  <c r="V162" i="1"/>
  <c r="V158" i="1"/>
  <c r="S161" i="1"/>
  <c r="S162" i="1"/>
  <c r="S158" i="1"/>
  <c r="AE161" i="1" l="1"/>
  <c r="M161" i="1" s="1"/>
  <c r="AE162" i="1"/>
  <c r="AG162" i="1" s="1"/>
  <c r="AE158" i="1"/>
  <c r="M158" i="1" s="1"/>
  <c r="AG158" i="1" l="1"/>
  <c r="AG161" i="1"/>
  <c r="M162" i="1"/>
  <c r="AB157" i="1" l="1"/>
  <c r="Y157" i="1"/>
  <c r="V157" i="1"/>
  <c r="S157" i="1"/>
  <c r="AE157" i="1" l="1"/>
  <c r="M157" i="1" s="1"/>
  <c r="V349" i="1"/>
  <c r="AB349" i="1"/>
  <c r="Y349" i="1"/>
  <c r="S349" i="1"/>
  <c r="AG157" i="1" l="1"/>
  <c r="AE349" i="1"/>
  <c r="AG349" i="1" s="1"/>
  <c r="M349" i="1" l="1"/>
  <c r="AB14" i="1"/>
  <c r="Y14" i="1"/>
  <c r="V14" i="1"/>
  <c r="S14" i="1"/>
  <c r="AE14" i="1" l="1"/>
  <c r="AG14" i="1" l="1"/>
  <c r="M14" i="1"/>
  <c r="AJ29" i="1"/>
  <c r="AJ145" i="1"/>
  <c r="AJ32" i="1"/>
  <c r="AK10" i="1"/>
  <c r="AJ10" i="1"/>
  <c r="AJ84" i="1"/>
  <c r="AJ229" i="1"/>
  <c r="AK291" i="1"/>
  <c r="AJ291" i="1"/>
  <c r="AK231" i="1"/>
  <c r="AJ231" i="1"/>
  <c r="AJ266" i="1"/>
  <c r="AK271" i="1"/>
  <c r="AJ321" i="1" l="1"/>
  <c r="AK60" i="1"/>
  <c r="AJ60" i="1"/>
  <c r="AK21" i="1"/>
  <c r="AJ21" i="1"/>
  <c r="AJ168" i="1"/>
  <c r="S183" i="1" l="1"/>
  <c r="S82" i="1" l="1"/>
  <c r="AB24" i="1" l="1"/>
  <c r="Y24" i="1"/>
  <c r="V24" i="1"/>
  <c r="S24" i="1"/>
  <c r="AE24" i="1" l="1"/>
  <c r="AG24" i="1" l="1"/>
  <c r="AJ171" i="1"/>
  <c r="AJ250" i="1" l="1"/>
  <c r="AJ281" i="1"/>
  <c r="AJ238" i="1"/>
  <c r="AJ236" i="1"/>
  <c r="AJ295" i="1"/>
  <c r="AJ209" i="1"/>
  <c r="AJ208" i="1"/>
  <c r="AJ201" i="1"/>
  <c r="AJ200" i="1"/>
  <c r="AJ195" i="1"/>
  <c r="AJ194" i="1"/>
  <c r="AK72" i="1"/>
  <c r="AJ72" i="1"/>
  <c r="AJ142" i="1"/>
  <c r="AJ74" i="1"/>
  <c r="AK23" i="1"/>
  <c r="AJ23" i="1"/>
  <c r="AK308" i="1"/>
  <c r="AK104" i="1" l="1"/>
  <c r="AJ104" i="1"/>
  <c r="AJ151" i="1"/>
  <c r="AK151" i="1"/>
  <c r="AK84" i="1"/>
  <c r="AJ211" i="1" l="1"/>
  <c r="AK273" i="1"/>
  <c r="AJ273" i="1"/>
  <c r="AK215" i="1"/>
  <c r="AJ215" i="1"/>
  <c r="AK150" i="1"/>
  <c r="AJ150" i="1"/>
  <c r="AK112" i="1"/>
  <c r="AJ112" i="1"/>
  <c r="AK107" i="1"/>
  <c r="AJ107" i="1"/>
  <c r="AK101" i="1"/>
  <c r="AJ101" i="1"/>
  <c r="AK87" i="1"/>
  <c r="AJ87" i="1"/>
  <c r="AK69" i="1"/>
  <c r="AJ69" i="1"/>
  <c r="AK59" i="1"/>
  <c r="AJ59" i="1"/>
  <c r="AK38" i="1"/>
  <c r="AJ38" i="1"/>
  <c r="AK43" i="1"/>
  <c r="AJ43" i="1"/>
  <c r="AJ290" i="1"/>
  <c r="AJ284" i="1"/>
  <c r="AK266" i="1"/>
  <c r="AK239" i="1" l="1"/>
  <c r="AK229" i="1"/>
  <c r="AB52" i="1" l="1"/>
  <c r="S95" i="1" l="1"/>
  <c r="V95" i="1"/>
  <c r="Y95" i="1"/>
  <c r="AB95" i="1"/>
  <c r="AE95" i="1" l="1"/>
  <c r="AB13" i="1"/>
  <c r="Y13" i="1"/>
  <c r="V13" i="1"/>
  <c r="S13" i="1"/>
  <c r="AG95" i="1" l="1"/>
  <c r="M95" i="1"/>
  <c r="AE13" i="1"/>
  <c r="AB130" i="1"/>
  <c r="V130" i="1"/>
  <c r="S130" i="1"/>
  <c r="AG13" i="1" l="1"/>
  <c r="M13" i="1"/>
  <c r="AE130" i="1"/>
  <c r="Y106" i="1"/>
  <c r="Y115" i="1"/>
  <c r="AG130" i="1" l="1"/>
  <c r="M130" i="1"/>
  <c r="AB127" i="1"/>
  <c r="V86" i="1"/>
  <c r="S86" i="1"/>
  <c r="AB342" i="1" l="1"/>
  <c r="AB343" i="1"/>
  <c r="AB344" i="1"/>
  <c r="Y342" i="1"/>
  <c r="Y343" i="1"/>
  <c r="Y344" i="1"/>
  <c r="V342" i="1"/>
  <c r="V343" i="1"/>
  <c r="V344" i="1"/>
  <c r="S342" i="1"/>
  <c r="S343" i="1"/>
  <c r="S344" i="1"/>
  <c r="AE342" i="1" l="1"/>
  <c r="M342" i="1" s="1"/>
  <c r="AE344" i="1"/>
  <c r="AG344" i="1" s="1"/>
  <c r="AE343" i="1"/>
  <c r="AG343" i="1" s="1"/>
  <c r="AG342" i="1" l="1"/>
  <c r="M344" i="1"/>
  <c r="M343" i="1"/>
  <c r="Y127" i="1"/>
  <c r="V127" i="1"/>
  <c r="S127" i="1"/>
  <c r="AE127" i="1" l="1"/>
  <c r="V341" i="1"/>
  <c r="M127" i="1" l="1"/>
  <c r="AG127" i="1"/>
  <c r="Y99" i="1"/>
  <c r="V99" i="1"/>
  <c r="S99" i="1"/>
  <c r="AE99" i="1" l="1"/>
  <c r="AG99" i="1" l="1"/>
  <c r="M99" i="1"/>
  <c r="M24" i="1" l="1"/>
  <c r="AB115" i="1"/>
  <c r="V115" i="1"/>
  <c r="S115" i="1"/>
  <c r="AB111" i="1"/>
  <c r="V111" i="1"/>
  <c r="S111" i="1"/>
  <c r="M100" i="1"/>
  <c r="AB92" i="1"/>
  <c r="AB93" i="1"/>
  <c r="Y92" i="1"/>
  <c r="Y93" i="1"/>
  <c r="V92" i="1"/>
  <c r="V93" i="1"/>
  <c r="S92" i="1"/>
  <c r="S93" i="1"/>
  <c r="Y86" i="1"/>
  <c r="Y85" i="1"/>
  <c r="AB86" i="1"/>
  <c r="AB82" i="1"/>
  <c r="AB81" i="1"/>
  <c r="AB80" i="1"/>
  <c r="AB79" i="1"/>
  <c r="Y81" i="1"/>
  <c r="Y82" i="1"/>
  <c r="V82" i="1"/>
  <c r="V81" i="1"/>
  <c r="S81" i="1"/>
  <c r="Y77" i="1"/>
  <c r="V77" i="1"/>
  <c r="S77" i="1"/>
  <c r="AB67" i="1"/>
  <c r="Y67" i="1"/>
  <c r="V67" i="1"/>
  <c r="S67" i="1"/>
  <c r="AB57" i="1"/>
  <c r="Y57" i="1"/>
  <c r="V57" i="1"/>
  <c r="S57" i="1"/>
  <c r="AB42" i="1"/>
  <c r="Y42" i="1"/>
  <c r="V42" i="1"/>
  <c r="S42" i="1"/>
  <c r="AB27" i="1"/>
  <c r="Y27" i="1"/>
  <c r="S27" i="1"/>
  <c r="V27" i="1"/>
  <c r="AE111" i="1" l="1"/>
  <c r="M111" i="1" s="1"/>
  <c r="AE77" i="1"/>
  <c r="AG77" i="1" s="1"/>
  <c r="AE67" i="1"/>
  <c r="AG67" i="1" s="1"/>
  <c r="AE86" i="1"/>
  <c r="AE92" i="1"/>
  <c r="AE42" i="1"/>
  <c r="AE93" i="1"/>
  <c r="AE115" i="1"/>
  <c r="AE57" i="1"/>
  <c r="AG57" i="1" s="1"/>
  <c r="AE81" i="1"/>
  <c r="AE82" i="1"/>
  <c r="AE27" i="1"/>
  <c r="AG42" i="1" l="1"/>
  <c r="AG93" i="1"/>
  <c r="M82" i="1"/>
  <c r="AG81" i="1"/>
  <c r="AG115" i="1"/>
  <c r="AG92" i="1"/>
  <c r="AG27" i="1"/>
  <c r="AG86" i="1"/>
  <c r="AG111" i="1"/>
  <c r="M92" i="1"/>
  <c r="M93" i="1"/>
  <c r="M67" i="1"/>
  <c r="M86" i="1"/>
  <c r="M42" i="1"/>
  <c r="M115" i="1"/>
  <c r="M57" i="1"/>
  <c r="M81" i="1"/>
  <c r="AG82" i="1"/>
  <c r="M77" i="1"/>
  <c r="M27" i="1"/>
  <c r="AB41" i="1" l="1"/>
  <c r="Y41" i="1"/>
  <c r="V41" i="1"/>
  <c r="S41" i="1"/>
  <c r="AE41" i="1" l="1"/>
  <c r="M41" i="1" l="1"/>
  <c r="AG41" i="1"/>
  <c r="AB66" i="1"/>
  <c r="Y66" i="1"/>
  <c r="V66" i="1"/>
  <c r="S66" i="1"/>
  <c r="AE66" i="1" l="1"/>
  <c r="AG66" i="1" l="1"/>
  <c r="M66" i="1"/>
  <c r="Y76" i="1"/>
  <c r="V76" i="1"/>
  <c r="S76" i="1"/>
  <c r="AE76" i="1" l="1"/>
  <c r="AG76" i="1" l="1"/>
  <c r="M76" i="1"/>
  <c r="AB287" i="1" l="1"/>
  <c r="AB152" i="1" l="1"/>
  <c r="AB153" i="1"/>
  <c r="AB154" i="1"/>
  <c r="Y151" i="1"/>
  <c r="Y152" i="1"/>
  <c r="Y153" i="1"/>
  <c r="Y154" i="1"/>
  <c r="V151" i="1"/>
  <c r="V152" i="1"/>
  <c r="V153" i="1"/>
  <c r="V154" i="1"/>
  <c r="S152" i="1"/>
  <c r="S153" i="1"/>
  <c r="S154" i="1"/>
  <c r="S151" i="1"/>
  <c r="AE154" i="1" l="1"/>
  <c r="AG154" i="1" s="1"/>
  <c r="AE153" i="1"/>
  <c r="AE152" i="1"/>
  <c r="AG152" i="1" l="1"/>
  <c r="AG153" i="1"/>
  <c r="M154" i="1"/>
  <c r="M152" i="1"/>
  <c r="M153" i="1"/>
  <c r="AB91" i="1"/>
  <c r="Y91" i="1"/>
  <c r="V91" i="1"/>
  <c r="S91" i="1"/>
  <c r="AB90" i="1"/>
  <c r="AE90" i="1" s="1"/>
  <c r="AE91" i="1" l="1"/>
  <c r="M90" i="1"/>
  <c r="AG90" i="1"/>
  <c r="AG91" i="1" l="1"/>
  <c r="M91" i="1"/>
  <c r="Y80" i="1"/>
  <c r="V80" i="1"/>
  <c r="S80" i="1"/>
  <c r="AE80" i="1" l="1"/>
  <c r="Y52" i="1"/>
  <c r="V52" i="1"/>
  <c r="S52" i="1"/>
  <c r="AG80" i="1" l="1"/>
  <c r="M80" i="1"/>
  <c r="AE52" i="1"/>
  <c r="M52" i="1" l="1"/>
  <c r="AG52" i="1"/>
  <c r="AB156" i="1"/>
  <c r="Y156" i="1"/>
  <c r="V156" i="1"/>
  <c r="S156" i="1"/>
  <c r="AE156" i="1" l="1"/>
  <c r="AG156" i="1" l="1"/>
  <c r="M156" i="1"/>
  <c r="Y126" i="1"/>
  <c r="S126" i="1"/>
  <c r="Y51" i="1" l="1"/>
  <c r="V51" i="1"/>
  <c r="S51" i="1"/>
  <c r="AE51" i="1" l="1"/>
  <c r="AB338" i="1" l="1"/>
  <c r="Y338" i="1"/>
  <c r="S116" i="1" l="1"/>
  <c r="V116" i="1"/>
  <c r="AB118" i="1" l="1"/>
  <c r="AB116" i="1"/>
  <c r="Y118" i="1"/>
  <c r="Y116" i="1"/>
  <c r="V118" i="1"/>
  <c r="S118" i="1"/>
  <c r="AE116" i="1" l="1"/>
  <c r="AE118" i="1"/>
  <c r="AG116" i="1" l="1"/>
  <c r="AG118" i="1"/>
  <c r="M118" i="1"/>
  <c r="M51" i="1"/>
  <c r="AG51" i="1"/>
  <c r="Y56" i="1"/>
  <c r="V56" i="1"/>
  <c r="S56" i="1"/>
  <c r="S55" i="1"/>
  <c r="AB335" i="1"/>
  <c r="Y335" i="1"/>
  <c r="S335" i="1"/>
  <c r="AB84" i="1" l="1"/>
  <c r="AE84" i="1" s="1"/>
  <c r="AB139" i="1"/>
  <c r="Y139" i="1"/>
  <c r="V139" i="1"/>
  <c r="S139" i="1"/>
  <c r="AB138" i="1"/>
  <c r="Y138" i="1"/>
  <c r="V138" i="1"/>
  <c r="S138" i="1"/>
  <c r="AE139" i="1" l="1"/>
  <c r="AE138" i="1"/>
  <c r="M84" i="1"/>
  <c r="AG84" i="1"/>
  <c r="AG138" i="1" l="1"/>
  <c r="AG139" i="1"/>
  <c r="M138" i="1"/>
  <c r="M139" i="1"/>
  <c r="Y332" i="1" l="1"/>
  <c r="AB346" i="1"/>
  <c r="AB345" i="1"/>
  <c r="AB341" i="1"/>
  <c r="AB340" i="1"/>
  <c r="AB339" i="1"/>
  <c r="AB337" i="1"/>
  <c r="AB336" i="1"/>
  <c r="AB334" i="1"/>
  <c r="Y346" i="1"/>
  <c r="Y345" i="1"/>
  <c r="Y341" i="1"/>
  <c r="Y340" i="1"/>
  <c r="Y339" i="1"/>
  <c r="Y337" i="1"/>
  <c r="Y336" i="1"/>
  <c r="Y334" i="1"/>
  <c r="V346" i="1"/>
  <c r="V345" i="1"/>
  <c r="V340" i="1"/>
  <c r="V339" i="1"/>
  <c r="V338" i="1"/>
  <c r="V337" i="1"/>
  <c r="V336" i="1"/>
  <c r="V335" i="1"/>
  <c r="V334" i="1"/>
  <c r="S346" i="1"/>
  <c r="S345" i="1"/>
  <c r="S341" i="1"/>
  <c r="S340" i="1"/>
  <c r="S339" i="1"/>
  <c r="S338" i="1"/>
  <c r="S337" i="1"/>
  <c r="S336" i="1"/>
  <c r="S334" i="1"/>
  <c r="AB333" i="1"/>
  <c r="Y333" i="1"/>
  <c r="V333" i="1"/>
  <c r="S333" i="1"/>
  <c r="AB332" i="1"/>
  <c r="V332" i="1"/>
  <c r="S332" i="1"/>
  <c r="V155" i="1"/>
  <c r="AB48" i="1"/>
  <c r="AB47" i="1"/>
  <c r="Y48" i="1"/>
  <c r="Y47" i="1"/>
  <c r="V48" i="1"/>
  <c r="V47" i="1"/>
  <c r="S48" i="1"/>
  <c r="S47" i="1"/>
  <c r="AE336" i="1" l="1"/>
  <c r="AG336" i="1" s="1"/>
  <c r="AE339" i="1"/>
  <c r="AG339" i="1" s="1"/>
  <c r="AE346" i="1"/>
  <c r="AG346" i="1" s="1"/>
  <c r="AE332" i="1"/>
  <c r="M332" i="1" s="1"/>
  <c r="AE47" i="1"/>
  <c r="AE333" i="1"/>
  <c r="M333" i="1" s="1"/>
  <c r="AE340" i="1"/>
  <c r="AG340" i="1" s="1"/>
  <c r="AE48" i="1"/>
  <c r="AG48" i="1" s="1"/>
  <c r="AE335" i="1"/>
  <c r="AE338" i="1"/>
  <c r="AG338" i="1" s="1"/>
  <c r="AE345" i="1"/>
  <c r="AG345" i="1" s="1"/>
  <c r="AE334" i="1"/>
  <c r="AG334" i="1" s="1"/>
  <c r="AE337" i="1"/>
  <c r="AG337" i="1" s="1"/>
  <c r="AE341" i="1"/>
  <c r="M341" i="1" s="1"/>
  <c r="M345" i="1" l="1"/>
  <c r="M339" i="1"/>
  <c r="M346" i="1"/>
  <c r="M340" i="1"/>
  <c r="AG341" i="1"/>
  <c r="M48" i="1"/>
  <c r="AG47" i="1"/>
  <c r="M47" i="1"/>
  <c r="M338" i="1"/>
  <c r="AG335" i="1"/>
  <c r="M335" i="1"/>
  <c r="M334" i="1"/>
  <c r="M337" i="1"/>
  <c r="M336" i="1"/>
  <c r="AG332" i="1"/>
  <c r="AG333" i="1"/>
  <c r="AB329" i="1"/>
  <c r="Y329" i="1"/>
  <c r="V329" i="1"/>
  <c r="S329" i="1"/>
  <c r="V330" i="1" l="1"/>
  <c r="S324" i="1" l="1"/>
  <c r="S321" i="1" l="1"/>
  <c r="AB348" i="1" l="1"/>
  <c r="Y348" i="1"/>
  <c r="V348" i="1"/>
  <c r="S348" i="1"/>
  <c r="AE348" i="1" l="1"/>
  <c r="AG348" i="1" l="1"/>
  <c r="M348" i="1"/>
  <c r="S117" i="1"/>
  <c r="Y79" i="1" l="1"/>
  <c r="AB311" i="1" l="1"/>
  <c r="Y311" i="1"/>
  <c r="V311" i="1"/>
  <c r="S311" i="1"/>
  <c r="AE311" i="1" l="1"/>
  <c r="AG311" i="1" s="1"/>
  <c r="Y129" i="1"/>
  <c r="M311" i="1" l="1"/>
  <c r="AB74" i="1"/>
  <c r="Y74" i="1"/>
  <c r="V74" i="1"/>
  <c r="S74" i="1"/>
  <c r="AE74" i="1" l="1"/>
  <c r="AG74" i="1" l="1"/>
  <c r="Y135" i="1"/>
  <c r="AB155" i="1"/>
  <c r="Y155" i="1"/>
  <c r="S155" i="1"/>
  <c r="AD305" i="1" l="1"/>
  <c r="AC305" i="1"/>
  <c r="X305" i="1"/>
  <c r="W305" i="1"/>
  <c r="U305" i="1"/>
  <c r="T305" i="1"/>
  <c r="Y25" i="1" l="1"/>
  <c r="V25" i="1"/>
  <c r="S25" i="1"/>
  <c r="AE25" i="1" l="1"/>
  <c r="AB104" i="1"/>
  <c r="Y104" i="1"/>
  <c r="V104" i="1"/>
  <c r="S104" i="1"/>
  <c r="AG25" i="1" l="1"/>
  <c r="AE104" i="1"/>
  <c r="AG104" i="1" l="1"/>
  <c r="M104" i="1"/>
  <c r="M74" i="1"/>
  <c r="M54" i="1"/>
  <c r="AB98" i="1" l="1"/>
  <c r="T98" i="1"/>
  <c r="Y50" i="1" l="1"/>
  <c r="S50" i="1"/>
  <c r="AB73" i="1"/>
  <c r="Y73" i="1"/>
  <c r="V73" i="1"/>
  <c r="S73" i="1"/>
  <c r="AE73" i="1" l="1"/>
  <c r="S105" i="1"/>
  <c r="M73" i="1" l="1"/>
  <c r="AG73" i="1"/>
  <c r="Y110" i="1" l="1"/>
  <c r="AB304" i="1" l="1"/>
  <c r="AB305" i="1"/>
  <c r="AB306" i="1"/>
  <c r="AB307" i="1"/>
  <c r="AB308" i="1"/>
  <c r="AB309" i="1"/>
  <c r="AB310" i="1"/>
  <c r="AB312" i="1"/>
  <c r="AB313" i="1"/>
  <c r="AB314" i="1"/>
  <c r="AB315" i="1"/>
  <c r="AB117" i="1"/>
  <c r="AB316" i="1"/>
  <c r="AB317" i="1"/>
  <c r="AB318" i="1"/>
  <c r="AB319" i="1"/>
  <c r="AB320" i="1"/>
  <c r="AB321" i="1"/>
  <c r="AB322" i="1"/>
  <c r="AB323" i="1"/>
  <c r="AB324" i="1"/>
  <c r="AB325" i="1"/>
  <c r="AB326" i="1"/>
  <c r="AB327" i="1"/>
  <c r="AB328" i="1"/>
  <c r="AB330" i="1"/>
  <c r="Y304" i="1"/>
  <c r="Y305" i="1"/>
  <c r="Y306" i="1"/>
  <c r="Y307" i="1"/>
  <c r="Y308" i="1"/>
  <c r="Y309" i="1"/>
  <c r="Y310" i="1"/>
  <c r="Y312" i="1"/>
  <c r="Y313" i="1"/>
  <c r="Y314" i="1"/>
  <c r="Y315" i="1"/>
  <c r="Y117" i="1"/>
  <c r="Y316" i="1"/>
  <c r="Y317" i="1"/>
  <c r="Y318" i="1"/>
  <c r="Y319" i="1"/>
  <c r="Y320" i="1"/>
  <c r="Y321" i="1"/>
  <c r="Y322" i="1"/>
  <c r="Y323" i="1"/>
  <c r="Y324" i="1"/>
  <c r="Y325" i="1"/>
  <c r="Y326" i="1"/>
  <c r="Y327" i="1"/>
  <c r="Y328" i="1"/>
  <c r="Y330" i="1"/>
  <c r="V304" i="1"/>
  <c r="V305" i="1"/>
  <c r="V306" i="1"/>
  <c r="V307" i="1"/>
  <c r="V308" i="1"/>
  <c r="V309" i="1"/>
  <c r="V310" i="1"/>
  <c r="V312" i="1"/>
  <c r="V313" i="1"/>
  <c r="V314" i="1"/>
  <c r="V315" i="1"/>
  <c r="V117" i="1"/>
  <c r="V316" i="1"/>
  <c r="V317" i="1"/>
  <c r="V318" i="1"/>
  <c r="V319" i="1"/>
  <c r="V320" i="1"/>
  <c r="V321" i="1"/>
  <c r="V322" i="1"/>
  <c r="V323" i="1"/>
  <c r="V324" i="1"/>
  <c r="V325" i="1"/>
  <c r="V326" i="1"/>
  <c r="V327" i="1"/>
  <c r="V328" i="1"/>
  <c r="S304" i="1"/>
  <c r="S305" i="1"/>
  <c r="S306" i="1"/>
  <c r="S307" i="1"/>
  <c r="S308" i="1"/>
  <c r="S309" i="1"/>
  <c r="S310" i="1"/>
  <c r="S312" i="1"/>
  <c r="S313" i="1"/>
  <c r="S314" i="1"/>
  <c r="S315" i="1"/>
  <c r="S316" i="1"/>
  <c r="S317" i="1"/>
  <c r="S318" i="1"/>
  <c r="S319" i="1"/>
  <c r="S320" i="1"/>
  <c r="S322" i="1"/>
  <c r="S323" i="1"/>
  <c r="S325" i="1"/>
  <c r="S326" i="1"/>
  <c r="S327" i="1"/>
  <c r="S328" i="1"/>
  <c r="S330" i="1"/>
  <c r="AE330" i="1" l="1"/>
  <c r="AG330" i="1" s="1"/>
  <c r="AE326" i="1"/>
  <c r="M326" i="1" s="1"/>
  <c r="AE322" i="1"/>
  <c r="M322" i="1" s="1"/>
  <c r="AE318" i="1"/>
  <c r="AG318" i="1" s="1"/>
  <c r="AE315" i="1"/>
  <c r="AG315" i="1" s="1"/>
  <c r="AE308" i="1"/>
  <c r="M308" i="1" s="1"/>
  <c r="AE304" i="1"/>
  <c r="AG304" i="1" s="1"/>
  <c r="AE327" i="1"/>
  <c r="AG327" i="1" s="1"/>
  <c r="AE323" i="1"/>
  <c r="AG323" i="1" s="1"/>
  <c r="AE319" i="1"/>
  <c r="AG319" i="1" s="1"/>
  <c r="AE117" i="1"/>
  <c r="AE312" i="1"/>
  <c r="AG312" i="1" s="1"/>
  <c r="AE305" i="1"/>
  <c r="AG305" i="1" s="1"/>
  <c r="AE328" i="1"/>
  <c r="AG328" i="1" s="1"/>
  <c r="AE324" i="1"/>
  <c r="AG324" i="1" s="1"/>
  <c r="AE320" i="1"/>
  <c r="AG320" i="1" s="1"/>
  <c r="AE316" i="1"/>
  <c r="AG316" i="1" s="1"/>
  <c r="AE313" i="1"/>
  <c r="AG313" i="1" s="1"/>
  <c r="AE309" i="1"/>
  <c r="AG309" i="1" s="1"/>
  <c r="AE306" i="1"/>
  <c r="AG306" i="1" s="1"/>
  <c r="AE329" i="1"/>
  <c r="M329" i="1" s="1"/>
  <c r="AE325" i="1"/>
  <c r="AG325" i="1" s="1"/>
  <c r="AE321" i="1"/>
  <c r="AG321" i="1" s="1"/>
  <c r="AE317" i="1"/>
  <c r="AG317" i="1" s="1"/>
  <c r="AE314" i="1"/>
  <c r="AG314" i="1" s="1"/>
  <c r="AE310" i="1"/>
  <c r="AG310" i="1" s="1"/>
  <c r="AE307" i="1"/>
  <c r="AG307" i="1" s="1"/>
  <c r="Z103" i="1"/>
  <c r="W103" i="1"/>
  <c r="T103" i="1"/>
  <c r="AG117" i="1" l="1"/>
  <c r="M325" i="1"/>
  <c r="AG326" i="1"/>
  <c r="M330" i="1"/>
  <c r="M310" i="1"/>
  <c r="M315" i="1"/>
  <c r="M309" i="1"/>
  <c r="M117" i="1"/>
  <c r="M312" i="1"/>
  <c r="M327" i="1"/>
  <c r="M324" i="1"/>
  <c r="M304" i="1"/>
  <c r="M318" i="1"/>
  <c r="M313" i="1"/>
  <c r="M328" i="1"/>
  <c r="AG308" i="1"/>
  <c r="AG322" i="1"/>
  <c r="M306" i="1"/>
  <c r="M321" i="1"/>
  <c r="M317" i="1"/>
  <c r="M314" i="1"/>
  <c r="M319" i="1"/>
  <c r="M320" i="1"/>
  <c r="M323" i="1"/>
  <c r="AG329" i="1"/>
  <c r="M316" i="1"/>
  <c r="M305" i="1"/>
  <c r="M307" i="1"/>
  <c r="Y65" i="1"/>
  <c r="AB295" i="1" l="1"/>
  <c r="Y295" i="1"/>
  <c r="V295" i="1"/>
  <c r="S295" i="1"/>
  <c r="AE295" i="1" l="1"/>
  <c r="AG295" i="1" s="1"/>
  <c r="S293" i="1"/>
  <c r="M295" i="1" l="1"/>
  <c r="AB151" i="1" l="1"/>
  <c r="AE151" i="1" s="1"/>
  <c r="AB31" i="1"/>
  <c r="Y31" i="1"/>
  <c r="V31" i="1"/>
  <c r="S31" i="1"/>
  <c r="M151" i="1" l="1"/>
  <c r="AG151" i="1"/>
  <c r="AE31" i="1"/>
  <c r="M31" i="1" s="1"/>
  <c r="V43" i="1"/>
  <c r="AG31" i="1" l="1"/>
  <c r="AB45" i="1"/>
  <c r="AB46" i="1"/>
  <c r="Y45" i="1"/>
  <c r="Y46" i="1"/>
  <c r="V45" i="1"/>
  <c r="V46" i="1"/>
  <c r="S45" i="1"/>
  <c r="S46" i="1"/>
  <c r="AE46" i="1" l="1"/>
  <c r="AG46" i="1" s="1"/>
  <c r="AE45" i="1"/>
  <c r="V101" i="1"/>
  <c r="M46" i="1" l="1"/>
  <c r="AG45" i="1"/>
  <c r="M45" i="1"/>
  <c r="AE23" i="1"/>
  <c r="M23" i="1" l="1"/>
  <c r="S281" i="1"/>
  <c r="AB107" i="1" l="1"/>
  <c r="Y107" i="1"/>
  <c r="V107" i="1"/>
  <c r="S107" i="1"/>
  <c r="AE107" i="1" l="1"/>
  <c r="AG107" i="1" l="1"/>
  <c r="M107" i="1"/>
  <c r="AB286" i="1"/>
  <c r="AB288" i="1"/>
  <c r="AB289" i="1"/>
  <c r="AB290" i="1"/>
  <c r="AB291" i="1"/>
  <c r="AB292" i="1"/>
  <c r="AB293" i="1"/>
  <c r="AB294" i="1"/>
  <c r="Y286" i="1"/>
  <c r="Y287" i="1"/>
  <c r="Y288" i="1"/>
  <c r="Y289" i="1"/>
  <c r="Y290" i="1"/>
  <c r="Y291" i="1"/>
  <c r="Y292" i="1"/>
  <c r="Y293" i="1"/>
  <c r="Y294" i="1"/>
  <c r="V286" i="1"/>
  <c r="V287" i="1"/>
  <c r="V288" i="1"/>
  <c r="V289" i="1"/>
  <c r="V290" i="1"/>
  <c r="V291" i="1"/>
  <c r="V292" i="1"/>
  <c r="V293" i="1"/>
  <c r="V294" i="1"/>
  <c r="S286" i="1"/>
  <c r="S287" i="1"/>
  <c r="S288" i="1"/>
  <c r="S289" i="1"/>
  <c r="S290" i="1"/>
  <c r="S291" i="1"/>
  <c r="S292" i="1"/>
  <c r="S294" i="1"/>
  <c r="AB282" i="1"/>
  <c r="AB283" i="1"/>
  <c r="AB284" i="1"/>
  <c r="AB285" i="1"/>
  <c r="AB296" i="1"/>
  <c r="AB297" i="1"/>
  <c r="AB298" i="1"/>
  <c r="AB299" i="1"/>
  <c r="AB300" i="1"/>
  <c r="AB301" i="1"/>
  <c r="AB302" i="1"/>
  <c r="AB303" i="1"/>
  <c r="AB331" i="1"/>
  <c r="Y282" i="1"/>
  <c r="Y283" i="1"/>
  <c r="Y284" i="1"/>
  <c r="Y285" i="1"/>
  <c r="Y296" i="1"/>
  <c r="Y297" i="1"/>
  <c r="Y298" i="1"/>
  <c r="Y299" i="1"/>
  <c r="Y300" i="1"/>
  <c r="Y301" i="1"/>
  <c r="V282" i="1"/>
  <c r="V283" i="1"/>
  <c r="V284" i="1"/>
  <c r="V285" i="1"/>
  <c r="V296" i="1"/>
  <c r="V297" i="1"/>
  <c r="V298" i="1"/>
  <c r="V299" i="1"/>
  <c r="V300" i="1"/>
  <c r="V301" i="1"/>
  <c r="V302" i="1"/>
  <c r="S282" i="1"/>
  <c r="S284" i="1"/>
  <c r="S285" i="1"/>
  <c r="S296" i="1"/>
  <c r="S297" i="1"/>
  <c r="S298" i="1"/>
  <c r="S299" i="1"/>
  <c r="S300" i="1"/>
  <c r="S301" i="1"/>
  <c r="Y302" i="1"/>
  <c r="S302" i="1"/>
  <c r="AE289" i="1" l="1"/>
  <c r="M289" i="1" s="1"/>
  <c r="AE293" i="1"/>
  <c r="AG293" i="1" s="1"/>
  <c r="AE301" i="1"/>
  <c r="AG301" i="1" s="1"/>
  <c r="AE297" i="1"/>
  <c r="AG297" i="1" s="1"/>
  <c r="AE283" i="1"/>
  <c r="AG283" i="1" s="1"/>
  <c r="AE296" i="1"/>
  <c r="AG296" i="1" s="1"/>
  <c r="AE298" i="1"/>
  <c r="AG298" i="1" s="1"/>
  <c r="AE284" i="1"/>
  <c r="AG284" i="1" s="1"/>
  <c r="AE291" i="1"/>
  <c r="AG291" i="1" s="1"/>
  <c r="AE287" i="1"/>
  <c r="AG287" i="1" s="1"/>
  <c r="AE292" i="1"/>
  <c r="AG292" i="1" s="1"/>
  <c r="AE288" i="1"/>
  <c r="M288" i="1" s="1"/>
  <c r="AE282" i="1"/>
  <c r="AG282" i="1" s="1"/>
  <c r="AE302" i="1"/>
  <c r="M302" i="1" s="1"/>
  <c r="AE299" i="1"/>
  <c r="M299" i="1" s="1"/>
  <c r="AE285" i="1"/>
  <c r="AG285" i="1" s="1"/>
  <c r="AE300" i="1"/>
  <c r="AG300" i="1" s="1"/>
  <c r="AE294" i="1"/>
  <c r="AG294" i="1" s="1"/>
  <c r="AE290" i="1"/>
  <c r="AG290" i="1" s="1"/>
  <c r="AE286" i="1"/>
  <c r="AG286" i="1" s="1"/>
  <c r="M298" i="1" l="1"/>
  <c r="M292" i="1"/>
  <c r="M287" i="1"/>
  <c r="M286" i="1"/>
  <c r="M291" i="1"/>
  <c r="M285" i="1"/>
  <c r="M297" i="1"/>
  <c r="M296" i="1"/>
  <c r="M290" i="1"/>
  <c r="AG288" i="1"/>
  <c r="AG289" i="1"/>
  <c r="M300" i="1"/>
  <c r="M282" i="1"/>
  <c r="M293" i="1"/>
  <c r="M284" i="1"/>
  <c r="M283" i="1"/>
  <c r="AG299" i="1"/>
  <c r="M294" i="1"/>
  <c r="AG302" i="1"/>
  <c r="M301" i="1"/>
  <c r="AB11" i="1" l="1"/>
  <c r="AB12" i="1"/>
  <c r="Y11" i="1"/>
  <c r="Y12" i="1"/>
  <c r="V11" i="1"/>
  <c r="V12" i="1"/>
  <c r="S11" i="1"/>
  <c r="S12" i="1"/>
  <c r="AE11" i="1" l="1"/>
  <c r="AE12" i="1"/>
  <c r="S10" i="1"/>
  <c r="AG12" i="1" l="1"/>
  <c r="AG11" i="1"/>
  <c r="M12" i="1"/>
  <c r="M11" i="1"/>
  <c r="AB275" i="1"/>
  <c r="AB276" i="1"/>
  <c r="AB277" i="1"/>
  <c r="AB278" i="1"/>
  <c r="AB279" i="1"/>
  <c r="AB280" i="1"/>
  <c r="AB281" i="1"/>
  <c r="Y275" i="1"/>
  <c r="Y276" i="1"/>
  <c r="Y277" i="1"/>
  <c r="Y278" i="1"/>
  <c r="Y279" i="1"/>
  <c r="Y280" i="1"/>
  <c r="Y281" i="1"/>
  <c r="V275" i="1"/>
  <c r="V276" i="1"/>
  <c r="V277" i="1"/>
  <c r="V278" i="1"/>
  <c r="V279" i="1"/>
  <c r="V280" i="1"/>
  <c r="V281" i="1"/>
  <c r="S275" i="1"/>
  <c r="S276" i="1"/>
  <c r="S277" i="1"/>
  <c r="S278" i="1"/>
  <c r="S279" i="1"/>
  <c r="S280" i="1"/>
  <c r="AE279" i="1" l="1"/>
  <c r="AG279" i="1" s="1"/>
  <c r="AE281" i="1"/>
  <c r="AG281" i="1" s="1"/>
  <c r="AE280" i="1"/>
  <c r="AG280" i="1" s="1"/>
  <c r="AE278" i="1"/>
  <c r="AG278" i="1" s="1"/>
  <c r="AE276" i="1"/>
  <c r="AG276" i="1" s="1"/>
  <c r="AE275" i="1"/>
  <c r="AG275" i="1" s="1"/>
  <c r="AE277" i="1"/>
  <c r="AG277" i="1" s="1"/>
  <c r="S142" i="1"/>
  <c r="M277" i="1" l="1"/>
  <c r="M276" i="1"/>
  <c r="M281" i="1"/>
  <c r="M280" i="1"/>
  <c r="M279" i="1"/>
  <c r="M275" i="1"/>
  <c r="M278" i="1"/>
  <c r="S272" i="1"/>
  <c r="S171" i="1" l="1"/>
  <c r="S268" i="1" l="1"/>
  <c r="AB142" i="1" l="1"/>
  <c r="Y142" i="1"/>
  <c r="V142" i="1"/>
  <c r="AE142" i="1" l="1"/>
  <c r="AG142" i="1" s="1"/>
  <c r="M142" i="1" l="1"/>
  <c r="AB113" i="1"/>
  <c r="Y113" i="1"/>
  <c r="V113" i="1"/>
  <c r="S113" i="1"/>
  <c r="AE113" i="1" l="1"/>
  <c r="AB264" i="1"/>
  <c r="AB263" i="1"/>
  <c r="Y263" i="1"/>
  <c r="AG113" i="1" l="1"/>
  <c r="M113" i="1"/>
  <c r="AB144" i="1"/>
  <c r="Y144" i="1"/>
  <c r="V144" i="1"/>
  <c r="S144" i="1"/>
  <c r="AB262" i="1"/>
  <c r="V262" i="1"/>
  <c r="S262" i="1"/>
  <c r="AB265" i="1"/>
  <c r="AB266" i="1"/>
  <c r="AB267" i="1"/>
  <c r="AB268" i="1"/>
  <c r="AB269" i="1"/>
  <c r="AB270" i="1"/>
  <c r="AB271" i="1"/>
  <c r="AB272" i="1"/>
  <c r="AB273" i="1"/>
  <c r="AB274" i="1"/>
  <c r="Y264" i="1"/>
  <c r="Y265" i="1"/>
  <c r="Y266" i="1"/>
  <c r="Y267" i="1"/>
  <c r="Y268" i="1"/>
  <c r="Y269" i="1"/>
  <c r="Y270" i="1"/>
  <c r="Y271" i="1"/>
  <c r="Y272" i="1"/>
  <c r="Y273" i="1"/>
  <c r="Y274" i="1"/>
  <c r="Y303" i="1"/>
  <c r="Y331" i="1"/>
  <c r="V263" i="1"/>
  <c r="V264" i="1"/>
  <c r="V265" i="1"/>
  <c r="V266" i="1"/>
  <c r="V267" i="1"/>
  <c r="V268" i="1"/>
  <c r="V269" i="1"/>
  <c r="V270" i="1"/>
  <c r="V271" i="1"/>
  <c r="V272" i="1"/>
  <c r="V273" i="1"/>
  <c r="V274" i="1"/>
  <c r="V303" i="1"/>
  <c r="V331" i="1"/>
  <c r="S263" i="1"/>
  <c r="S264" i="1"/>
  <c r="S265" i="1"/>
  <c r="S266" i="1"/>
  <c r="S267" i="1"/>
  <c r="S269" i="1"/>
  <c r="S270" i="1"/>
  <c r="S271" i="1"/>
  <c r="S273" i="1"/>
  <c r="S274" i="1"/>
  <c r="S303" i="1"/>
  <c r="S331" i="1"/>
  <c r="AE270" i="1" l="1"/>
  <c r="AE268" i="1"/>
  <c r="AE272" i="1"/>
  <c r="AG272" i="1" s="1"/>
  <c r="AE274" i="1"/>
  <c r="AG274" i="1" s="1"/>
  <c r="AE266" i="1"/>
  <c r="AG266" i="1" s="1"/>
  <c r="AE264" i="1"/>
  <c r="AG264" i="1" s="1"/>
  <c r="AE273" i="1"/>
  <c r="AG273" i="1" s="1"/>
  <c r="AE269" i="1"/>
  <c r="AE265" i="1"/>
  <c r="AG265" i="1" s="1"/>
  <c r="AE331" i="1"/>
  <c r="AG331" i="1" s="1"/>
  <c r="AE144" i="1"/>
  <c r="AE262" i="1"/>
  <c r="AG262" i="1" s="1"/>
  <c r="AE303" i="1"/>
  <c r="AG303" i="1" s="1"/>
  <c r="AE271" i="1"/>
  <c r="AG271" i="1" s="1"/>
  <c r="AE267" i="1"/>
  <c r="AG267" i="1" s="1"/>
  <c r="AE263" i="1"/>
  <c r="Y261" i="1"/>
  <c r="AB261" i="1"/>
  <c r="V261" i="1"/>
  <c r="S261" i="1"/>
  <c r="M303" i="1" l="1"/>
  <c r="M267" i="1"/>
  <c r="M331" i="1"/>
  <c r="AG144" i="1"/>
  <c r="AG270" i="1"/>
  <c r="AG269" i="1"/>
  <c r="M269" i="1"/>
  <c r="AG268" i="1"/>
  <c r="M268" i="1"/>
  <c r="M272" i="1"/>
  <c r="M266" i="1"/>
  <c r="M274" i="1"/>
  <c r="M144" i="1"/>
  <c r="M264" i="1"/>
  <c r="M273" i="1"/>
  <c r="M271" i="1"/>
  <c r="M270" i="1"/>
  <c r="M265" i="1"/>
  <c r="AG263" i="1"/>
  <c r="M263" i="1"/>
  <c r="M262" i="1"/>
  <c r="AE261" i="1"/>
  <c r="AG261" i="1" s="1"/>
  <c r="AB260" i="1"/>
  <c r="Y260" i="1"/>
  <c r="V260" i="1"/>
  <c r="S260" i="1"/>
  <c r="M261" i="1" l="1"/>
  <c r="AE260" i="1"/>
  <c r="AG260" i="1" s="1"/>
  <c r="AB245" i="1"/>
  <c r="M260" i="1" l="1"/>
  <c r="V124" i="1"/>
  <c r="V125" i="1"/>
  <c r="Y124" i="1"/>
  <c r="Y125" i="1"/>
  <c r="AB123" i="1"/>
  <c r="Y123" i="1"/>
  <c r="V123" i="1"/>
  <c r="AB124" i="1"/>
  <c r="AB125" i="1"/>
  <c r="S124" i="1"/>
  <c r="S125" i="1"/>
  <c r="AE125" i="1" l="1"/>
  <c r="AG125" i="1" s="1"/>
  <c r="AE124" i="1"/>
  <c r="AE252" i="1"/>
  <c r="AG124" i="1" l="1"/>
  <c r="M124" i="1"/>
  <c r="M125" i="1"/>
  <c r="S249" i="1"/>
  <c r="S250" i="1"/>
  <c r="S251" i="1"/>
  <c r="S253" i="1"/>
  <c r="S254" i="1"/>
  <c r="S255" i="1"/>
  <c r="S256" i="1"/>
  <c r="S257" i="1"/>
  <c r="AB244" i="1" l="1"/>
  <c r="AB246" i="1"/>
  <c r="AB247" i="1"/>
  <c r="AB248" i="1"/>
  <c r="AB249" i="1"/>
  <c r="AB250" i="1"/>
  <c r="AB251" i="1"/>
  <c r="AB253" i="1"/>
  <c r="AB254" i="1"/>
  <c r="AB255" i="1"/>
  <c r="AB256" i="1"/>
  <c r="AB257" i="1"/>
  <c r="AB258" i="1"/>
  <c r="AB259" i="1"/>
  <c r="Y246" i="1"/>
  <c r="Y247" i="1"/>
  <c r="Y248" i="1"/>
  <c r="Y249" i="1"/>
  <c r="Y250" i="1"/>
  <c r="Y251" i="1"/>
  <c r="Y253" i="1"/>
  <c r="Y254" i="1"/>
  <c r="Y255" i="1"/>
  <c r="Y256" i="1"/>
  <c r="Y257" i="1"/>
  <c r="Y258" i="1"/>
  <c r="Y259" i="1"/>
  <c r="V248" i="1"/>
  <c r="V249" i="1"/>
  <c r="V250" i="1"/>
  <c r="V251" i="1"/>
  <c r="V253" i="1"/>
  <c r="V254" i="1"/>
  <c r="V255" i="1"/>
  <c r="V256" i="1"/>
  <c r="V257" i="1"/>
  <c r="V258" i="1"/>
  <c r="V259" i="1"/>
  <c r="S248" i="1"/>
  <c r="S258" i="1"/>
  <c r="AE251" i="1" l="1"/>
  <c r="AE255" i="1"/>
  <c r="AG255" i="1" s="1"/>
  <c r="AE254" i="1"/>
  <c r="AE257" i="1"/>
  <c r="M257" i="1" s="1"/>
  <c r="AE253" i="1"/>
  <c r="AE258" i="1"/>
  <c r="AG258" i="1" s="1"/>
  <c r="AE250" i="1"/>
  <c r="AE256" i="1"/>
  <c r="AG256" i="1" s="1"/>
  <c r="AE249" i="1"/>
  <c r="AE248" i="1"/>
  <c r="S28" i="1"/>
  <c r="Y28" i="1"/>
  <c r="V28" i="1"/>
  <c r="M249" i="1" l="1"/>
  <c r="M253" i="1"/>
  <c r="M251" i="1"/>
  <c r="AG248" i="1"/>
  <c r="AG254" i="1"/>
  <c r="AG252" i="1"/>
  <c r="M252" i="1"/>
  <c r="M255" i="1"/>
  <c r="AG250" i="1"/>
  <c r="AG251" i="1"/>
  <c r="M250" i="1"/>
  <c r="AG257" i="1"/>
  <c r="AG253" i="1"/>
  <c r="M254" i="1"/>
  <c r="M258" i="1"/>
  <c r="M256" i="1"/>
  <c r="AG249" i="1"/>
  <c r="M248" i="1"/>
  <c r="AE28" i="1"/>
  <c r="S243" i="1"/>
  <c r="AB243" i="1"/>
  <c r="AG28" i="1" l="1"/>
  <c r="M28" i="1"/>
  <c r="Y242" i="1"/>
  <c r="Y241" i="1"/>
  <c r="V242" i="1"/>
  <c r="V241" i="1"/>
  <c r="S242" i="1"/>
  <c r="S241" i="1"/>
  <c r="AB102" i="1" l="1"/>
  <c r="Y102" i="1"/>
  <c r="V102" i="1"/>
  <c r="S102" i="1"/>
  <c r="AB241" i="1" l="1"/>
  <c r="AE241" i="1" s="1"/>
  <c r="AB242" i="1"/>
  <c r="AE242" i="1" s="1"/>
  <c r="Y243" i="1"/>
  <c r="Y244" i="1"/>
  <c r="Y245" i="1"/>
  <c r="V243" i="1"/>
  <c r="V244" i="1"/>
  <c r="V245" i="1"/>
  <c r="V246" i="1"/>
  <c r="V247" i="1"/>
  <c r="S244" i="1"/>
  <c r="S245" i="1"/>
  <c r="S246" i="1"/>
  <c r="S247" i="1"/>
  <c r="S259" i="1"/>
  <c r="AE259" i="1" s="1"/>
  <c r="AG259" i="1" s="1"/>
  <c r="AG242" i="1" l="1"/>
  <c r="AE245" i="1"/>
  <c r="AE246" i="1"/>
  <c r="AE244" i="1"/>
  <c r="AE247" i="1"/>
  <c r="AE243" i="1"/>
  <c r="M102" i="1"/>
  <c r="AG241" i="1"/>
  <c r="M241" i="1"/>
  <c r="AB239" i="1"/>
  <c r="Y239" i="1"/>
  <c r="V239" i="1"/>
  <c r="S239" i="1"/>
  <c r="M245" i="1" l="1"/>
  <c r="M247" i="1"/>
  <c r="M244" i="1"/>
  <c r="AG246" i="1"/>
  <c r="M246" i="1"/>
  <c r="M259" i="1"/>
  <c r="AG244" i="1"/>
  <c r="M243" i="1"/>
  <c r="AG243" i="1"/>
  <c r="AG245" i="1"/>
  <c r="AG247" i="1"/>
  <c r="AE239" i="1"/>
  <c r="S238" i="1"/>
  <c r="M239" i="1" l="1"/>
  <c r="AG239" i="1"/>
  <c r="AB237" i="1" l="1"/>
  <c r="Y237" i="1"/>
  <c r="V237" i="1"/>
  <c r="S237" i="1"/>
  <c r="AE237" i="1" l="1"/>
  <c r="M237" i="1" l="1"/>
  <c r="AG237" i="1"/>
  <c r="V191" i="1"/>
  <c r="V165" i="1" l="1"/>
  <c r="V166" i="1"/>
  <c r="V167" i="1"/>
  <c r="V168" i="1"/>
  <c r="V169" i="1"/>
  <c r="V170" i="1"/>
  <c r="V172" i="1"/>
  <c r="V173" i="1"/>
  <c r="V174" i="1"/>
  <c r="V175" i="1"/>
  <c r="V176" i="1"/>
  <c r="V177" i="1"/>
  <c r="V178" i="1"/>
  <c r="V179" i="1"/>
  <c r="V180" i="1"/>
  <c r="V181" i="1"/>
  <c r="V182" i="1"/>
  <c r="V183" i="1"/>
  <c r="V184" i="1"/>
  <c r="V185" i="1"/>
  <c r="V186" i="1"/>
  <c r="V187" i="1"/>
  <c r="V188" i="1"/>
  <c r="V189" i="1"/>
  <c r="V190"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8" i="1"/>
  <c r="V240" i="1"/>
  <c r="Y149" i="1" l="1"/>
  <c r="Y150" i="1"/>
  <c r="Y148" i="1"/>
  <c r="S149" i="1"/>
  <c r="S150" i="1"/>
  <c r="S148" i="1"/>
  <c r="Y147" i="1"/>
  <c r="Y145" i="1"/>
  <c r="Y143" i="1"/>
  <c r="Y140" i="1"/>
  <c r="Y137" i="1"/>
  <c r="S147" i="1"/>
  <c r="S145" i="1"/>
  <c r="S143" i="1"/>
  <c r="S140" i="1"/>
  <c r="S137" i="1"/>
  <c r="S123" i="1"/>
  <c r="S135" i="1"/>
  <c r="S129" i="1"/>
  <c r="S128" i="1"/>
  <c r="S120" i="1"/>
  <c r="S121" i="1"/>
  <c r="V120" i="1"/>
  <c r="V121" i="1"/>
  <c r="Y120" i="1"/>
  <c r="Y121" i="1"/>
  <c r="AB114" i="1"/>
  <c r="Y114" i="1"/>
  <c r="S114" i="1"/>
  <c r="S110" i="1"/>
  <c r="Y105" i="1"/>
  <c r="S108" i="1"/>
  <c r="S106" i="1"/>
  <c r="S101" i="1"/>
  <c r="Y98" i="1"/>
  <c r="V98" i="1"/>
  <c r="S96" i="1"/>
  <c r="AB88" i="1"/>
  <c r="AB89" i="1"/>
  <c r="Y88" i="1"/>
  <c r="Y89" i="1"/>
  <c r="V89" i="1"/>
  <c r="S88" i="1"/>
  <c r="S89" i="1"/>
  <c r="AB61" i="1"/>
  <c r="AB62" i="1"/>
  <c r="AB63" i="1"/>
  <c r="Y62" i="1"/>
  <c r="Y63" i="1"/>
  <c r="Y61" i="1"/>
  <c r="V62" i="1"/>
  <c r="V63" i="1"/>
  <c r="S62" i="1"/>
  <c r="S63" i="1"/>
  <c r="S79" i="1"/>
  <c r="AB72" i="1"/>
  <c r="AB75" i="1"/>
  <c r="Y72" i="1"/>
  <c r="Y75" i="1"/>
  <c r="V72" i="1"/>
  <c r="V75" i="1"/>
  <c r="S72" i="1"/>
  <c r="S75" i="1"/>
  <c r="AB70" i="1"/>
  <c r="Y70" i="1"/>
  <c r="V70" i="1"/>
  <c r="S70" i="1"/>
  <c r="S68" i="1"/>
  <c r="Y64" i="1"/>
  <c r="S65" i="1"/>
  <c r="S64" i="1"/>
  <c r="S61" i="1"/>
  <c r="S60" i="1"/>
  <c r="Y59" i="1"/>
  <c r="S59" i="1"/>
  <c r="V58" i="1"/>
  <c r="Y58" i="1"/>
  <c r="AB58" i="1"/>
  <c r="Y44" i="1"/>
  <c r="S44" i="1"/>
  <c r="Y39" i="1"/>
  <c r="Y40" i="1"/>
  <c r="V39" i="1"/>
  <c r="V40" i="1"/>
  <c r="S39" i="1"/>
  <c r="S40" i="1"/>
  <c r="Y38" i="1"/>
  <c r="S38" i="1"/>
  <c r="AE123" i="1" l="1"/>
  <c r="AE89" i="1"/>
  <c r="AE70" i="1"/>
  <c r="AE63" i="1"/>
  <c r="AE62" i="1"/>
  <c r="AE75" i="1"/>
  <c r="AE72" i="1"/>
  <c r="AB38" i="1"/>
  <c r="AB39" i="1"/>
  <c r="AE39" i="1" s="1"/>
  <c r="AB40" i="1"/>
  <c r="AE40" i="1" s="1"/>
  <c r="AB43" i="1"/>
  <c r="AB44" i="1"/>
  <c r="AB49" i="1"/>
  <c r="AB50" i="1"/>
  <c r="AB55" i="1"/>
  <c r="AB56" i="1"/>
  <c r="AB59" i="1"/>
  <c r="AB60" i="1"/>
  <c r="AB64" i="1"/>
  <c r="AB65" i="1"/>
  <c r="AB68" i="1"/>
  <c r="AB69" i="1"/>
  <c r="AB71" i="1"/>
  <c r="AB78" i="1"/>
  <c r="AB83" i="1"/>
  <c r="AB87" i="1"/>
  <c r="AB94" i="1"/>
  <c r="AB96" i="1"/>
  <c r="AB97" i="1"/>
  <c r="AE97" i="1" s="1"/>
  <c r="AE98" i="1"/>
  <c r="AB101" i="1"/>
  <c r="AB103" i="1"/>
  <c r="AE103" i="1" s="1"/>
  <c r="AB105" i="1"/>
  <c r="AB106" i="1"/>
  <c r="AB108" i="1"/>
  <c r="AB109" i="1"/>
  <c r="AB110" i="1"/>
  <c r="AB112" i="1"/>
  <c r="AB119" i="1"/>
  <c r="AB120" i="1"/>
  <c r="AB121" i="1"/>
  <c r="AE121" i="1" s="1"/>
  <c r="AB122" i="1"/>
  <c r="AB126" i="1"/>
  <c r="AB128" i="1"/>
  <c r="AB129" i="1"/>
  <c r="AB131" i="1"/>
  <c r="AE131" i="1" s="1"/>
  <c r="M131" i="1" s="1"/>
  <c r="AB132" i="1"/>
  <c r="AB135" i="1"/>
  <c r="AB136" i="1"/>
  <c r="AB137" i="1"/>
  <c r="AB140" i="1"/>
  <c r="AB143" i="1"/>
  <c r="AB145" i="1"/>
  <c r="AB147" i="1"/>
  <c r="AB148" i="1"/>
  <c r="AB149" i="1"/>
  <c r="AB150" i="1"/>
  <c r="AB164" i="1"/>
  <c r="AB165" i="1"/>
  <c r="AB166" i="1"/>
  <c r="AB167" i="1"/>
  <c r="AB168" i="1"/>
  <c r="AB169" i="1"/>
  <c r="AB170" i="1"/>
  <c r="AB171" i="1"/>
  <c r="AB172" i="1"/>
  <c r="AB37" i="1"/>
  <c r="AG37" i="1"/>
  <c r="V38" i="1"/>
  <c r="V44" i="1"/>
  <c r="V50" i="1"/>
  <c r="V59" i="1"/>
  <c r="V60" i="1"/>
  <c r="V61" i="1"/>
  <c r="AE61" i="1" s="1"/>
  <c r="V64" i="1"/>
  <c r="V65" i="1"/>
  <c r="V68" i="1"/>
  <c r="V69" i="1"/>
  <c r="V71" i="1"/>
  <c r="V78" i="1"/>
  <c r="V79" i="1"/>
  <c r="V83" i="1"/>
  <c r="V87" i="1"/>
  <c r="V88" i="1"/>
  <c r="AE88" i="1" s="1"/>
  <c r="V94" i="1"/>
  <c r="V96" i="1"/>
  <c r="V105" i="1"/>
  <c r="V106" i="1"/>
  <c r="V108" i="1"/>
  <c r="V109" i="1"/>
  <c r="V110" i="1"/>
  <c r="V112" i="1"/>
  <c r="V114" i="1"/>
  <c r="V119" i="1"/>
  <c r="V122" i="1"/>
  <c r="V126" i="1"/>
  <c r="V128" i="1"/>
  <c r="V129" i="1"/>
  <c r="V132" i="1"/>
  <c r="V135" i="1"/>
  <c r="V136" i="1"/>
  <c r="V137" i="1"/>
  <c r="V140" i="1"/>
  <c r="V143" i="1"/>
  <c r="V145" i="1"/>
  <c r="V147" i="1"/>
  <c r="V148" i="1"/>
  <c r="V149" i="1"/>
  <c r="V150" i="1"/>
  <c r="V37" i="1"/>
  <c r="S37" i="1"/>
  <c r="Y32" i="1"/>
  <c r="Y33" i="1"/>
  <c r="V32" i="1"/>
  <c r="V33" i="1"/>
  <c r="S32" i="1"/>
  <c r="S33" i="1"/>
  <c r="Y35" i="1"/>
  <c r="Y36" i="1"/>
  <c r="AB35" i="1"/>
  <c r="AB36" i="1"/>
  <c r="V35" i="1"/>
  <c r="V36" i="1"/>
  <c r="S35" i="1"/>
  <c r="S36" i="1"/>
  <c r="AB29" i="1"/>
  <c r="AE29" i="1" s="1"/>
  <c r="AB26" i="1"/>
  <c r="Y26" i="1"/>
  <c r="V26" i="1"/>
  <c r="S26" i="1"/>
  <c r="AB53" i="1"/>
  <c r="AB22" i="1"/>
  <c r="AB23" i="1"/>
  <c r="AB21" i="1"/>
  <c r="Y53" i="1"/>
  <c r="V53" i="1"/>
  <c r="V22" i="1"/>
  <c r="AE22" i="1" s="1"/>
  <c r="S53" i="1"/>
  <c r="AG23" i="1"/>
  <c r="AB18" i="1"/>
  <c r="AB19" i="1"/>
  <c r="AB17" i="1"/>
  <c r="Y18" i="1"/>
  <c r="Y19" i="1"/>
  <c r="V18" i="1"/>
  <c r="V19" i="1"/>
  <c r="S18" i="1"/>
  <c r="S19" i="1"/>
  <c r="S9" i="1"/>
  <c r="V9" i="1"/>
  <c r="V10" i="1"/>
  <c r="Y9" i="1"/>
  <c r="Y10" i="1"/>
  <c r="AB8" i="1"/>
  <c r="AB9" i="1"/>
  <c r="AB10" i="1"/>
  <c r="AB7" i="1"/>
  <c r="S167"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8" i="1"/>
  <c r="AB240"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8" i="1"/>
  <c r="Y240" i="1"/>
  <c r="Y166" i="1"/>
  <c r="Y167" i="1"/>
  <c r="Y168" i="1"/>
  <c r="Y169" i="1"/>
  <c r="Y170" i="1"/>
  <c r="Y171" i="1"/>
  <c r="Y172" i="1"/>
  <c r="Y173" i="1"/>
  <c r="Y174" i="1"/>
  <c r="Y175" i="1"/>
  <c r="Y176" i="1"/>
  <c r="Y177" i="1"/>
  <c r="Y178" i="1"/>
  <c r="Y179" i="1"/>
  <c r="Y180" i="1"/>
  <c r="Y181" i="1"/>
  <c r="Y165" i="1"/>
  <c r="Y164" i="1"/>
  <c r="V164" i="1"/>
  <c r="S166" i="1"/>
  <c r="S168" i="1"/>
  <c r="S169" i="1"/>
  <c r="S170" i="1"/>
  <c r="S172" i="1"/>
  <c r="S173" i="1"/>
  <c r="S174" i="1"/>
  <c r="S175" i="1"/>
  <c r="S176" i="1"/>
  <c r="S177" i="1"/>
  <c r="S178" i="1"/>
  <c r="S179" i="1"/>
  <c r="S180" i="1"/>
  <c r="S181" i="1"/>
  <c r="S182"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40" i="1"/>
  <c r="S165" i="1"/>
  <c r="S164" i="1"/>
  <c r="Y112" i="1"/>
  <c r="S112" i="1"/>
  <c r="Y122" i="1"/>
  <c r="S122" i="1"/>
  <c r="Y136" i="1"/>
  <c r="S136" i="1"/>
  <c r="AB34" i="1"/>
  <c r="Y34" i="1"/>
  <c r="V34" i="1"/>
  <c r="S34" i="1"/>
  <c r="Y119" i="1"/>
  <c r="S119" i="1"/>
  <c r="Y109" i="1"/>
  <c r="S109" i="1"/>
  <c r="Y101" i="1"/>
  <c r="Y94" i="1"/>
  <c r="S94" i="1"/>
  <c r="Y96" i="1"/>
  <c r="Y83" i="1"/>
  <c r="S83" i="1"/>
  <c r="Y87" i="1"/>
  <c r="S87" i="1"/>
  <c r="Y71" i="1"/>
  <c r="S71" i="1"/>
  <c r="Y78" i="1"/>
  <c r="S78" i="1"/>
  <c r="Y69" i="1"/>
  <c r="S69" i="1"/>
  <c r="S58" i="1"/>
  <c r="Y43" i="1"/>
  <c r="S43" i="1"/>
  <c r="Y30" i="1"/>
  <c r="V30" i="1"/>
  <c r="S30" i="1"/>
  <c r="Y21" i="1"/>
  <c r="V21" i="1"/>
  <c r="S21" i="1"/>
  <c r="Y17" i="1"/>
  <c r="V17" i="1"/>
  <c r="S17" i="1"/>
  <c r="Y8" i="1"/>
  <c r="V8" i="1"/>
  <c r="S8" i="1"/>
  <c r="Y7" i="1"/>
  <c r="V7" i="1"/>
  <c r="S7" i="1"/>
  <c r="AG63" i="1" l="1"/>
  <c r="AG62" i="1"/>
  <c r="AG121" i="1"/>
  <c r="AE106" i="1"/>
  <c r="AE26" i="1"/>
  <c r="AG40" i="1"/>
  <c r="AG75" i="1"/>
  <c r="M70" i="1"/>
  <c r="M29" i="1"/>
  <c r="M39" i="1"/>
  <c r="M22" i="1"/>
  <c r="M61" i="1"/>
  <c r="M98" i="1"/>
  <c r="M63" i="1"/>
  <c r="AG97" i="1"/>
  <c r="M97" i="1"/>
  <c r="M75" i="1"/>
  <c r="M40" i="1"/>
  <c r="M62" i="1"/>
  <c r="M37" i="1"/>
  <c r="M121" i="1"/>
  <c r="AG70" i="1"/>
  <c r="AG29" i="1"/>
  <c r="AG39" i="1"/>
  <c r="AG98" i="1"/>
  <c r="AE105" i="1"/>
  <c r="AG88" i="1"/>
  <c r="AG72" i="1"/>
  <c r="AG89" i="1"/>
  <c r="AG61" i="1"/>
  <c r="M89" i="1"/>
  <c r="AG22" i="1"/>
  <c r="M72" i="1"/>
  <c r="AG123" i="1"/>
  <c r="AE238" i="1"/>
  <c r="AE30" i="1"/>
  <c r="AE21" i="1"/>
  <c r="AE65" i="1"/>
  <c r="AE53" i="1"/>
  <c r="AE165" i="1"/>
  <c r="AE8" i="1"/>
  <c r="AE234" i="1"/>
  <c r="AE230" i="1"/>
  <c r="AE226" i="1"/>
  <c r="AE222" i="1"/>
  <c r="AE218" i="1"/>
  <c r="AE214" i="1"/>
  <c r="AE210" i="1"/>
  <c r="AE206" i="1"/>
  <c r="AE202" i="1"/>
  <c r="AE198" i="1"/>
  <c r="AE194" i="1"/>
  <c r="AE190" i="1"/>
  <c r="AE186" i="1"/>
  <c r="AE182" i="1"/>
  <c r="AE178" i="1"/>
  <c r="AE174" i="1"/>
  <c r="AE170" i="1"/>
  <c r="AE149" i="1"/>
  <c r="AE145" i="1"/>
  <c r="AE110" i="1"/>
  <c r="AE7" i="1"/>
  <c r="AE233" i="1"/>
  <c r="AE229" i="1"/>
  <c r="AE225" i="1"/>
  <c r="AE221" i="1"/>
  <c r="AE217" i="1"/>
  <c r="AE213" i="1"/>
  <c r="AE209" i="1"/>
  <c r="AE205" i="1"/>
  <c r="AE201" i="1"/>
  <c r="AE197" i="1"/>
  <c r="AE193" i="1"/>
  <c r="AE189" i="1"/>
  <c r="AE185" i="1"/>
  <c r="AE181" i="1"/>
  <c r="AE177" i="1"/>
  <c r="AE173" i="1"/>
  <c r="AE169" i="1"/>
  <c r="AE179" i="1"/>
  <c r="AE175" i="1"/>
  <c r="AE101" i="1"/>
  <c r="AE60" i="1"/>
  <c r="AE68" i="1"/>
  <c r="AE50" i="1"/>
  <c r="AE38" i="1"/>
  <c r="AE147" i="1"/>
  <c r="AE143" i="1"/>
  <c r="AE132" i="1"/>
  <c r="AE108" i="1"/>
  <c r="AE129" i="1"/>
  <c r="AE126" i="1"/>
  <c r="AE148" i="1"/>
  <c r="AE140" i="1"/>
  <c r="AE137" i="1"/>
  <c r="AE135" i="1"/>
  <c r="M135" i="1" s="1"/>
  <c r="AE128" i="1"/>
  <c r="AE44" i="1"/>
  <c r="AE56" i="1"/>
  <c r="AE71" i="1"/>
  <c r="AE64" i="1"/>
  <c r="AE69" i="1"/>
  <c r="AE59" i="1"/>
  <c r="AE79" i="1"/>
  <c r="AE58" i="1"/>
  <c r="AE171" i="1"/>
  <c r="AE49" i="1"/>
  <c r="AE43" i="1"/>
  <c r="AE200" i="1"/>
  <c r="AE196" i="1"/>
  <c r="AE188" i="1"/>
  <c r="AE184" i="1"/>
  <c r="AE55" i="1"/>
  <c r="AE155" i="1"/>
  <c r="AE119" i="1"/>
  <c r="AE109" i="1"/>
  <c r="AE136" i="1"/>
  <c r="AE112" i="1"/>
  <c r="AE166" i="1"/>
  <c r="AE9" i="1"/>
  <c r="AE18" i="1"/>
  <c r="AG18" i="1" s="1"/>
  <c r="AE235" i="1"/>
  <c r="AE231" i="1"/>
  <c r="AE227" i="1"/>
  <c r="AE223" i="1"/>
  <c r="AE219" i="1"/>
  <c r="AE215" i="1"/>
  <c r="AE211" i="1"/>
  <c r="AE207" i="1"/>
  <c r="AE203" i="1"/>
  <c r="AE199" i="1"/>
  <c r="AE195" i="1"/>
  <c r="AE191" i="1"/>
  <c r="AE187" i="1"/>
  <c r="AE183" i="1"/>
  <c r="AE83" i="1"/>
  <c r="AE94" i="1"/>
  <c r="AE167" i="1"/>
  <c r="AE87" i="1"/>
  <c r="AE240" i="1"/>
  <c r="AE236" i="1"/>
  <c r="AE232" i="1"/>
  <c r="AE228" i="1"/>
  <c r="AE224" i="1"/>
  <c r="AE220" i="1"/>
  <c r="AE216" i="1"/>
  <c r="AE212" i="1"/>
  <c r="AE208" i="1"/>
  <c r="AE204" i="1"/>
  <c r="AE192" i="1"/>
  <c r="AE180" i="1"/>
  <c r="AE176" i="1"/>
  <c r="AE172" i="1"/>
  <c r="AE168" i="1"/>
  <c r="AE164" i="1"/>
  <c r="AE150" i="1"/>
  <c r="AE122" i="1"/>
  <c r="AE120" i="1"/>
  <c r="AE114" i="1"/>
  <c r="AE96" i="1"/>
  <c r="AE78" i="1"/>
  <c r="AE33" i="1"/>
  <c r="AG33" i="1" s="1"/>
  <c r="AE35" i="1"/>
  <c r="AG35" i="1" s="1"/>
  <c r="AE32" i="1"/>
  <c r="AE19" i="1"/>
  <c r="AE36" i="1"/>
  <c r="AE10" i="1"/>
  <c r="AE17" i="1"/>
  <c r="AE34" i="1"/>
  <c r="M26" i="1" l="1"/>
  <c r="AG143" i="1"/>
  <c r="AG36" i="1"/>
  <c r="AG26" i="1"/>
  <c r="M126" i="1"/>
  <c r="M32" i="1"/>
  <c r="AG19" i="1"/>
  <c r="M129" i="1"/>
  <c r="M149" i="1"/>
  <c r="M103" i="1"/>
  <c r="M38" i="1"/>
  <c r="M65" i="1"/>
  <c r="M105" i="1"/>
  <c r="M50" i="1"/>
  <c r="M120" i="1"/>
  <c r="M49" i="1"/>
  <c r="M59" i="1"/>
  <c r="M64" i="1"/>
  <c r="M140" i="1"/>
  <c r="M60" i="1"/>
  <c r="M10" i="1"/>
  <c r="M150" i="1"/>
  <c r="M148" i="1"/>
  <c r="M110" i="1"/>
  <c r="AG155" i="1"/>
  <c r="M155" i="1"/>
  <c r="AG56" i="1"/>
  <c r="M56" i="1"/>
  <c r="AG108" i="1"/>
  <c r="M108" i="1"/>
  <c r="AG145" i="1"/>
  <c r="M145" i="1"/>
  <c r="M35" i="1"/>
  <c r="AG79" i="1"/>
  <c r="M79" i="1"/>
  <c r="M143" i="1"/>
  <c r="M36" i="1"/>
  <c r="M18" i="1"/>
  <c r="AG147" i="1"/>
  <c r="M147" i="1"/>
  <c r="AG106" i="1"/>
  <c r="M106" i="1"/>
  <c r="AG114" i="1"/>
  <c r="M114" i="1"/>
  <c r="AG55" i="1"/>
  <c r="AG128" i="1"/>
  <c r="M128" i="1"/>
  <c r="AG137" i="1"/>
  <c r="M137" i="1"/>
  <c r="AG68" i="1"/>
  <c r="M68" i="1"/>
  <c r="M25" i="1"/>
  <c r="M33" i="1"/>
  <c r="M19" i="1"/>
  <c r="AG50" i="1"/>
  <c r="AG110" i="1"/>
  <c r="AG103" i="1"/>
  <c r="AG65" i="1"/>
  <c r="AG140" i="1"/>
  <c r="AG132" i="1"/>
  <c r="M132" i="1"/>
  <c r="AG120" i="1"/>
  <c r="AG10" i="1"/>
  <c r="AG168" i="1"/>
  <c r="M192" i="1"/>
  <c r="AG212" i="1"/>
  <c r="AG228" i="1"/>
  <c r="AG167" i="1"/>
  <c r="AG195" i="1"/>
  <c r="AG211" i="1"/>
  <c r="AG227" i="1"/>
  <c r="AG188" i="1"/>
  <c r="AG148" i="1"/>
  <c r="AG179" i="1"/>
  <c r="AG181" i="1"/>
  <c r="M197" i="1"/>
  <c r="AG213" i="1"/>
  <c r="AG229" i="1"/>
  <c r="AG149" i="1"/>
  <c r="AG170" i="1"/>
  <c r="AG186" i="1"/>
  <c r="AG202" i="1"/>
  <c r="AG218" i="1"/>
  <c r="AG234" i="1"/>
  <c r="M34" i="1"/>
  <c r="AG172" i="1"/>
  <c r="AG216" i="1"/>
  <c r="AG232" i="1"/>
  <c r="AG183" i="1"/>
  <c r="M199" i="1"/>
  <c r="AG215" i="1"/>
  <c r="AG231" i="1"/>
  <c r="AG196" i="1"/>
  <c r="AG43" i="1"/>
  <c r="AG169" i="1"/>
  <c r="AG185" i="1"/>
  <c r="AG201" i="1"/>
  <c r="AG217" i="1"/>
  <c r="AG233" i="1"/>
  <c r="AG174" i="1"/>
  <c r="AG190" i="1"/>
  <c r="AG206" i="1"/>
  <c r="AG222" i="1"/>
  <c r="AG8" i="1"/>
  <c r="AG53" i="1"/>
  <c r="AG238" i="1"/>
  <c r="AG150" i="1"/>
  <c r="AG176" i="1"/>
  <c r="AG204" i="1"/>
  <c r="M220" i="1"/>
  <c r="AG187" i="1"/>
  <c r="M203" i="1"/>
  <c r="AG219" i="1"/>
  <c r="AG235" i="1"/>
  <c r="AG9" i="1"/>
  <c r="AG166" i="1"/>
  <c r="AG200" i="1"/>
  <c r="AG101" i="1"/>
  <c r="AG173" i="1"/>
  <c r="AG189" i="1"/>
  <c r="AG205" i="1"/>
  <c r="AG221" i="1"/>
  <c r="AG178" i="1"/>
  <c r="AG194" i="1"/>
  <c r="AG210" i="1"/>
  <c r="AG226" i="1"/>
  <c r="AG165" i="1"/>
  <c r="AG180" i="1"/>
  <c r="M208" i="1"/>
  <c r="AG224" i="1"/>
  <c r="AG240" i="1"/>
  <c r="AG191" i="1"/>
  <c r="AG207" i="1"/>
  <c r="AG223" i="1"/>
  <c r="AG184" i="1"/>
  <c r="AG171" i="1"/>
  <c r="AG60" i="1"/>
  <c r="AG175" i="1"/>
  <c r="AG177" i="1"/>
  <c r="AG193" i="1"/>
  <c r="AG209" i="1"/>
  <c r="AG225" i="1"/>
  <c r="AG182" i="1"/>
  <c r="AG198" i="1"/>
  <c r="AG214" i="1"/>
  <c r="AG230" i="1"/>
  <c r="AG164" i="1"/>
  <c r="M53" i="1"/>
  <c r="M9" i="1"/>
  <c r="M123" i="1"/>
  <c r="M242" i="1"/>
  <c r="AG44" i="1"/>
  <c r="M44" i="1"/>
  <c r="M190" i="1"/>
  <c r="M219" i="1"/>
  <c r="M185" i="1"/>
  <c r="M174" i="1"/>
  <c r="M169" i="1"/>
  <c r="M235" i="1"/>
  <c r="M224" i="1"/>
  <c r="M206" i="1"/>
  <c r="M191" i="1"/>
  <c r="M176" i="1"/>
  <c r="M222" i="1"/>
  <c r="M175" i="1"/>
  <c r="AG236" i="1"/>
  <c r="M179" i="1"/>
  <c r="M195" i="1"/>
  <c r="M207" i="1"/>
  <c r="M223" i="1"/>
  <c r="M180" i="1"/>
  <c r="M196" i="1"/>
  <c r="M212" i="1"/>
  <c r="M228" i="1"/>
  <c r="M240" i="1"/>
  <c r="M178" i="1"/>
  <c r="M194" i="1"/>
  <c r="M210" i="1"/>
  <c r="M226" i="1"/>
  <c r="M173" i="1"/>
  <c r="M189" i="1"/>
  <c r="M201" i="1"/>
  <c r="M213" i="1"/>
  <c r="M229" i="1"/>
  <c r="M164" i="1"/>
  <c r="M166" i="1"/>
  <c r="M183" i="1"/>
  <c r="M211" i="1"/>
  <c r="M227" i="1"/>
  <c r="M168" i="1"/>
  <c r="M184" i="1"/>
  <c r="M200" i="1"/>
  <c r="M216" i="1"/>
  <c r="M232" i="1"/>
  <c r="M165" i="1"/>
  <c r="M182" i="1"/>
  <c r="M198" i="1"/>
  <c r="M214" i="1"/>
  <c r="M230" i="1"/>
  <c r="M177" i="1"/>
  <c r="M193" i="1"/>
  <c r="M205" i="1"/>
  <c r="M217" i="1"/>
  <c r="M233" i="1"/>
  <c r="M167" i="1"/>
  <c r="M225" i="1"/>
  <c r="M171" i="1"/>
  <c r="M187" i="1"/>
  <c r="M215" i="1"/>
  <c r="M231" i="1"/>
  <c r="M172" i="1"/>
  <c r="M188" i="1"/>
  <c r="M204" i="1"/>
  <c r="M236" i="1"/>
  <c r="M170" i="1"/>
  <c r="M186" i="1"/>
  <c r="M202" i="1"/>
  <c r="M218" i="1"/>
  <c r="M234" i="1"/>
  <c r="M181" i="1"/>
  <c r="M209" i="1"/>
  <c r="M221" i="1"/>
  <c r="M238" i="1"/>
  <c r="AG71" i="1"/>
  <c r="AG69" i="1"/>
  <c r="AG38" i="1"/>
  <c r="AG197" i="1"/>
  <c r="AG105" i="1"/>
  <c r="AG109" i="1"/>
  <c r="AG129" i="1"/>
  <c r="AG96" i="1"/>
  <c r="AG87" i="1"/>
  <c r="AG94" i="1"/>
  <c r="AG112" i="1"/>
  <c r="AG135" i="1"/>
  <c r="AG131" i="1"/>
  <c r="AG83" i="1"/>
  <c r="AG136" i="1"/>
  <c r="AG119" i="1"/>
  <c r="AG126" i="1"/>
  <c r="M96" i="1"/>
  <c r="AG64" i="1"/>
  <c r="AG59" i="1"/>
  <c r="AG78" i="1"/>
  <c r="AG58" i="1"/>
  <c r="AG49" i="1"/>
  <c r="AG32" i="1"/>
  <c r="AG203" i="1"/>
  <c r="AG17" i="1"/>
  <c r="AG199" i="1"/>
  <c r="M87" i="1"/>
  <c r="M122" i="1"/>
  <c r="AG220" i="1"/>
  <c r="AG208" i="1"/>
  <c r="AG192" i="1"/>
  <c r="M21" i="1"/>
  <c r="AG30" i="1"/>
  <c r="M7" i="1"/>
  <c r="AG34" i="1"/>
  <c r="M43" i="1"/>
  <c r="M101" i="1"/>
  <c r="M88" i="1"/>
  <c r="AG21" i="1"/>
  <c r="M71" i="1"/>
  <c r="M136" i="1"/>
  <c r="M109" i="1"/>
  <c r="M94" i="1"/>
  <c r="M30" i="1"/>
  <c r="M119" i="1"/>
  <c r="M83" i="1"/>
  <c r="M69" i="1"/>
  <c r="M78" i="1"/>
  <c r="AG7" i="1"/>
  <c r="M58" i="1"/>
  <c r="M8" i="1"/>
  <c r="M17" i="1"/>
  <c r="M112" i="1"/>
  <c r="AB85" i="1" l="1"/>
  <c r="AE85" i="1" l="1"/>
  <c r="M85" i="1" l="1"/>
  <c r="AG85" i="1"/>
</calcChain>
</file>

<file path=xl/sharedStrings.xml><?xml version="1.0" encoding="utf-8"?>
<sst xmlns="http://schemas.openxmlformats.org/spreadsheetml/2006/main" count="4628" uniqueCount="1427">
  <si>
    <t>Nr. crt.</t>
  </si>
  <si>
    <t>Titlu proiect</t>
  </si>
  <si>
    <t xml:space="preserve">Regiune </t>
  </si>
  <si>
    <t>Localitate</t>
  </si>
  <si>
    <t>Tip beneficiar</t>
  </si>
  <si>
    <t>Total valoare proiect</t>
  </si>
  <si>
    <t>Act aditional NR.</t>
  </si>
  <si>
    <t>Cheltuieli neeligibile</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</si>
  <si>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</si>
  <si>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</si>
  <si>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</si>
  <si>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</si>
  <si>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</si>
  <si>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</si>
  <si>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</si>
  <si>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</si>
  <si>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</si>
  <si>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</si>
  <si>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</si>
  <si>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</si>
  <si>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</si>
  <si>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</si>
  <si>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</si>
  <si>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</si>
  <si>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</si>
  <si>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</si>
  <si>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</si>
  <si>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</si>
  <si>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</si>
  <si>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</si>
  <si>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</si>
  <si>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</si>
  <si>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</si>
  <si>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</si>
  <si>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</si>
  <si>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Autoritatea Națională Pentru Protecția Drepturilor Copilului și Adopție</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</si>
  <si>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</si>
  <si>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</si>
  <si>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</si>
  <si>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 xml:space="preserve">Ministerul Educației Naționale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</si>
  <si>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</si>
  <si>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</si>
  <si>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Ministerul Muncii și Justitiei Sociale</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</si>
  <si>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</si>
  <si>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</si>
  <si>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Ministerul pentru Mediul de Afaceri, Comerț și Antreprenoriat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</si>
  <si>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</si>
  <si>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</si>
  <si>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Ministerul Educației Naționale - Centrul Național de Dezvoltare a Învățământului Profesional și Tehnic</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</si>
  <si>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</si>
  <si>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</si>
  <si>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Ministerul Economiei</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</si>
  <si>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</si>
  <si>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</si>
  <si>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Ministerul Finanțelor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</si>
  <si>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</si>
  <si>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</si>
  <si>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</si>
  <si>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</si>
  <si>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Dezvoltarea capacității de administrare a datoriei publice guvernamentale prin utilizarea instrumentelor financiare derivate</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</si>
  <si>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</si>
  <si>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</si>
  <si>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</si>
  <si>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</si>
  <si>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</si>
  <si>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</si>
  <si>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</si>
  <si>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Ministerul Transporturilor</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</si>
  <si>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</si>
  <si>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</si>
  <si>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Ministerul Educaţiei Nationale</t>
  </si>
  <si>
    <t>Monitorizarea și evaluarea strategiilor condiționalități ex-ante în educație și îmbunătățirea procesului decizional prin monitorizarea performanței instituționale la nivel central și local</t>
  </si>
  <si>
    <t>Ministerul Comunicațiilor și Societatii Informaționale</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</si>
  <si>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</si>
  <si>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</si>
  <si>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Ministerul Mediului</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</si>
  <si>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</si>
  <si>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</si>
  <si>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</si>
  <si>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</si>
  <si>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</si>
  <si>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</si>
  <si>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</si>
  <si>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</si>
  <si>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</si>
  <si>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</si>
  <si>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</si>
  <si>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</si>
  <si>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</si>
  <si>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</si>
  <si>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</si>
  <si>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</si>
  <si>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</si>
  <si>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</si>
  <si>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 xml:space="preserve">Ministerul Cercetării şi Inovării  </t>
  </si>
  <si>
    <t>Dezvoltarea capacității administrative a ANCSI de implementare a unor acțiuni stabilite în Strategia Națională de Cercetare, Dezvoltare tehnologică și Inovare 2014-2020</t>
  </si>
  <si>
    <t xml:space="preserve">Scopul proiectului: adaptarea structurilor, optimizarea proceselor și pregătirea resurselor umane din Autoritatea națională de Cercetare Științifică și Inovare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ANCSI, respectiv ale MECS, prin realizarea unei Platforme Informatice Integrate pentru Cercetare-Dezvoltare și Inovare (PII-CDI). Aceasta efectuează activități de culegere, agregare, prelucrare şi distribuire a informaţiilor. Utilizarea PII-CDI contribuie la aplicarea sistemului de politici bazate pe dovezi în autoritățile și instituțiile publice centrale.
B) Indeplinirea conditionalităților ex-ante pentru Obiectivul Tematic 1 (OT1) al FESI, prevăzute în cadrul Programului Operațional Competitivitate 2014-2020 prin realizarea mecanismului de orientare strategică, bazat pe descoperirerea antreprenorială și creșterea gradului de integrare a sistemului de CDI în economia națională ca răspuns la nevoia de a  îmbunătăți procesul de monitorizare și evaluare a SNCDI. Implementarea acestui mecanism de orientare strategică va crește capacitatea administrativă a Autorității de a efectua planificări strategice și bugetarea pe programe.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</si>
  <si>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</si>
  <si>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</si>
  <si>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</si>
  <si>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</si>
  <si>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</si>
  <si>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Inspectoratul General pentru Situații de Urgență (IGSU)</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</si>
  <si>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</si>
  <si>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</si>
  <si>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</si>
  <si>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</si>
  <si>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</si>
  <si>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</si>
  <si>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</si>
  <si>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</si>
  <si>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</si>
  <si>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</si>
  <si>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</si>
  <si>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</si>
  <si>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</si>
  <si>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</si>
  <si>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</si>
  <si>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</si>
  <si>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</si>
  <si>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</si>
  <si>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</si>
  <si>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</si>
  <si>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</si>
  <si>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Ministerul Educației Naționale</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</si>
  <si>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</si>
  <si>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</si>
  <si>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</si>
  <si>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</si>
  <si>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Agentia Națională de Administrare Fiscală</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</si>
  <si>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</si>
  <si>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</si>
  <si>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</si>
  <si>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</si>
  <si>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</si>
  <si>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</si>
  <si>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</si>
  <si>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</si>
  <si>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</si>
  <si>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</si>
  <si>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</si>
  <si>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</si>
  <si>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</si>
  <si>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</si>
  <si>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</si>
  <si>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</si>
  <si>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</si>
  <si>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</si>
  <si>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</si>
  <si>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</si>
  <si>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</si>
  <si>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</si>
  <si>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</si>
  <si>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</si>
  <si>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</si>
  <si>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</si>
  <si>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</si>
  <si>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</si>
  <si>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</si>
  <si>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Cod SIPOCA</t>
  </si>
  <si>
    <t>OFP</t>
  </si>
  <si>
    <t>AP3/  /3.1</t>
  </si>
  <si>
    <t>AP3/  /3.2</t>
  </si>
  <si>
    <t>MP</t>
  </si>
  <si>
    <t>Cod apel</t>
  </si>
  <si>
    <t>AP1/11i /1.1</t>
  </si>
  <si>
    <t>AP1/11i /1.4</t>
  </si>
  <si>
    <t>AP 2/11i  /2.2</t>
  </si>
  <si>
    <t>DV</t>
  </si>
  <si>
    <t xml:space="preserve">AP1/11i /1.3 </t>
  </si>
  <si>
    <t>CA</t>
  </si>
  <si>
    <t>GD</t>
  </si>
  <si>
    <t>RG</t>
  </si>
  <si>
    <t>RB</t>
  </si>
  <si>
    <t>AI</t>
  </si>
  <si>
    <t>OD</t>
  </si>
  <si>
    <t>MN</t>
  </si>
  <si>
    <t>MM</t>
  </si>
  <si>
    <t xml:space="preserve">AP1/11i /1.2 </t>
  </si>
  <si>
    <t>**</t>
  </si>
  <si>
    <t>***</t>
  </si>
  <si>
    <t>IP2/2015</t>
  </si>
  <si>
    <t>IP5/2016</t>
  </si>
  <si>
    <t>regiune mai dezvoltată</t>
  </si>
  <si>
    <t>regiune mai puțin dezvoltată</t>
  </si>
  <si>
    <t>n.a</t>
  </si>
  <si>
    <t>AA5/ 27.11.2017</t>
  </si>
  <si>
    <t>AA3/ 12.10.2017</t>
  </si>
  <si>
    <t>AA6/ 21.11.2017</t>
  </si>
  <si>
    <t>AA2 / 17.10.2017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</si>
  <si>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</si>
  <si>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</si>
  <si>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</si>
  <si>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</si>
  <si>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</si>
  <si>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</si>
  <si>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</si>
  <si>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</si>
  <si>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</si>
  <si>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1.Asociația pentru Democrației</t>
  </si>
  <si>
    <t>1. Ministerul Muncii și Justiției Sociale
2. Agenția Națională a Funcționarilor Publici</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</si>
  <si>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</si>
  <si>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</si>
  <si>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</si>
  <si>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</si>
  <si>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</si>
  <si>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</si>
  <si>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</si>
  <si>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</si>
  <si>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</si>
  <si>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AA1/22.01.18</t>
  </si>
  <si>
    <t>AA7/25.01.2018</t>
  </si>
  <si>
    <t>Omdrapfe nr. 222/23.01.18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</si>
  <si>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</si>
  <si>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</si>
  <si>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</si>
  <si>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</si>
  <si>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Primăria Municipiului Tecuci</t>
  </si>
  <si>
    <t>Primăria Municipiului Turda</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</si>
  <si>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</si>
  <si>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</si>
  <si>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</si>
  <si>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</si>
  <si>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</si>
  <si>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</si>
  <si>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</si>
  <si>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</si>
  <si>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</si>
  <si>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Crt. No.</t>
  </si>
  <si>
    <t>Priority Axis/Investment priority</t>
  </si>
  <si>
    <t>Call no.</t>
  </si>
  <si>
    <t>Project title</t>
  </si>
  <si>
    <t>SIPOCA Code</t>
  </si>
  <si>
    <t>Benficiary Name</t>
  </si>
  <si>
    <t>Partner Name</t>
  </si>
  <si>
    <t>Project summary</t>
  </si>
  <si>
    <t>Start date</t>
  </si>
  <si>
    <t>End date</t>
  </si>
  <si>
    <t>Region</t>
  </si>
  <si>
    <t>County</t>
  </si>
  <si>
    <t>Locality</t>
  </si>
  <si>
    <t>Union co-financing rate</t>
  </si>
  <si>
    <t>Beneficiary type</t>
  </si>
  <si>
    <t>Area of intervention</t>
  </si>
  <si>
    <t>Eligible value of the project (LEI)</t>
  </si>
  <si>
    <t>EU Funds</t>
  </si>
  <si>
    <t>More developed regions</t>
  </si>
  <si>
    <t>Less developed regions</t>
  </si>
  <si>
    <t>National Budget</t>
  </si>
  <si>
    <t>Beneficiary private contribution</t>
  </si>
  <si>
    <t>private contribution</t>
  </si>
  <si>
    <t>Eligible value of the project</t>
  </si>
  <si>
    <t>Non eligible expenditure</t>
  </si>
  <si>
    <t>Total value of the project</t>
  </si>
  <si>
    <t>Project status</t>
  </si>
  <si>
    <t>Aditional Act  no.</t>
  </si>
  <si>
    <t>National contribution</t>
  </si>
  <si>
    <t>APT_SMC – Administrație Publică eficienTă prin Sistem de Management al Calității</t>
  </si>
  <si>
    <t>Judeţul Dâmbovița</t>
  </si>
  <si>
    <t xml:space="preserve">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</si>
  <si>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</si>
  <si>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</si>
  <si>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</si>
  <si>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</si>
  <si>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</si>
  <si>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</si>
  <si>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</si>
  <si>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</si>
  <si>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</si>
  <si>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</si>
  <si>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</si>
  <si>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</si>
  <si>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</si>
  <si>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</si>
  <si>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Primăria Municipiului 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</si>
  <si>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</si>
  <si>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</si>
  <si>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</si>
  <si>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</si>
  <si>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</si>
  <si>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</si>
  <si>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</si>
  <si>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</si>
  <si>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</si>
  <si>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</si>
  <si>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</si>
  <si>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</si>
  <si>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</si>
  <si>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</si>
  <si>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</si>
  <si>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</si>
  <si>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Municipiului
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</si>
  <si>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</si>
  <si>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</si>
  <si>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</si>
  <si>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</si>
  <si>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</si>
  <si>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</si>
  <si>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</si>
  <si>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</si>
  <si>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</si>
  <si>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</si>
  <si>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</si>
  <si>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</si>
  <si>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</si>
  <si>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</si>
  <si>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</si>
  <si>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Judetul Gorj</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</si>
  <si>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</si>
  <si>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</si>
  <si>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</si>
  <si>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</si>
  <si>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</si>
  <si>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</si>
  <si>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Primăria Municipiului Huși</t>
  </si>
  <si>
    <t>Primăria Municipiului Vaslui</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</si>
  <si>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</si>
  <si>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</si>
  <si>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</si>
  <si>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</si>
  <si>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</si>
  <si>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</si>
  <si>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</si>
  <si>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</si>
  <si>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</si>
  <si>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</si>
  <si>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MUNICIPIUL TG - JIU</t>
  </si>
  <si>
    <t>JUDEȚUL GORJ</t>
  </si>
  <si>
    <t>CALITATE = EFICIENTA = PERFORMANTA</t>
  </si>
  <si>
    <t>Asigurarea managementului performantei si calitatii in Municipiul Ploiesti</t>
  </si>
  <si>
    <t>Municipiul PLOIEȘTI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</si>
  <si>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</si>
  <si>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</si>
  <si>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</si>
  <si>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</si>
  <si>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</si>
  <si>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</si>
  <si>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</si>
  <si>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Cluj Napoca</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</si>
  <si>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</si>
  <si>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Sect. 4 București</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</si>
  <si>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</si>
  <si>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</si>
  <si>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</si>
  <si>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Jud. Brasov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</si>
  <si>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</si>
  <si>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</si>
  <si>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</si>
  <si>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</si>
  <si>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</si>
  <si>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</si>
  <si>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</si>
  <si>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</si>
  <si>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</si>
  <si>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</si>
  <si>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</si>
  <si>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</si>
  <si>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</si>
  <si>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 xml:space="preserve">Ministerul Dezvoltării Regionale și Administrației Publice </t>
  </si>
  <si>
    <t xml:space="preserve">Ministerul Dezvoltării Regionale și Administrației Publice  - Direcția Integritate, Bună Guvernare și Politici Publice </t>
  </si>
  <si>
    <t>CP4 more /2017</t>
  </si>
  <si>
    <t>CP4 less /2017</t>
  </si>
  <si>
    <t>Management performant la nivelul Primăriei Mangalia</t>
  </si>
  <si>
    <t>Municipiul Mangalia</t>
  </si>
  <si>
    <t>Constanța</t>
  </si>
  <si>
    <t>Mangalia</t>
  </si>
  <si>
    <t>CETATE.Caransebeş, Eficient şi Tânăr prin Administrare Transparentă şi Economică</t>
  </si>
  <si>
    <t>Municipiul  Cransebeș</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</si>
  <si>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</si>
  <si>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</si>
  <si>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</si>
  <si>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</si>
  <si>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</si>
  <si>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</si>
  <si>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</si>
  <si>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</si>
  <si>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</si>
  <si>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</si>
  <si>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</si>
  <si>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</si>
  <si>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</si>
  <si>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</si>
  <si>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r>
      <t>“Calitate, eficiență și performanță a managementului la nivelul UAT Municipiul Zalău (CEP UAT Zalău)</t>
    </r>
    <r>
      <rPr>
        <i/>
        <sz val="11"/>
        <color theme="1"/>
        <rFont val="Trebuchet MS"/>
        <family val="2"/>
      </rPr>
      <t>”</t>
    </r>
  </si>
  <si>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</si>
  <si>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</si>
  <si>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</si>
  <si>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</si>
  <si>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</si>
  <si>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Muncipiul Alba Iulia</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</si>
  <si>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</si>
  <si>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</si>
  <si>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</si>
  <si>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</si>
  <si>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</si>
  <si>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</si>
  <si>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</si>
  <si>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</si>
  <si>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</si>
  <si>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</si>
  <si>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</si>
  <si>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</si>
  <si>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</si>
  <si>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</si>
  <si>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</si>
  <si>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</si>
  <si>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</si>
  <si>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</si>
  <si>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</si>
  <si>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</si>
  <si>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</si>
  <si>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</si>
  <si>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</si>
  <si>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</si>
  <si>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</si>
  <si>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</si>
  <si>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Primăria municipiului Cluj-Napoca</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</si>
  <si>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</si>
  <si>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</si>
  <si>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</si>
  <si>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</si>
  <si>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</si>
  <si>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</si>
  <si>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</si>
  <si>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</si>
  <si>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</si>
  <si>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</si>
  <si>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2. Dezvoltarea si promovarea a unui mecanism de monitorizare si a 2 politici publice alternative în domeniul educației.</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</si>
  <si>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</si>
  <si>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</si>
  <si>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</si>
  <si>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</si>
  <si>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</si>
  <si>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</si>
  <si>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</si>
  <si>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</si>
  <si>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</si>
  <si>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BRAĂILA</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</si>
  <si>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</si>
  <si>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</si>
  <si>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</si>
  <si>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</si>
  <si>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</si>
  <si>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</si>
  <si>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</si>
  <si>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</si>
  <si>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</si>
  <si>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</si>
  <si>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</si>
  <si>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</si>
  <si>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</si>
  <si>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</si>
  <si>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</si>
  <si>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</si>
  <si>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</si>
  <si>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</si>
  <si>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</si>
  <si>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</si>
  <si>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</si>
  <si>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</si>
  <si>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</si>
  <si>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</si>
  <si>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</si>
  <si>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</si>
  <si>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</si>
  <si>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</si>
  <si>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MySMIS Code</t>
  </si>
  <si>
    <t>AA6 /21.02.2018</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</si>
  <si>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</si>
  <si>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</si>
  <si>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</si>
  <si>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</si>
  <si>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</si>
  <si>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</si>
  <si>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</si>
  <si>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</si>
  <si>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</si>
  <si>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</si>
  <si>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</si>
  <si>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</si>
  <si>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</si>
  <si>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</si>
  <si>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AA2/03.05.2018</t>
  </si>
  <si>
    <t>Implementarea unui sistem de management performant pentru imbunatatirea proceselor interne și cresterea calitatii serviciilor Primariei Sectorului 6 Bucureşti</t>
  </si>
  <si>
    <t>Sect. 6 București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</si>
  <si>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</si>
  <si>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r>
      <t xml:space="preserve">MINISITERUL DEZVOLTĂRII REGIONALE, ADMINISTRAȚIEI PUBLICE ȘI FONDURILOR EUROPENE
</t>
    </r>
    <r>
      <rPr>
        <sz val="12"/>
        <rFont val="Calibri"/>
        <family val="2"/>
        <charset val="238"/>
        <scheme val="minor"/>
      </rPr>
      <t>Direcția generală dezvoltare regională și infrastructură</t>
    </r>
  </si>
  <si>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</si>
  <si>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</si>
  <si>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</si>
  <si>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</si>
  <si>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</si>
  <si>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Ministerul Comunicațiilor și Societații Informaționale</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</si>
  <si>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</si>
  <si>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</si>
  <si>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</si>
  <si>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</si>
  <si>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</si>
  <si>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</si>
  <si>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Primăria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</si>
  <si>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</si>
  <si>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</si>
  <si>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</si>
  <si>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</si>
  <si>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</si>
  <si>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</si>
  <si>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</si>
  <si>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</si>
  <si>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</si>
  <si>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</si>
  <si>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</si>
  <si>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</si>
  <si>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</si>
  <si>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</si>
  <si>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</si>
  <si>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</si>
  <si>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</si>
  <si>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</si>
  <si>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</si>
  <si>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</si>
  <si>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</si>
  <si>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</si>
  <si>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</si>
  <si>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</si>
  <si>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</si>
  <si>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</si>
  <si>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</si>
  <si>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</si>
  <si>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</si>
  <si>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</si>
  <si>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</si>
  <si>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</si>
  <si>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</si>
  <si>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</si>
  <si>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Ministerul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</si>
  <si>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</si>
  <si>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</si>
  <si>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</si>
  <si>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</si>
  <si>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</si>
  <si>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</si>
  <si>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</si>
  <si>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</si>
  <si>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</si>
  <si>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</si>
  <si>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</si>
  <si>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Obiectivul general: Implementarea / consolidarea si sustinerea unui management performant la nivelul Primariei Municipiului Sebes si al institutiilor subordonate, realizate prin aplicarea CAF ca instrument de îmbunatatire a performantelor Sistemului de Management al Calitatii al Primariei Sebes, pentru crearea unei administratii publice moderne, capabila sa faciliteze dezvoltarea socio-economica prin intermediul
unor servicii publice competitive.                                                                                                                                                                                                                                    OS 1 – Implementarea de sisteme unitare de management al calitatii aplicabile administratiei publice, prin utilizarea instrumentului
CAF, inclusiv formarea/ instruirea specifica a personalului Primariei Municipiului Sebes pentru implementarea instrumentului CAF
2. OS 2 – Consolidarea SMC prin actiuni de îmbunatatire rezultate în urma evaluarii pe baza criteriilor modelului CAF
3. OS 3 – Dezvoltarea abilitatilor personalului din cadrul Primariei Municipiului Sdebes si al institutiilor subordonate Primariei Sebes
prin:
• asigurarea formarii profesionale a 10 persoane din cadrul primariei Municpiului Sebes pentru efectuarea autoevaluarii
SMC utilizând modelul CAF;
• asigurarea formarii profesionale a 46 persoane din grupul tinta, pentru implementarea Sistemului de Mangement al
Calitatii, integrarea SMC cu SCIM si monitorizarea acestuia cu ajutorul instrumentului CAF.
• dezvoltarea unui Ghid de buna practica privind integrarea SMC cu SCIM în cadrul UAT si evaluarea performantelor SMC
pe baza Modelului CAF
4. OS 4 – Asigurarea unui instrument suport pentru SMC prin proiectarea si implementarea unui sistem informatic.
5. OS 5 – Promovarea standardelor si instrumentelor managementului calitatii prin oOrganizarea si derularea unei conferinte de
informare/ constientizare privind principiile si instrumentele managementului calitatii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</si>
  <si>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</si>
  <si>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</si>
  <si>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</si>
  <si>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</si>
  <si>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</si>
  <si>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</si>
  <si>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</si>
  <si>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</si>
  <si>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</si>
  <si>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</si>
  <si>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</si>
  <si>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</si>
  <si>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</si>
  <si>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</si>
  <si>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</si>
  <si>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</si>
  <si>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</si>
  <si>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</si>
  <si>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</si>
  <si>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</si>
  <si>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</si>
  <si>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</si>
  <si>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</si>
  <si>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</si>
  <si>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</si>
  <si>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</si>
  <si>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</si>
  <si>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Bucuresști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</si>
  <si>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</si>
  <si>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</si>
  <si>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</si>
  <si>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</si>
  <si>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</si>
  <si>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</si>
  <si>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</si>
  <si>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</si>
  <si>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</si>
  <si>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</si>
  <si>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</si>
  <si>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</si>
  <si>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</si>
  <si>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</si>
  <si>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</si>
  <si>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</si>
  <si>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</si>
  <si>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</si>
  <si>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</si>
  <si>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</si>
  <si>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</si>
  <si>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</si>
  <si>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</si>
  <si>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</si>
  <si>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</si>
  <si>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</si>
  <si>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</si>
  <si>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</si>
  <si>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</si>
  <si>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</si>
  <si>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</si>
  <si>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</si>
  <si>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</si>
  <si>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</si>
  <si>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</si>
  <si>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</si>
  <si>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</si>
  <si>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</si>
  <si>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</si>
  <si>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</si>
  <si>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</si>
  <si>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</si>
  <si>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</si>
  <si>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</si>
  <si>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</si>
  <si>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</si>
  <si>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</si>
  <si>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</si>
  <si>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</si>
  <si>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</si>
  <si>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</si>
  <si>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</si>
  <si>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</si>
  <si>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</si>
  <si>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</si>
  <si>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</si>
  <si>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</si>
  <si>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</si>
  <si>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</si>
  <si>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</si>
  <si>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</si>
  <si>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</si>
  <si>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</si>
  <si>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</si>
  <si>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</si>
  <si>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</si>
  <si>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</si>
  <si>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</si>
  <si>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</si>
  <si>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</si>
  <si>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</si>
  <si>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</si>
  <si>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</si>
  <si>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</si>
  <si>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</si>
  <si>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</si>
  <si>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</si>
  <si>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</si>
  <si>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</si>
  <si>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</si>
  <si>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</si>
  <si>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</si>
  <si>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</si>
  <si>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</si>
  <si>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</si>
  <si>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</si>
  <si>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</si>
  <si>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</si>
  <si>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</si>
  <si>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</si>
  <si>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</si>
  <si>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</si>
  <si>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</si>
  <si>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</si>
  <si>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</si>
  <si>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</si>
  <si>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</si>
  <si>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</si>
  <si>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</si>
  <si>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t>Munuicipiul Craiova</t>
  </si>
  <si>
    <r>
      <t>SIMCA -</t>
    </r>
    <r>
      <rPr>
        <sz val="10"/>
        <color theme="1"/>
        <rFont val="Calibri"/>
        <family val="2"/>
        <scheme val="minor"/>
      </rPr>
      <t xml:space="preserve"> </t>
    </r>
    <r>
      <rPr>
        <sz val="11"/>
        <color theme="1"/>
        <rFont val="Calibri"/>
        <family val="2"/>
        <scheme val="minor"/>
      </rPr>
      <t>Standarde și Instrumente în Implementarea Managementului Calității Administrative la nivelul Primăriei Municipiului Craiova</t>
    </r>
  </si>
  <si>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</si>
  <si>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ET</t>
  </si>
  <si>
    <t>Dezvoltarea unui management performant în cadrul primăriei municipiului Lugoj prin optimizarea proceselor orientate către beneficiari și pregătirea resurselor umane</t>
  </si>
  <si>
    <t>Municipiului Lugoj</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</si>
  <si>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</si>
  <si>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</si>
  <si>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</si>
  <si>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Cresterea capacitaþii administrative a Municipiului Constanþa prin introducerea si menþinerea
sistemului de management al calitaþii ISO 9001</t>
  </si>
  <si>
    <t>Municipiul Constanta</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</si>
  <si>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</si>
  <si>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</si>
  <si>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</si>
  <si>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</si>
  <si>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</si>
  <si>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Integritatea - condiþie esenþiala pentru o
administratie eficienta</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</si>
  <si>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</si>
  <si>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</si>
  <si>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</si>
  <si>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</si>
  <si>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</si>
  <si>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</si>
  <si>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</si>
  <si>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</si>
  <si>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</si>
  <si>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</si>
  <si>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</si>
  <si>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</si>
  <si>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</si>
  <si>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</si>
  <si>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</si>
  <si>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</si>
  <si>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</si>
  <si>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</si>
  <si>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</si>
  <si>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</si>
  <si>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</si>
  <si>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</si>
  <si>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</si>
  <si>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</si>
  <si>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DJ</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</si>
  <si>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</si>
  <si>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</si>
  <si>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</si>
  <si>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</si>
  <si>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</si>
  <si>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</si>
  <si>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</si>
  <si>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</si>
  <si>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</si>
  <si>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</si>
  <si>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</si>
  <si>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</si>
  <si>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</si>
  <si>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</si>
  <si>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</si>
  <si>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</si>
  <si>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</si>
  <si>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</si>
  <si>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AP 2/11i/2.2</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</si>
  <si>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</si>
  <si>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</si>
  <si>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</si>
  <si>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</si>
  <si>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</si>
  <si>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</si>
  <si>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</si>
  <si>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MINISTERUL MEDIULUI</t>
  </si>
  <si>
    <t>Aplicarea sistemului de politici bazate pe
dovezi în Ministerul Mediului pentru
sistematizarea si simplificarea legislaþiei din
domeniul deseurilor si realizarea unor
proceduri simplificate pentru reducerea
poverii administrative pentru mediul de
afaceri în domeniul schimbarilor climatice</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</si>
  <si>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</si>
  <si>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</si>
  <si>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</si>
  <si>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</si>
  <si>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</si>
  <si>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</si>
  <si>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</si>
  <si>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</si>
  <si>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</si>
  <si>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</si>
  <si>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</si>
  <si>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</si>
  <si>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</si>
  <si>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</si>
  <si>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</si>
  <si>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</si>
  <si>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</si>
  <si>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</si>
  <si>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</si>
  <si>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</si>
  <si>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</si>
  <si>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</si>
  <si>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</si>
  <si>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</si>
  <si>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</si>
  <si>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</si>
  <si>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</si>
  <si>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</si>
  <si>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</si>
  <si>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</si>
  <si>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</si>
  <si>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</si>
  <si>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</si>
  <si>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</si>
  <si>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</si>
  <si>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</si>
  <si>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</si>
  <si>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</si>
  <si>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</si>
  <si>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</si>
  <si>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</si>
  <si>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</si>
  <si>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</si>
  <si>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</si>
  <si>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</si>
  <si>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</si>
  <si>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</si>
  <si>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</si>
  <si>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</si>
  <si>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</si>
  <si>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</si>
  <si>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</si>
  <si>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</si>
  <si>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</si>
  <si>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</si>
  <si>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</si>
  <si>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</si>
  <si>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</si>
  <si>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</si>
  <si>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</si>
  <si>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</si>
  <si>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</si>
  <si>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</si>
  <si>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</si>
  <si>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MINISTERUL CULTURII SI IDENTITATII NATIONALE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</si>
  <si>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</si>
  <si>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</si>
  <si>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Servicii de consiliere juridică pentru victime ale unor abuzuri sau nereguli din administrație și justiție</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</si>
  <si>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</si>
  <si>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</si>
  <si>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</si>
  <si>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</si>
  <si>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</si>
  <si>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</si>
  <si>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</si>
  <si>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</si>
  <si>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</si>
  <si>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</si>
  <si>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</si>
  <si>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</si>
  <si>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</si>
  <si>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</si>
  <si>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</si>
  <si>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</si>
  <si>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</si>
  <si>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</si>
  <si>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</si>
  <si>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</si>
  <si>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AA4/ 12.06.2018
AA5/19.07.2018 PRELUNGIRE 6 LUNI</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</si>
  <si>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</si>
  <si>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</si>
  <si>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</si>
  <si>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</si>
  <si>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</si>
  <si>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</si>
  <si>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</si>
  <si>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</si>
  <si>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</si>
  <si>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</si>
  <si>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</si>
  <si>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</si>
  <si>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</si>
  <si>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</si>
  <si>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</si>
  <si>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</si>
  <si>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</si>
  <si>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</si>
  <si>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</si>
  <si>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</si>
  <si>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</si>
  <si>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</si>
  <si>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</si>
  <si>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</si>
  <si>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</si>
  <si>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</si>
  <si>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Municipiul Fetesti</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</si>
  <si>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</si>
  <si>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</si>
  <si>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</si>
  <si>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</si>
  <si>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</si>
  <si>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</si>
  <si>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</si>
  <si>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Ministerul Apelor și Pădurilor</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</si>
  <si>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</si>
  <si>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</si>
  <si>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</si>
  <si>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</si>
  <si>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</si>
  <si>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AA4/27.07.2018</t>
  </si>
  <si>
    <t>DSS</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</si>
  <si>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</si>
  <si>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</si>
  <si>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</si>
  <si>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</si>
  <si>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</si>
  <si>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</si>
  <si>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</si>
  <si>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</si>
  <si>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</si>
  <si>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</si>
  <si>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Bucurețti</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</si>
  <si>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</si>
  <si>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</si>
  <si>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</si>
  <si>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</si>
  <si>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</si>
  <si>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</si>
  <si>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</si>
  <si>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</si>
  <si>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</si>
  <si>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</si>
  <si>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</si>
  <si>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</si>
  <si>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</si>
  <si>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</si>
  <si>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</si>
  <si>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</si>
  <si>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în implementare</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</si>
  <si>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</si>
  <si>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</si>
  <si>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</si>
  <si>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</si>
  <si>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</si>
  <si>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</si>
  <si>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</si>
  <si>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</si>
  <si>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</si>
  <si>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</si>
  <si>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</si>
  <si>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</si>
  <si>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</si>
  <si>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</si>
  <si>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</si>
  <si>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</si>
  <si>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</si>
  <si>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</si>
  <si>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</si>
  <si>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</si>
  <si>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AA5 /06.08.18</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</si>
  <si>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</si>
  <si>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</si>
  <si>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</si>
  <si>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</si>
  <si>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</si>
  <si>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</si>
  <si>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</si>
  <si>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</si>
  <si>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</si>
  <si>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</si>
  <si>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</si>
  <si>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</si>
  <si>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</si>
  <si>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</si>
  <si>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</si>
  <si>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</si>
  <si>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</si>
  <si>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</si>
  <si>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</si>
  <si>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</si>
  <si>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</si>
  <si>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</si>
  <si>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</si>
  <si>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</si>
  <si>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</si>
  <si>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</si>
  <si>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</si>
  <si>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</si>
  <si>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</si>
  <si>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</si>
  <si>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</si>
  <si>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</si>
  <si>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</si>
  <si>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</si>
  <si>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</si>
  <si>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</si>
  <si>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</si>
  <si>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</si>
  <si>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</si>
  <si>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</si>
  <si>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</si>
  <si>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</si>
  <si>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</si>
  <si>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</si>
  <si>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</si>
  <si>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</si>
  <si>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</si>
  <si>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</si>
  <si>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</si>
  <si>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</si>
  <si>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</si>
  <si>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</si>
  <si>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</si>
  <si>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</si>
  <si>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</si>
  <si>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</si>
  <si>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</si>
  <si>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</si>
  <si>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</si>
  <si>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</si>
  <si>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</si>
  <si>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</si>
  <si>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</si>
  <si>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</si>
  <si>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</si>
  <si>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</si>
  <si>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</si>
  <si>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</si>
  <si>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</si>
  <si>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</si>
  <si>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</si>
  <si>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</si>
  <si>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</si>
  <si>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</si>
  <si>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</si>
  <si>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AP 2/11i/2.1</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</si>
  <si>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</si>
  <si>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</si>
  <si>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</si>
  <si>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</si>
  <si>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</si>
  <si>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</si>
  <si>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</si>
  <si>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</si>
  <si>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</si>
  <si>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</si>
  <si>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</si>
  <si>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Municipiul ROMAN</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</si>
  <si>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</si>
  <si>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</si>
  <si>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</si>
  <si>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</si>
  <si>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</si>
  <si>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</si>
  <si>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Asociația Mesteșukar Mobil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</si>
  <si>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</si>
  <si>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</si>
  <si>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</si>
  <si>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</si>
  <si>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</si>
  <si>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</si>
  <si>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</si>
  <si>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</si>
  <si>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</si>
  <si>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</si>
  <si>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</si>
  <si>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</si>
  <si>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</si>
  <si>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</si>
  <si>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</si>
  <si>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</si>
  <si>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</si>
  <si>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</si>
  <si>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</si>
  <si>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</si>
  <si>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</si>
  <si>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</si>
  <si>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</si>
  <si>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</si>
  <si>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</si>
  <si>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</si>
  <si>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</si>
  <si>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</si>
  <si>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</si>
  <si>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</si>
  <si>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</si>
  <si>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</si>
  <si>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Sectorul 2 al Municipiului București</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</si>
  <si>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</si>
  <si>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</si>
  <si>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</si>
  <si>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</si>
  <si>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</si>
  <si>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</si>
  <si>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</si>
  <si>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</si>
  <si>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</si>
  <si>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Imbunatatirea calitatii serviciilor furnizate de primaria Municipiului Toplita prin introducerea si mentinerea sistemului de management al calitatii ISO9001:2015</t>
  </si>
  <si>
    <t>Toplița</t>
  </si>
  <si>
    <t>Consolidarea integritatii în institutiiile_x000D_
publice si în mediul de afaceri</t>
  </si>
  <si>
    <t>MINISTERUL FINANTELOR PUBLICE</t>
  </si>
  <si>
    <t>MINISTERUL ECONOMIEI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</si>
  <si>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</si>
  <si>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</si>
  <si>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</si>
  <si>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</si>
  <si>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</si>
  <si>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Act aditional nr. 1/13.09.2018</t>
  </si>
  <si>
    <t>AP 2/11i /2.1</t>
  </si>
  <si>
    <t>AP 2/11i /2.3</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</si>
  <si>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</si>
  <si>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</si>
  <si>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</si>
  <si>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</si>
  <si>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</si>
  <si>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</si>
  <si>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</si>
  <si>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</si>
  <si>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</si>
  <si>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</si>
  <si>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</si>
  <si>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</si>
  <si>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MINISTERUL TURISMULUI</t>
  </si>
  <si>
    <t>SECRETARIATUL GENERAL AL
Parteneri GUVERNULUI</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</si>
  <si>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</si>
  <si>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EDU Digital - Propunere alternativa de politica publica pentru simplificarea cadrului legislativ în
educaþie</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</si>
  <si>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</si>
  <si>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</si>
  <si>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</si>
  <si>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ASOCIAÞIA CREST</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</si>
  <si>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</si>
  <si>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</si>
  <si>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AA1/20.09.2018</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</si>
  <si>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</si>
  <si>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</si>
  <si>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</si>
  <si>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</si>
  <si>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</si>
  <si>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</si>
  <si>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</si>
  <si>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</si>
  <si>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MV</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</si>
  <si>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</si>
  <si>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</si>
  <si>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</si>
  <si>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</si>
  <si>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Omdrap nr. 5844/03.10.2018</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</si>
  <si>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</si>
  <si>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</si>
  <si>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AP 2/11i /2.2</t>
  </si>
  <si>
    <t>AP2/11i /2.3</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</si>
  <si>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</si>
  <si>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</si>
  <si>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</si>
  <si>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</si>
  <si>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</si>
  <si>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</si>
  <si>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</si>
  <si>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</si>
  <si>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</si>
  <si>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</si>
  <si>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</si>
  <si>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</si>
  <si>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AA1 / 09.06.2017                                       AA2/12.10.2018</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</si>
  <si>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</si>
  <si>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</si>
  <si>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</si>
  <si>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</si>
  <si>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</si>
  <si>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</si>
  <si>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</si>
  <si>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</si>
  <si>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</si>
  <si>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</si>
  <si>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</si>
  <si>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</si>
  <si>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</si>
  <si>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</si>
  <si>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</si>
  <si>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</si>
  <si>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AA2/18.10.2018</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</si>
  <si>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</si>
  <si>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</si>
  <si>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</si>
  <si>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</si>
  <si>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</si>
  <si>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</si>
  <si>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</si>
  <si>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</si>
  <si>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Obiectivul general al proiectului consta in dezvoltarea capacitatii administrative a municipiului Toplita, prin reproiectarea proceselor operationale pentru alinierea sistemului existent la cerintele sistemului de management al calitatii in conformitate cu prevederile standardului SR EN ISO 9001:2015, fapt ce va determina cresterea calitatii actului administrativ pe termen lung.
Obiectivele specifice ale proiectului
1. Obiectivele specifice ale proiectului sunt:
OS1-Revizuirea si optimizarea fluxurilor interne de lucru in vederea reproiectarii corespunzatoare a sistemului de management al calitatii la nivelul Primariei Municipiului Toplita
OS2-Realizarea tranzitiei sistemului de management al calitatii existent in conformitate cu prevederile standardului SR EN ISO
9001:2015, coroborata cu implementarea unui program informatic de management al documentelor, care va permite
imbunatatirea semnificativa a calitatii si eficientei serviciilor publice furnizate de catre Municipiul Toplita
OS3-Promovarea modernizarii in administratia publica locala din municipiul Toplita, prin specializarea personalului din cadrul
primariei pe teme specifice managementului calitatii (170 persoane), ceea ce va determina motivarea si mobilizarea acestora in directia inovatiei si in oferirea de servicii publice de calitate.</t>
  </si>
  <si>
    <t>Judetul Salaj</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</si>
  <si>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</si>
  <si>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</si>
  <si>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</si>
  <si>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</si>
  <si>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</si>
  <si>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</si>
  <si>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</si>
  <si>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AA 1/12.11.2018</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</si>
  <si>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</si>
  <si>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</si>
  <si>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</si>
  <si>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</si>
  <si>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</si>
  <si>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</si>
  <si>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</si>
  <si>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</si>
  <si>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</si>
  <si>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</si>
  <si>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</si>
  <si>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</si>
  <si>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</si>
  <si>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</si>
  <si>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</si>
  <si>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</si>
  <si>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</si>
  <si>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</si>
  <si>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</si>
  <si>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</si>
  <si>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</si>
  <si>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</si>
  <si>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</si>
  <si>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</si>
  <si>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</si>
  <si>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</si>
  <si>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120 - Investiții în capacitatea instituțională și în eficiența administrațiilor și a serviciilor publice la nivel național, regional și local, în perspectiva realizării de reforme, a unei mai bune legiferări și a bunei guvernanțe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</si>
  <si>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</si>
  <si>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</si>
  <si>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</si>
  <si>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</si>
  <si>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</si>
  <si>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</si>
  <si>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</si>
  <si>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</si>
  <si>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Municipiului Bacău</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</si>
  <si>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</si>
  <si>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</si>
  <si>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</si>
  <si>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</si>
  <si>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r>
      <t xml:space="preserve">Municipiului </t>
    </r>
    <r>
      <rPr>
        <sz val="12"/>
        <color theme="1"/>
        <rFont val="Times New Roman"/>
        <family val="1"/>
      </rPr>
      <t>Galați</t>
    </r>
  </si>
  <si>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</si>
  <si>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</si>
  <si>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</si>
  <si>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</si>
  <si>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</si>
  <si>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</si>
  <si>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</si>
  <si>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</si>
  <si>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</si>
  <si>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</si>
  <si>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Ministerul Energiei</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</si>
  <si>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</si>
  <si>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</si>
  <si>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</si>
  <si>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AP2/11i /2.1</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</si>
  <si>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</si>
  <si>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</si>
  <si>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</si>
  <si>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</si>
  <si>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</si>
  <si>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</si>
  <si>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</si>
  <si>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</si>
  <si>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</si>
  <si>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</si>
  <si>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Agenția Naționlă de Administrare Fiscală</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</si>
  <si>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</si>
  <si>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</si>
  <si>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</si>
  <si>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</si>
  <si>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</si>
  <si>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</si>
  <si>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Municipiului Sighișoara</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</si>
  <si>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</si>
  <si>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</si>
  <si>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</si>
  <si>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AA3 / 30.07.2018</t>
  </si>
  <si>
    <t>AA2/17.12.2018</t>
  </si>
  <si>
    <t>AA1/21.12.2018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</si>
  <si>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</si>
  <si>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</si>
  <si>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</si>
  <si>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</si>
  <si>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</si>
  <si>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</si>
  <si>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</si>
  <si>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</si>
  <si>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</si>
  <si>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</si>
  <si>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</si>
  <si>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</si>
  <si>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1. ASOCIATIA PENTRU IMPLEMENTAREA DEMOCRATIEI 2. UNITATEA EXECUTIVA PENTRU FINANTAREA INVATAMANTULUI SUPERIOR, A CERCETARII,
DEZVOLTARII SI INOVARII/Centrul pentru Politici Publice in Invatamantul Superior, Stiinta, Inovare
si Antreprenoriat                                3. ASOCIATIA "C4C COMMUNICATION FOR COMMUNITY"</t>
  </si>
  <si>
    <t>Fundația PAEM ALBA</t>
  </si>
  <si>
    <t>AA1/18.12.2018</t>
  </si>
  <si>
    <t>Consolidarea capacitatii institutionale a Ministerului Cercetarii si Inovarii prin optimizarea proceselor
decizionale in domeniul de cercetare-dezvoltare si inovare</t>
  </si>
  <si>
    <t>Ministerul Cercetarii si Inovarii</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</si>
  <si>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</si>
  <si>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</si>
  <si>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</si>
  <si>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</si>
  <si>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</si>
  <si>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</si>
  <si>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</si>
  <si>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</si>
  <si>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</si>
  <si>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</si>
  <si>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Autoritatea Națională Pentru Persoane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</si>
  <si>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</si>
  <si>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</si>
  <si>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</si>
  <si>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</si>
  <si>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</si>
  <si>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</si>
  <si>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AA5/ 31.01.2019</t>
  </si>
  <si>
    <t>AA1/01.02.2019</t>
  </si>
  <si>
    <t>AA1/ 04.02.2019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</si>
  <si>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</si>
  <si>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</si>
  <si>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</si>
  <si>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</si>
  <si>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</si>
  <si>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</si>
  <si>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Munuicipiul Blaj</t>
  </si>
  <si>
    <t>Judetul Cluj - Smart Territory</t>
  </si>
  <si>
    <t>Judetul Cluj</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</si>
  <si>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</si>
  <si>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</si>
  <si>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</si>
  <si>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</si>
  <si>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</si>
  <si>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Ministerul Comunicațiilor si Societății Informaționale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</si>
  <si>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</si>
  <si>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</si>
  <si>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</si>
  <si>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</si>
  <si>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AP 2/11i/2.3</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</si>
  <si>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</si>
  <si>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</si>
  <si>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</si>
  <si>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</si>
  <si>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</si>
  <si>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</si>
  <si>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</si>
  <si>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</si>
  <si>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</si>
  <si>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AA2 /20.02.2019</t>
  </si>
  <si>
    <t>Simplificarea procedurilor administrative și reducerea birocrației pentru cetățeni la nivelul Primăriei Municipiului Sfântu Gheorghe</t>
  </si>
  <si>
    <t>Municipiul Sfântu Gheorghe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</si>
  <si>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</si>
  <si>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Covasna</t>
  </si>
  <si>
    <t>Sfântu Gheorghe</t>
  </si>
  <si>
    <t xml:space="preserve">Obiectiv general: Dezvoltarea capacitatii societatii civile, ca împreuna cu UAT, sa contribuie la sustinerea si dezvoltarea economiei sociale prin sprijinirea initiativelor antreprenoriale care vizeaza infiintarea de structuri de economie sociala in Romania (SES).
OS3. Formularea propunerilor de Politici Publice.
OS1. Crearea unui parteneriat public-privat la nivel national, format din 160 de reprezentati ai UAT si organizatii civice din
Romania, pentru formularea si promovarea de propuneri alternative la politicile publice initiate de Guvern.
OS2. Formarea membrilor GT , pentru cresterea capacitatii de a identifica probleme in comunitate si a formula politici publice
alternative.
</t>
  </si>
  <si>
    <t>AA2/25.02.2019</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</si>
  <si>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</si>
  <si>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</si>
  <si>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</si>
  <si>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 xml:space="preserve">Omdrapfe nr.  1227/28.02.2019 </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</si>
  <si>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</si>
  <si>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</si>
  <si>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</si>
  <si>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AA1/07.03.2019</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</si>
  <si>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</si>
  <si>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</si>
  <si>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</si>
  <si>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</si>
  <si>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</si>
  <si>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</si>
  <si>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</si>
  <si>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</si>
  <si>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</si>
  <si>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</si>
  <si>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</si>
  <si>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</si>
  <si>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</si>
  <si>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</si>
  <si>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</si>
  <si>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</si>
  <si>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</si>
  <si>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</si>
  <si>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 xml:space="preserve">Finalizat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</si>
  <si>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</si>
  <si>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</si>
  <si>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</si>
  <si>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</si>
  <si>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Județul SIBIU</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</si>
  <si>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</si>
  <si>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</si>
  <si>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Municipiul Alba iulia</t>
  </si>
  <si>
    <t>OC</t>
  </si>
  <si>
    <t>AA1</t>
  </si>
  <si>
    <t>CP 11/2018</t>
  </si>
  <si>
    <t>AP2/11i /2.2</t>
  </si>
  <si>
    <t>Dezvoltarea de reglementări instituționale privind etica, integritatea și anticorupție în sistemul de educație</t>
  </si>
  <si>
    <t>1. Academia de Poliție Al.Ioan Cuza
2. Asociația pentru Implementarea Democrației</t>
  </si>
  <si>
    <t>Obiectivul general: Cresterea capacitatii institutionale a MEN de aplicare a normelor, mecanismelor si procedurilor în materie de etica, integritate si anticoruptie la nivelul activitatii sale manageriale si administrative, în concordanþa cu SCAP
Obiective specifice:
OS1. Dezvoltarea si actualizarea unui cadru procedural unitar pentru asigurarea eticii, integritatii si conduitei anticoruptie in
activitatea manageriala si administrativa a MEN care reglementeaza organizarea si functionarea sistemului de educatie
OS2. Cresterea nivelului de educatie anticoruptie in randul personalului angajat al MEN
OS3. Cresterea gradului de constientizare publica a implementarii masurilor anticoruptie in domeniul educatie</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</si>
  <si>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</si>
  <si>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</si>
  <si>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</si>
  <si>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</si>
  <si>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</si>
  <si>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</si>
  <si>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</si>
  <si>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</si>
  <si>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</si>
  <si>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</si>
  <si>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</si>
  <si>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</si>
  <si>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</si>
  <si>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</si>
  <si>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</si>
  <si>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</si>
  <si>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</si>
  <si>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REZILIAT</t>
  </si>
  <si>
    <t>Consolidarea capacității administrative a Municipiului Lugoj prin dezvoltarea capacității de planificare strategică și prin simplificarea procedurilor administrative pentru reducerea birocrației destinate</t>
  </si>
  <si>
    <t>Municipiu Lugoj</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</si>
  <si>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</si>
  <si>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</si>
  <si>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</si>
  <si>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AA2/30.01.2019</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</si>
  <si>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</si>
  <si>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</si>
  <si>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</si>
  <si>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AA2/11.01.2019</t>
  </si>
  <si>
    <t>AA1/08.04.2019</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</si>
  <si>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</si>
  <si>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</si>
  <si>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</si>
  <si>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</si>
  <si>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</si>
  <si>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</si>
  <si>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120 -  Investiții în capacitatea instituțională și în eficiența administrațiilor și a serviciilor publice la nivel național, regional și local, în perspectiva realizării de reforme, a unei mai bune legiferări și a bunei guvernanțe</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</si>
  <si>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</si>
  <si>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</si>
  <si>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 xml:space="preserve">                                                 AA4/08.04.2019</t>
  </si>
  <si>
    <t>AA2/08.04.2019</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</si>
  <si>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</si>
  <si>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</si>
  <si>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129 - Investiții în capacitatea instituțională și în eficiența administrațiilor și a serviciilor publice la nivel național, regional și local, în perspectiva realizării de reforme, a unei mai bune legiferări și a bunei guvernanțe</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</si>
  <si>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</si>
  <si>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</si>
  <si>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</si>
  <si>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</si>
  <si>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 12.04.2019</t>
  </si>
  <si>
    <t>AA 1/29.11.2018          AA 2 /03.04.2019</t>
  </si>
  <si>
    <t>AA 1/ 15.04.2019</t>
  </si>
  <si>
    <t>AA 1/ 01.04.2019</t>
  </si>
  <si>
    <t>AA 1/ 28.03.2019</t>
  </si>
  <si>
    <t xml:space="preserve">AA 1/02.04.2019 </t>
  </si>
  <si>
    <t>AA2/17.04.2019</t>
  </si>
  <si>
    <t>AA2/18.04.2019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</si>
  <si>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</si>
  <si>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</si>
  <si>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</si>
  <si>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AA1/24.04.2019</t>
  </si>
  <si>
    <t>OMDRAP nr. 1679/06.05.2019/Actul adițional nr.1/06.05.2019</t>
  </si>
  <si>
    <r>
      <rPr>
        <sz val="12"/>
        <rFont val="Calibri"/>
        <family val="2"/>
        <scheme val="minor"/>
      </rP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sz val="12"/>
        <rFont val="Calibri"/>
        <family val="2"/>
        <charset val="238"/>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sz val="12"/>
        <rFont val="Calibri"/>
        <family val="2"/>
        <charset val="238"/>
        <scheme val="minor"/>
      </rPr>
      <t xml:space="preserve">
</t>
    </r>
  </si>
  <si>
    <r>
      <t>FEDERA</t>
    </r>
    <r>
      <rPr>
        <sz val="11"/>
        <color theme="1"/>
        <rFont val="Calibri"/>
        <family val="1"/>
        <charset val="1"/>
      </rPr>
      <t>Ţ</t>
    </r>
    <r>
      <rPr>
        <sz val="11"/>
        <color theme="1"/>
        <rFont val="Calibri"/>
        <family val="2"/>
        <charset val="1"/>
      </rPr>
      <t>IA NA</t>
    </r>
    <r>
      <rPr>
        <sz val="11"/>
        <color theme="1"/>
        <rFont val="Calibri"/>
        <family val="1"/>
        <charset val="1"/>
      </rPr>
      <t>Ţ</t>
    </r>
    <r>
      <rPr>
        <sz val="11"/>
        <color theme="1"/>
        <rFont val="Calibri"/>
        <family val="2"/>
        <charset val="1"/>
      </rPr>
      <t xml:space="preserve">IONALĂ A SINDICATELOR MUNCII </t>
    </r>
    <r>
      <rPr>
        <sz val="11"/>
        <color theme="1"/>
        <rFont val="Calibri"/>
        <family val="1"/>
        <charset val="1"/>
      </rPr>
      <t>Ș</t>
    </r>
    <r>
      <rPr>
        <sz val="11"/>
        <color theme="1"/>
        <rFont val="Calibri"/>
        <family val="2"/>
        <charset val="1"/>
      </rPr>
      <t>I PROTEC</t>
    </r>
    <r>
      <rPr>
        <sz val="11"/>
        <color theme="1"/>
        <rFont val="Calibri"/>
        <family val="1"/>
        <charset val="1"/>
      </rPr>
      <t>Ţ</t>
    </r>
    <r>
      <rPr>
        <sz val="11"/>
        <color theme="1"/>
        <rFont val="Calibri"/>
        <family val="2"/>
        <charset val="1"/>
      </rPr>
      <t>IEI SOCIALE</t>
    </r>
  </si>
  <si>
    <r>
      <t xml:space="preserve">MINISITERUL DEZVOLTĂRII REGIONALE, ADMINISTRAȚIEI PUBLICE ȘI FONDURILOR EUROPENE
</t>
    </r>
    <r>
      <rPr>
        <sz val="11"/>
        <color theme="1"/>
        <rFont val="Calibri"/>
        <family val="2"/>
        <charset val="238"/>
        <scheme val="minor"/>
      </rPr>
      <t>Direcția Generală Administrație Publică, Direcția pentru Strategii și Reforme în Administrația Publică</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</si>
  <si>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sz val="12"/>
        <rFont val="Calibri"/>
        <family val="2"/>
        <scheme val="minor"/>
      </rPr>
      <t>Obiectivele specifice ale proiectului</t>
    </r>
    <r>
      <rPr>
        <sz val="12"/>
        <rFont val="Calibri"/>
        <family val="2"/>
        <charset val="238"/>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</si>
  <si>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t xml:space="preserve">Obiectiv general  </t>
    </r>
    <r>
      <rPr>
        <sz val="12"/>
        <rFont val="Calibri"/>
        <family val="2"/>
        <charset val="238"/>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sz val="12"/>
        <rFont val="Calibri"/>
        <family val="2"/>
        <scheme val="minor"/>
      </rPr>
      <t>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</si>
  <si>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sz val="12"/>
        <rFont val="Calibri"/>
        <family val="2"/>
      </rPr>
      <t>Obiectivul general</t>
    </r>
    <r>
      <rPr>
        <sz val="12"/>
        <rFont val="Calibri"/>
        <family val="2"/>
        <charset val="238"/>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sz val="12"/>
        <rFont val="Calibri"/>
        <family val="2"/>
      </rPr>
      <t>Obiectivele specifice ale proiectului</t>
    </r>
    <r>
      <rPr>
        <sz val="12"/>
        <rFont val="Calibri"/>
        <family val="2"/>
        <charset val="238"/>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</si>
  <si>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t>Obiectivul general</t>
    </r>
    <r>
      <rPr>
        <sz val="12"/>
        <rFont val="Calibri"/>
        <family val="2"/>
        <charset val="238"/>
        <scheme val="minor"/>
      </rPr>
      <t xml:space="preserve"> consta in dezvoltarea capacitatii ONG-urilor de a dezvolta politici publice alternative, în vederea optimizarii proceselor decizionale ale administratieipublice, orientate catre cetateni si mediul de afaceri.</t>
    </r>
    <r>
      <rPr>
        <sz val="12"/>
        <rFont val="Calibri"/>
        <family val="2"/>
        <scheme val="minor"/>
      </rPr>
      <t xml:space="preserve"> Obiective specifice:</t>
    </r>
    <r>
      <rPr>
        <sz val="12"/>
        <rFont val="Calibri"/>
        <family val="2"/>
        <charset val="238"/>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</si>
  <si>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t>Obiectiv general:</t>
    </r>
    <r>
      <rPr>
        <sz val="12"/>
        <rFont val="Calibri"/>
        <family val="2"/>
        <charset val="238"/>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sz val="12"/>
        <rFont val="Calibri"/>
        <family val="2"/>
        <scheme val="minor"/>
      </rPr>
      <t>Obiective specifice:</t>
    </r>
    <r>
      <rPr>
        <sz val="12"/>
        <rFont val="Calibri"/>
        <family val="2"/>
        <charset val="238"/>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</si>
  <si>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lei / luna MAI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</si>
</sst>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l_e_i_-;\-* #,##0.00\ _l_e_i_-;_-* &quot;-&quot;??\ _l_e_i_-;_-@_-"/>
    <numFmt numFmtId="165" formatCode="0.000000000"/>
    <numFmt numFmtId="166" formatCode="#,##0.00_ ;\-#,##0.00\ "/>
    <numFmt numFmtId="168" formatCode="0.0000000"/>
  </numFmts>
  <fonts count="40" x14ac:knownFonts="1">
    <font>
      <sz val="11"/>
      <color theme="1"/>
      <name val="Calibri"/>
      <family val="2"/>
      <charset val="238"/>
      <scheme val="minor"/>
    </font>
    <font>
      <sz val="11"/>
      <color theme="1"/>
      <name val="Calibri"/>
      <family val="2"/>
      <scheme val="minor"/>
    </font>
    <font>
      <sz val="11"/>
      <color theme="1"/>
      <name val="Calibri"/>
      <family val="2"/>
      <scheme val="minor"/>
    </font>
    <font>
      <b/>
      <sz val="12"/>
      <name val="Calibri"/>
      <family val="2"/>
      <charset val="238"/>
      <scheme val="minor"/>
    </font>
    <font>
      <sz val="11"/>
      <color theme="0"/>
      <name val="Calibri"/>
      <family val="2"/>
      <charset val="238"/>
      <scheme val="minor"/>
    </font>
    <font>
      <sz val="11"/>
      <color theme="1"/>
      <name val="Calibri"/>
      <family val="2"/>
      <charset val="238"/>
      <scheme val="minor"/>
    </font>
    <font>
      <sz val="12"/>
      <name val="Calibri"/>
      <family val="2"/>
      <charset val="238"/>
      <scheme val="minor"/>
    </font>
    <font>
      <sz val="12"/>
      <color theme="1"/>
      <name val="Calibri"/>
      <family val="2"/>
      <charset val="238"/>
      <scheme val="minor"/>
    </font>
    <font>
      <sz val="12"/>
      <name val="Calibri"/>
      <family val="2"/>
      <scheme val="minor"/>
    </font>
    <font>
      <sz val="12"/>
      <color theme="1"/>
      <name val="Trebuchet MS"/>
      <family val="2"/>
      <charset val="238"/>
    </font>
    <font>
      <sz val="12"/>
      <color theme="1"/>
      <name val="Calibri"/>
      <family val="2"/>
      <scheme val="minor"/>
    </font>
    <font>
      <sz val="12"/>
      <color theme="1"/>
      <name val="Trebuchet MS"/>
      <family val="2"/>
    </font>
    <font>
      <b/>
      <sz val="12"/>
      <name val="Calibri"/>
      <family val="2"/>
      <scheme val="minor"/>
    </font>
    <font>
      <b/>
      <sz val="11"/>
      <color theme="1"/>
      <name val="Calibri"/>
      <family val="2"/>
      <scheme val="minor"/>
    </font>
    <font>
      <sz val="10"/>
      <name val="Calibri"/>
      <family val="2"/>
    </font>
    <font>
      <sz val="10"/>
      <color theme="1"/>
      <name val="Calibri"/>
      <family val="2"/>
      <scheme val="minor"/>
    </font>
    <font>
      <b/>
      <sz val="10"/>
      <color theme="1"/>
      <name val="Trebuchet MS"/>
      <family val="2"/>
    </font>
    <font>
      <sz val="11"/>
      <color theme="1"/>
      <name val="Trebuchet MS"/>
      <family val="2"/>
    </font>
    <font>
      <sz val="11"/>
      <color theme="1"/>
      <name val="Calibri"/>
      <family val="2"/>
      <charset val="1"/>
      <scheme val="minor"/>
    </font>
    <font>
      <sz val="10"/>
      <color theme="1"/>
      <name val="Calibri"/>
      <family val="2"/>
      <charset val="1"/>
      <scheme val="minor"/>
    </font>
    <font>
      <i/>
      <sz val="11"/>
      <color theme="1"/>
      <name val="Trebuchet MS"/>
      <family val="2"/>
    </font>
    <font>
      <sz val="12"/>
      <name val="Calibri"/>
      <family val="2"/>
      <charset val="1"/>
      <scheme val="minor"/>
    </font>
    <font>
      <sz val="12"/>
      <name val="Trebuchet MS"/>
      <family val="2"/>
    </font>
    <font>
      <sz val="11"/>
      <name val="Calibri"/>
      <family val="2"/>
    </font>
    <font>
      <sz val="12"/>
      <color theme="1"/>
      <name val="Calibri"/>
      <family val="2"/>
      <charset val="1"/>
      <scheme val="minor"/>
    </font>
    <font>
      <sz val="11"/>
      <color indexed="8"/>
      <name val="Calibri"/>
      <family val="2"/>
      <scheme val="minor"/>
    </font>
    <font>
      <sz val="11"/>
      <name val="Calibri"/>
      <family val="2"/>
      <charset val="1"/>
      <scheme val="minor"/>
    </font>
    <font>
      <sz val="10"/>
      <name val="MS Sans Serif"/>
      <family val="2"/>
    </font>
    <font>
      <sz val="12"/>
      <name val="Calibri"/>
      <family val="2"/>
      <charset val="238"/>
    </font>
    <font>
      <sz val="12"/>
      <color rgb="FF000000"/>
      <name val="Calibri"/>
      <family val="2"/>
      <scheme val="minor"/>
    </font>
    <font>
      <sz val="11"/>
      <name val="Calibri"/>
      <family val="2"/>
      <charset val="238"/>
      <scheme val="minor"/>
    </font>
    <font>
      <sz val="10"/>
      <name val="Calibri"/>
      <family val="2"/>
      <charset val="1"/>
      <scheme val="minor"/>
    </font>
    <font>
      <sz val="10"/>
      <color theme="1"/>
      <name val="Trebuchet MS"/>
      <family val="2"/>
    </font>
    <font>
      <sz val="12"/>
      <color theme="1"/>
      <name val="Times New Roman"/>
      <family val="1"/>
    </font>
    <font>
      <sz val="11"/>
      <name val="Calibri"/>
      <family val="2"/>
      <scheme val="minor"/>
    </font>
    <font>
      <sz val="11"/>
      <color rgb="FFFA7D00"/>
      <name val="Calibri"/>
      <family val="2"/>
      <charset val="238"/>
      <scheme val="minor"/>
    </font>
    <font>
      <sz val="11"/>
      <color theme="1"/>
      <name val="Calibri"/>
      <family val="1"/>
      <charset val="1"/>
    </font>
    <font>
      <sz val="11"/>
      <color theme="1"/>
      <name val="Calibri"/>
      <family val="2"/>
      <charset val="1"/>
    </font>
    <font>
      <sz val="10"/>
      <color theme="1"/>
      <name val="Arial"/>
      <family val="2"/>
    </font>
    <font>
      <sz val="12"/>
      <name val="Calibri"/>
      <family val="2"/>
    </font>
  </fonts>
  <fills count="4">
    <fill>
      <patternFill patternType="none"/>
    </fill>
    <fill>
      <patternFill patternType="gray125"/>
    </fill>
    <fill>
      <patternFill patternType="solid">
        <fgColor theme="9" tint="0.59999389629810485"/>
        <bgColor indexed="64"/>
      </patternFill>
    </fill>
    <fill>
      <patternFill patternType="solid">
        <fgColor theme="7" tint="0.59999389629810485"/>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bottom style="double">
        <color rgb="FFFF8001"/>
      </bottom>
      <diagonal/>
    </border>
  </borders>
  <cellStyleXfs count="16">
    <xf numFmtId="0" fontId="0" fillId="0" borderId="0"/>
    <xf numFmtId="164" fontId="5" fillId="0" borderId="0" applyFont="0" applyFill="0" applyBorder="0" applyAlignment="0" applyProtection="0"/>
    <xf numFmtId="164" fontId="5" fillId="0" borderId="0" applyFont="0" applyFill="0" applyBorder="0" applyAlignment="0" applyProtection="0"/>
    <xf numFmtId="0" fontId="25" fillId="0" borderId="0"/>
    <xf numFmtId="0" fontId="5" fillId="0" borderId="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27" fillId="0" borderId="0"/>
    <xf numFmtId="0" fontId="5" fillId="0" borderId="0"/>
    <xf numFmtId="0" fontId="5" fillId="0" borderId="0"/>
    <xf numFmtId="0" fontId="15" fillId="0" borderId="0"/>
    <xf numFmtId="0" fontId="2" fillId="0" borderId="0"/>
    <xf numFmtId="0" fontId="2" fillId="0" borderId="0"/>
  </cellStyleXfs>
  <cellXfs count="209">
    <xf numFmtId="0" fontId="0" fillId="0" borderId="0" xfId="0"/>
    <xf numFmtId="0" fontId="3" fillId="2" borderId="3" xfId="0" applyFont="1" applyFill="1" applyBorder="1" applyAlignment="1">
      <alignment horizontal="center" vertical="center" wrapText="1"/>
    </xf>
    <xf numFmtId="4" fontId="3" fillId="2" borderId="3" xfId="0" applyNumberFormat="1" applyFont="1" applyFill="1" applyBorder="1" applyAlignment="1">
      <alignment vertical="center" wrapText="1"/>
    </xf>
    <xf numFmtId="4" fontId="3" fillId="2" borderId="3" xfId="0" applyNumberFormat="1" applyFont="1" applyFill="1" applyBorder="1" applyAlignment="1">
      <alignment vertical="center" wrapText="1"/>
    </xf>
    <xf numFmtId="0" fontId="0" fillId="0" borderId="0" xfId="0" applyFill="1"/>
    <xf numFmtId="0" fontId="6" fillId="0" borderId="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7" fillId="0" borderId="3" xfId="0" applyFont="1" applyFill="1" applyBorder="1" applyAlignment="1">
      <alignment vertical="center" wrapText="1"/>
    </xf>
    <xf numFmtId="0" fontId="6"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6" fillId="0" borderId="3" xfId="0" applyFont="1" applyFill="1" applyBorder="1" applyAlignment="1">
      <alignment horizontal="justify" vertical="top" wrapText="1"/>
    </xf>
    <xf numFmtId="14" fontId="6" fillId="0" borderId="3"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6" fontId="6" fillId="0" borderId="3" xfId="1" applyNumberFormat="1" applyFont="1" applyFill="1" applyBorder="1" applyAlignment="1">
      <alignment horizontal="right" vertical="center" wrapText="1"/>
    </xf>
    <xf numFmtId="4" fontId="10" fillId="0" borderId="0" xfId="0" applyNumberFormat="1" applyFont="1" applyFill="1" applyAlignment="1">
      <alignment horizontal="right" vertical="center" wrapText="1"/>
    </xf>
    <xf numFmtId="4" fontId="8" fillId="0" borderId="3" xfId="1" applyNumberFormat="1" applyFont="1" applyFill="1" applyBorder="1" applyAlignment="1">
      <alignment horizontal="right" vertical="center" wrapText="1"/>
    </xf>
    <xf numFmtId="166" fontId="8" fillId="0" borderId="3" xfId="1" applyNumberFormat="1" applyFont="1" applyFill="1" applyBorder="1" applyAlignment="1">
      <alignment horizontal="right" vertical="center" wrapText="1"/>
    </xf>
    <xf numFmtId="3" fontId="8" fillId="0" borderId="3" xfId="0" applyNumberFormat="1" applyFont="1" applyFill="1" applyBorder="1" applyAlignment="1">
      <alignment horizontal="right" vertical="center" wrapText="1"/>
    </xf>
    <xf numFmtId="14" fontId="9" fillId="0" borderId="3"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wrapText="1"/>
    </xf>
    <xf numFmtId="4" fontId="6" fillId="0" borderId="3" xfId="0" applyNumberFormat="1" applyFont="1" applyFill="1" applyBorder="1" applyAlignment="1">
      <alignment horizontal="right"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justify" vertical="top" wrapText="1"/>
    </xf>
    <xf numFmtId="14" fontId="8" fillId="0" borderId="3" xfId="0" applyNumberFormat="1" applyFont="1" applyFill="1" applyBorder="1" applyAlignment="1">
      <alignment horizontal="center" vertical="center" wrapText="1"/>
    </xf>
    <xf numFmtId="166" fontId="6" fillId="0" borderId="3"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3" xfId="0" applyFont="1" applyFill="1" applyBorder="1" applyAlignment="1">
      <alignment horizontal="left" vertical="top"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right" vertical="center" wrapText="1"/>
    </xf>
    <xf numFmtId="165" fontId="8" fillId="0" borderId="3" xfId="0" applyNumberFormat="1" applyFont="1" applyFill="1" applyBorder="1" applyAlignment="1">
      <alignment horizontal="center" vertical="center" wrapText="1"/>
    </xf>
    <xf numFmtId="0" fontId="8" fillId="0" borderId="3" xfId="0" applyFont="1" applyFill="1" applyBorder="1" applyAlignment="1">
      <alignment horizontal="right" vertical="center" wrapText="1"/>
    </xf>
    <xf numFmtId="0" fontId="6" fillId="0" borderId="3" xfId="0" applyFont="1" applyFill="1" applyBorder="1" applyAlignment="1">
      <alignment horizontal="justify" vertical="center" wrapText="1"/>
    </xf>
    <xf numFmtId="4" fontId="6" fillId="0" borderId="7" xfId="0" applyNumberFormat="1" applyFont="1" applyFill="1" applyBorder="1" applyAlignment="1">
      <alignment horizontal="right" vertical="center" wrapText="1"/>
    </xf>
    <xf numFmtId="166" fontId="6" fillId="0" borderId="3" xfId="1" applyNumberFormat="1" applyFont="1" applyFill="1" applyBorder="1" applyAlignment="1">
      <alignment horizontal="center" vertical="center" wrapText="1"/>
    </xf>
    <xf numFmtId="4" fontId="29" fillId="0" borderId="0" xfId="0" applyNumberFormat="1" applyFont="1" applyFill="1" applyAlignment="1">
      <alignment horizontal="center" vertical="center" wrapText="1"/>
    </xf>
    <xf numFmtId="14" fontId="10" fillId="0" borderId="3" xfId="0" applyNumberFormat="1" applyFont="1" applyFill="1" applyBorder="1" applyAlignment="1">
      <alignment horizontal="right" vertical="center" wrapText="1"/>
    </xf>
    <xf numFmtId="4" fontId="6" fillId="0" borderId="5" xfId="0" applyNumberFormat="1" applyFont="1" applyFill="1" applyBorder="1" applyAlignment="1">
      <alignment horizontal="right" vertical="center" wrapText="1"/>
    </xf>
    <xf numFmtId="166" fontId="8" fillId="0" borderId="6" xfId="1" applyNumberFormat="1" applyFont="1" applyFill="1" applyBorder="1" applyAlignment="1">
      <alignment horizontal="right" vertical="center" wrapText="1"/>
    </xf>
    <xf numFmtId="4" fontId="8" fillId="0" borderId="6" xfId="1" applyNumberFormat="1" applyFont="1" applyFill="1" applyBorder="1" applyAlignment="1">
      <alignment horizontal="right" vertical="center" wrapText="1"/>
    </xf>
    <xf numFmtId="168" fontId="8" fillId="0" borderId="3" xfId="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165" fontId="8" fillId="0" borderId="3" xfId="0" applyNumberFormat="1" applyFont="1" applyFill="1" applyBorder="1" applyAlignment="1">
      <alignment horizontal="left" vertical="center" wrapText="1"/>
    </xf>
    <xf numFmtId="4" fontId="10" fillId="0" borderId="3" xfId="0" applyNumberFormat="1" applyFont="1" applyFill="1" applyBorder="1" applyAlignment="1">
      <alignment horizontal="right" vertical="center" wrapText="1"/>
    </xf>
    <xf numFmtId="0" fontId="10" fillId="0" borderId="0" xfId="0" applyFont="1" applyFill="1" applyAlignment="1">
      <alignment horizontal="left" vertical="center"/>
    </xf>
    <xf numFmtId="0" fontId="19" fillId="0" borderId="3" xfId="0" applyFont="1" applyFill="1" applyBorder="1" applyAlignment="1">
      <alignment vertical="center" wrapText="1"/>
    </xf>
    <xf numFmtId="0" fontId="19" fillId="0" borderId="3" xfId="0" applyFont="1" applyFill="1" applyBorder="1" applyAlignment="1">
      <alignment horizontal="center" vertical="center" wrapText="1"/>
    </xf>
    <xf numFmtId="0" fontId="6" fillId="0" borderId="3" xfId="0" applyFont="1" applyFill="1" applyBorder="1" applyAlignment="1">
      <alignment horizontal="left" vertical="top" wrapText="1"/>
    </xf>
    <xf numFmtId="4" fontId="7" fillId="0" borderId="3" xfId="1" applyNumberFormat="1" applyFont="1" applyFill="1" applyBorder="1" applyAlignment="1">
      <alignment horizontal="right" vertical="center" wrapText="1"/>
    </xf>
    <xf numFmtId="0" fontId="10" fillId="0" borderId="3" xfId="0" applyFont="1" applyFill="1" applyBorder="1" applyAlignment="1">
      <alignment vertical="center" wrapText="1"/>
    </xf>
    <xf numFmtId="0" fontId="6" fillId="0" borderId="3" xfId="0" applyFont="1" applyFill="1" applyBorder="1" applyAlignment="1">
      <alignment vertical="center" wrapText="1"/>
    </xf>
    <xf numFmtId="0" fontId="18" fillId="0" borderId="3" xfId="0" applyFont="1" applyFill="1" applyBorder="1" applyAlignment="1">
      <alignment vertical="top" wrapText="1"/>
    </xf>
    <xf numFmtId="14" fontId="22" fillId="0" borderId="3" xfId="0" applyNumberFormat="1" applyFont="1" applyFill="1" applyBorder="1" applyAlignment="1">
      <alignment horizontal="right" vertical="center" wrapText="1"/>
    </xf>
    <xf numFmtId="0" fontId="31" fillId="0" borderId="3" xfId="0" applyFont="1" applyFill="1" applyBorder="1" applyAlignment="1">
      <alignment vertical="center" wrapText="1"/>
    </xf>
    <xf numFmtId="0" fontId="21" fillId="0" borderId="3" xfId="0" applyFont="1" applyFill="1" applyBorder="1" applyAlignment="1">
      <alignment vertical="top" wrapText="1"/>
    </xf>
    <xf numFmtId="1" fontId="6" fillId="0" borderId="3"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21" fillId="0" borderId="3" xfId="0"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right" vertical="center" wrapText="1"/>
    </xf>
    <xf numFmtId="4" fontId="6" fillId="0" borderId="3" xfId="0" applyNumberFormat="1" applyFont="1" applyFill="1" applyBorder="1"/>
    <xf numFmtId="4" fontId="6" fillId="0" borderId="3" xfId="0" applyNumberFormat="1" applyFont="1" applyFill="1" applyBorder="1" applyAlignment="1">
      <alignment horizontal="center" vertical="center"/>
    </xf>
    <xf numFmtId="0" fontId="22" fillId="0" borderId="3" xfId="0" applyFont="1" applyFill="1" applyBorder="1" applyAlignment="1">
      <alignment horizontal="left" vertical="center" wrapText="1"/>
    </xf>
    <xf numFmtId="4" fontId="6" fillId="0" borderId="3" xfId="1" applyNumberFormat="1" applyFont="1" applyFill="1" applyBorder="1" applyAlignment="1">
      <alignment horizontal="right" vertical="center" wrapText="1"/>
    </xf>
    <xf numFmtId="0" fontId="8" fillId="0" borderId="3" xfId="0" applyFont="1" applyFill="1" applyBorder="1" applyAlignment="1">
      <alignment horizontal="justify" vertical="top" wrapText="1"/>
    </xf>
    <xf numFmtId="4" fontId="8" fillId="0" borderId="11" xfId="1" applyNumberFormat="1" applyFont="1" applyFill="1" applyBorder="1" applyAlignment="1">
      <alignment horizontal="right" vertical="center" wrapText="1"/>
    </xf>
    <xf numFmtId="0" fontId="10" fillId="0" borderId="0" xfId="0" applyFont="1" applyFill="1"/>
    <xf numFmtId="4" fontId="7" fillId="0" borderId="3" xfId="0" applyNumberFormat="1" applyFont="1" applyFill="1" applyBorder="1" applyAlignment="1">
      <alignment horizontal="right" vertical="center" wrapText="1"/>
    </xf>
    <xf numFmtId="164" fontId="8" fillId="0" borderId="3" xfId="0" applyNumberFormat="1" applyFont="1" applyFill="1" applyBorder="1" applyAlignment="1">
      <alignment horizontal="right" vertical="center" wrapText="1"/>
    </xf>
    <xf numFmtId="3" fontId="8" fillId="0" borderId="3" xfId="0" applyNumberFormat="1" applyFont="1" applyFill="1" applyBorder="1" applyAlignment="1">
      <alignment horizontal="center" vertical="center" wrapText="1"/>
    </xf>
    <xf numFmtId="4" fontId="8" fillId="0" borderId="3" xfId="0" applyNumberFormat="1" applyFont="1" applyFill="1" applyBorder="1" applyAlignment="1">
      <alignment horizontal="left" vertical="center" wrapText="1"/>
    </xf>
    <xf numFmtId="4" fontId="6" fillId="0" borderId="3" xfId="0" applyNumberFormat="1" applyFont="1" applyFill="1" applyBorder="1" applyAlignment="1">
      <alignment horizontal="left" vertical="center" wrapText="1"/>
    </xf>
    <xf numFmtId="4" fontId="8" fillId="0" borderId="3" xfId="0" applyNumberFormat="1" applyFont="1" applyFill="1" applyBorder="1" applyAlignment="1">
      <alignment horizontal="left" vertical="top" wrapText="1"/>
    </xf>
    <xf numFmtId="166" fontId="8" fillId="0" borderId="3" xfId="1" applyNumberFormat="1" applyFont="1" applyFill="1" applyBorder="1" applyAlignment="1">
      <alignment horizontal="center" vertical="center" wrapText="1"/>
    </xf>
    <xf numFmtId="4" fontId="8" fillId="0" borderId="3" xfId="1" applyNumberFormat="1" applyFont="1" applyFill="1" applyBorder="1" applyAlignment="1">
      <alignment horizontal="center" vertical="center" wrapText="1"/>
    </xf>
    <xf numFmtId="0" fontId="34" fillId="0" borderId="3" xfId="0" applyFont="1" applyFill="1" applyBorder="1" applyAlignment="1">
      <alignment horizontal="left" vertical="center" wrapText="1"/>
    </xf>
    <xf numFmtId="4" fontId="6" fillId="0" borderId="3" xfId="0" applyNumberFormat="1" applyFont="1" applyFill="1" applyBorder="1" applyAlignment="1">
      <alignment vertical="center"/>
    </xf>
    <xf numFmtId="166" fontId="6" fillId="0" borderId="6" xfId="1" applyNumberFormat="1" applyFont="1" applyFill="1" applyBorder="1" applyAlignment="1">
      <alignment horizontal="right" vertical="center" wrapText="1"/>
    </xf>
    <xf numFmtId="166" fontId="6" fillId="0" borderId="8" xfId="1" applyNumberFormat="1" applyFont="1" applyFill="1" applyBorder="1" applyAlignment="1">
      <alignment horizontal="right" vertical="center" wrapText="1"/>
    </xf>
    <xf numFmtId="166" fontId="6" fillId="0" borderId="11" xfId="1" applyNumberFormat="1" applyFont="1" applyFill="1" applyBorder="1" applyAlignment="1">
      <alignment horizontal="right" vertical="center" wrapText="1"/>
    </xf>
    <xf numFmtId="0" fontId="17" fillId="0" borderId="3" xfId="0" applyFont="1" applyFill="1" applyBorder="1" applyAlignment="1">
      <alignment vertical="center" wrapText="1"/>
    </xf>
    <xf numFmtId="166" fontId="6" fillId="0" borderId="5" xfId="1"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0" fontId="0" fillId="0" borderId="0" xfId="0" applyFill="1" applyAlignment="1">
      <alignment wrapText="1"/>
    </xf>
    <xf numFmtId="4" fontId="11" fillId="0" borderId="13" xfId="0" applyNumberFormat="1" applyFont="1" applyFill="1" applyBorder="1" applyAlignment="1">
      <alignment horizontal="right" vertical="center" wrapText="1"/>
    </xf>
    <xf numFmtId="4" fontId="11" fillId="0" borderId="3" xfId="0" applyNumberFormat="1" applyFont="1" applyFill="1" applyBorder="1" applyAlignment="1">
      <alignment horizontal="right" vertical="center" wrapText="1"/>
    </xf>
    <xf numFmtId="4" fontId="11" fillId="0" borderId="0" xfId="0" applyNumberFormat="1" applyFont="1" applyFill="1" applyAlignment="1">
      <alignment horizontal="right" vertical="center" wrapText="1"/>
    </xf>
    <xf numFmtId="4" fontId="11" fillId="0" borderId="14" xfId="0" applyNumberFormat="1" applyFont="1" applyFill="1" applyBorder="1" applyAlignment="1">
      <alignment horizontal="right" vertical="center" wrapText="1"/>
    </xf>
    <xf numFmtId="0" fontId="11" fillId="0" borderId="3" xfId="0" applyFont="1" applyFill="1" applyBorder="1" applyAlignment="1">
      <alignment horizontal="right" vertical="center" wrapText="1"/>
    </xf>
    <xf numFmtId="0" fontId="11" fillId="0" borderId="0" xfId="0" applyFont="1" applyFill="1" applyAlignment="1">
      <alignment horizontal="right" vertical="center" wrapText="1"/>
    </xf>
    <xf numFmtId="0" fontId="8" fillId="0" borderId="3" xfId="0" applyFont="1" applyFill="1" applyBorder="1" applyAlignment="1">
      <alignment vertical="center" wrapText="1"/>
    </xf>
    <xf numFmtId="14" fontId="8" fillId="0" borderId="3" xfId="0" applyNumberFormat="1" applyFont="1" applyFill="1" applyBorder="1" applyAlignment="1">
      <alignment horizontal="right" vertical="center" wrapText="1"/>
    </xf>
    <xf numFmtId="0" fontId="8" fillId="0" borderId="0" xfId="0" applyFont="1" applyFill="1" applyAlignment="1">
      <alignment horizontal="left" vertical="center"/>
    </xf>
    <xf numFmtId="2" fontId="8" fillId="0" borderId="3" xfId="0" applyNumberFormat="1" applyFont="1" applyFill="1" applyBorder="1" applyAlignment="1">
      <alignment horizontal="right" vertical="center" wrapText="1"/>
    </xf>
    <xf numFmtId="166" fontId="8" fillId="0" borderId="0" xfId="0" applyNumberFormat="1" applyFont="1" applyFill="1"/>
    <xf numFmtId="166" fontId="6" fillId="0" borderId="0" xfId="0" applyNumberFormat="1" applyFont="1" applyFill="1"/>
    <xf numFmtId="166" fontId="6" fillId="0" borderId="3" xfId="0" applyNumberFormat="1" applyFont="1" applyFill="1" applyBorder="1" applyAlignment="1">
      <alignment vertical="center"/>
    </xf>
    <xf numFmtId="0" fontId="22" fillId="0" borderId="3" xfId="0" applyFont="1" applyFill="1" applyBorder="1" applyAlignment="1">
      <alignment horizontal="center" vertical="center" wrapText="1"/>
    </xf>
    <xf numFmtId="4" fontId="7" fillId="0" borderId="3" xfId="0" applyNumberFormat="1" applyFont="1" applyFill="1" applyBorder="1" applyAlignment="1">
      <alignment vertical="center" wrapText="1"/>
    </xf>
    <xf numFmtId="4" fontId="17" fillId="0" borderId="0" xfId="0" applyNumberFormat="1" applyFont="1" applyFill="1" applyAlignment="1">
      <alignment horizontal="right" vertical="center" wrapText="1"/>
    </xf>
    <xf numFmtId="4" fontId="17" fillId="0" borderId="3" xfId="0" applyNumberFormat="1" applyFont="1" applyFill="1" applyBorder="1" applyAlignment="1">
      <alignment horizontal="right" vertical="center" wrapText="1"/>
    </xf>
    <xf numFmtId="166" fontId="6" fillId="0" borderId="4" xfId="0" applyNumberFormat="1" applyFont="1" applyFill="1" applyBorder="1" applyAlignment="1">
      <alignment horizontal="right" vertical="center" wrapText="1"/>
    </xf>
    <xf numFmtId="0" fontId="6" fillId="0" borderId="3" xfId="0" applyFont="1" applyFill="1" applyBorder="1" applyAlignment="1">
      <alignment horizontal="left" vertical="justify" wrapText="1"/>
    </xf>
    <xf numFmtId="0" fontId="7" fillId="0" borderId="3" xfId="0" applyFont="1" applyFill="1" applyBorder="1" applyAlignment="1">
      <alignment vertical="center"/>
    </xf>
    <xf numFmtId="14" fontId="9" fillId="0" borderId="3" xfId="0" applyNumberFormat="1" applyFont="1" applyFill="1" applyBorder="1" applyAlignment="1">
      <alignment horizontal="right" vertical="center"/>
    </xf>
    <xf numFmtId="49" fontId="9" fillId="0" borderId="3" xfId="0" applyNumberFormat="1" applyFont="1" applyFill="1" applyBorder="1" applyAlignment="1">
      <alignment horizontal="right" vertical="center" wrapText="1"/>
    </xf>
    <xf numFmtId="14" fontId="11" fillId="0" borderId="3" xfId="0" applyNumberFormat="1" applyFont="1" applyFill="1" applyBorder="1" applyAlignment="1">
      <alignment horizontal="right" vertical="center" wrapText="1"/>
    </xf>
    <xf numFmtId="4" fontId="6" fillId="0" borderId="10" xfId="0" applyNumberFormat="1" applyFont="1" applyFill="1" applyBorder="1" applyAlignment="1">
      <alignment horizontal="right" vertical="center" wrapText="1"/>
    </xf>
    <xf numFmtId="0" fontId="4" fillId="0" borderId="0" xfId="0" applyFont="1" applyFill="1"/>
    <xf numFmtId="0" fontId="9" fillId="0" borderId="3" xfId="0" applyFont="1" applyFill="1" applyBorder="1" applyAlignment="1">
      <alignment horizontal="right" vertical="center" wrapText="1"/>
    </xf>
    <xf numFmtId="0" fontId="14"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4" fontId="6" fillId="0" borderId="6" xfId="0" applyNumberFormat="1" applyFont="1" applyFill="1" applyBorder="1" applyAlignment="1">
      <alignment horizontal="right" vertical="center" wrapText="1"/>
    </xf>
    <xf numFmtId="4" fontId="6" fillId="0" borderId="9" xfId="0" applyNumberFormat="1" applyFont="1" applyFill="1" applyBorder="1" applyAlignment="1">
      <alignment horizontal="right" vertical="center" wrapText="1"/>
    </xf>
    <xf numFmtId="0" fontId="19" fillId="0" borderId="3" xfId="0" applyFont="1" applyFill="1" applyBorder="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xf numFmtId="4" fontId="23" fillId="0" borderId="3" xfId="0" applyNumberFormat="1" applyFont="1" applyFill="1" applyBorder="1" applyAlignment="1">
      <alignment horizontal="right" vertical="center"/>
    </xf>
    <xf numFmtId="4" fontId="23" fillId="0" borderId="3" xfId="0" applyNumberFormat="1" applyFont="1" applyFill="1" applyBorder="1" applyAlignment="1">
      <alignment horizontal="center" vertical="center"/>
    </xf>
    <xf numFmtId="4" fontId="23" fillId="0" borderId="0" xfId="0" applyNumberFormat="1" applyFont="1" applyFill="1" applyAlignment="1">
      <alignment horizontal="right" vertical="center"/>
    </xf>
    <xf numFmtId="0" fontId="24" fillId="0" borderId="3" xfId="0" applyFont="1" applyFill="1" applyBorder="1" applyAlignment="1">
      <alignment vertical="center"/>
    </xf>
    <xf numFmtId="14" fontId="9" fillId="0" borderId="3" xfId="0" applyNumberFormat="1" applyFont="1" applyFill="1" applyBorder="1" applyAlignment="1">
      <alignment horizontal="center" vertical="center" wrapText="1"/>
    </xf>
    <xf numFmtId="0" fontId="24" fillId="0" borderId="3" xfId="0" applyFont="1" applyFill="1" applyBorder="1" applyAlignment="1">
      <alignment vertical="center" wrapText="1"/>
    </xf>
    <xf numFmtId="4" fontId="8" fillId="0" borderId="1" xfId="0" applyNumberFormat="1" applyFont="1" applyFill="1" applyBorder="1" applyAlignment="1">
      <alignment vertical="center" wrapText="1"/>
    </xf>
    <xf numFmtId="0" fontId="8" fillId="0" borderId="3" xfId="4" applyFont="1" applyFill="1" applyBorder="1" applyAlignment="1">
      <alignment horizontal="center" vertical="center" wrapText="1"/>
    </xf>
    <xf numFmtId="0" fontId="7" fillId="0" borderId="3" xfId="4" applyFont="1" applyFill="1" applyBorder="1" applyAlignment="1">
      <alignment vertical="center" wrapText="1"/>
    </xf>
    <xf numFmtId="0" fontId="21" fillId="0" borderId="3" xfId="4" applyFont="1" applyFill="1" applyBorder="1" applyAlignment="1">
      <alignment horizontal="left" vertical="center" wrapText="1"/>
    </xf>
    <xf numFmtId="0" fontId="8" fillId="0" borderId="3" xfId="4" applyFont="1" applyFill="1" applyBorder="1" applyAlignment="1">
      <alignment horizontal="justify" vertical="top" wrapText="1"/>
    </xf>
    <xf numFmtId="14" fontId="6" fillId="0" borderId="3" xfId="4" applyNumberFormat="1" applyFont="1" applyFill="1" applyBorder="1" applyAlignment="1">
      <alignment horizontal="center" vertical="center" wrapText="1"/>
    </xf>
    <xf numFmtId="165" fontId="6" fillId="0" borderId="3" xfId="4" applyNumberFormat="1" applyFont="1" applyFill="1" applyBorder="1" applyAlignment="1">
      <alignment horizontal="center" vertical="center" wrapText="1"/>
    </xf>
    <xf numFmtId="0" fontId="6" fillId="0" borderId="3" xfId="4" applyFont="1" applyFill="1" applyBorder="1" applyAlignment="1">
      <alignment horizontal="center" vertical="center" wrapText="1"/>
    </xf>
    <xf numFmtId="0" fontId="10" fillId="0" borderId="3" xfId="4" applyFont="1" applyFill="1" applyBorder="1" applyAlignment="1">
      <alignment horizontal="center" vertical="center" wrapText="1"/>
    </xf>
    <xf numFmtId="0" fontId="26" fillId="0" borderId="3" xfId="0" applyFont="1" applyFill="1" applyBorder="1" applyAlignment="1">
      <alignment horizontal="left" vertical="center" wrapText="1"/>
    </xf>
    <xf numFmtId="166" fontId="10" fillId="0" borderId="3" xfId="0" applyNumberFormat="1" applyFont="1" applyFill="1" applyBorder="1" applyAlignment="1">
      <alignment horizontal="center" vertical="center" wrapText="1"/>
    </xf>
    <xf numFmtId="0" fontId="6" fillId="0" borderId="3" xfId="0" applyFont="1" applyFill="1" applyBorder="1" applyAlignment="1">
      <alignment horizontal="justify" wrapText="1"/>
    </xf>
    <xf numFmtId="0" fontId="30" fillId="0" borderId="3" xfId="0" applyFont="1" applyFill="1" applyBorder="1" applyAlignment="1">
      <alignment horizontal="left" wrapText="1"/>
    </xf>
    <xf numFmtId="0" fontId="8" fillId="0" borderId="3" xfId="0" applyFont="1" applyFill="1" applyBorder="1" applyAlignment="1">
      <alignment horizontal="justify" wrapText="1"/>
    </xf>
    <xf numFmtId="0" fontId="17" fillId="0" borderId="3" xfId="0" applyFont="1" applyFill="1" applyBorder="1" applyAlignment="1">
      <alignment horizontal="left" vertical="center" wrapText="1"/>
    </xf>
    <xf numFmtId="166" fontId="35" fillId="0" borderId="15" xfId="1" applyNumberFormat="1" applyFont="1" applyFill="1" applyBorder="1" applyAlignment="1">
      <alignment horizontal="right" vertical="center" wrapText="1"/>
    </xf>
    <xf numFmtId="0" fontId="13" fillId="0" borderId="0" xfId="0" applyFont="1" applyFill="1"/>
    <xf numFmtId="0" fontId="0" fillId="0" borderId="0" xfId="0" applyFill="1" applyAlignment="1">
      <alignment horizontal="left"/>
    </xf>
    <xf numFmtId="0" fontId="0" fillId="0" borderId="0" xfId="0" applyFill="1" applyAlignment="1">
      <alignment horizontal="center"/>
    </xf>
    <xf numFmtId="166" fontId="6" fillId="0" borderId="4" xfId="1" applyNumberFormat="1" applyFont="1" applyFill="1" applyBorder="1" applyAlignment="1">
      <alignment horizontal="right" vertical="center" wrapText="1"/>
    </xf>
    <xf numFmtId="0" fontId="3" fillId="3" borderId="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4" fontId="3" fillId="3" borderId="3" xfId="0" applyNumberFormat="1" applyFont="1"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center" vertical="center" wrapText="1"/>
    </xf>
    <xf numFmtId="4" fontId="3" fillId="3" borderId="3" xfId="0" applyNumberFormat="1" applyFont="1" applyFill="1" applyBorder="1" applyAlignment="1">
      <alignment vertical="center" wrapText="1"/>
    </xf>
    <xf numFmtId="4" fontId="3" fillId="3" borderId="3" xfId="0" applyNumberFormat="1" applyFont="1" applyFill="1" applyBorder="1" applyAlignment="1">
      <alignment vertical="center" wrapText="1"/>
    </xf>
    <xf numFmtId="3" fontId="3" fillId="3" borderId="3" xfId="0" applyNumberFormat="1" applyFont="1" applyFill="1" applyBorder="1" applyAlignment="1">
      <alignment vertical="center" wrapText="1"/>
    </xf>
    <xf numFmtId="0" fontId="3" fillId="2" borderId="3" xfId="0"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horizontal="center" vertical="center" wrapText="1"/>
    </xf>
    <xf numFmtId="0" fontId="16" fillId="2" borderId="3" xfId="0" applyFont="1" applyFill="1" applyBorder="1" applyAlignment="1">
      <alignment vertical="center" wrapText="1"/>
    </xf>
    <xf numFmtId="3" fontId="3" fillId="2" borderId="3" xfId="0" applyNumberFormat="1" applyFont="1" applyFill="1" applyBorder="1" applyAlignment="1">
      <alignment vertical="center" wrapText="1"/>
    </xf>
    <xf numFmtId="4" fontId="6" fillId="0" borderId="3" xfId="0" applyNumberFormat="1" applyFont="1" applyFill="1" applyBorder="1" applyAlignment="1">
      <alignment vertical="center" wrapText="1"/>
    </xf>
    <xf numFmtId="3" fontId="6" fillId="0" borderId="3" xfId="0" applyNumberFormat="1" applyFont="1" applyFill="1" applyBorder="1" applyAlignment="1">
      <alignment vertical="center" wrapText="1"/>
    </xf>
    <xf numFmtId="0" fontId="0" fillId="0" borderId="0" xfId="0" applyFont="1" applyFill="1"/>
    <xf numFmtId="0" fontId="1" fillId="0" borderId="0" xfId="0" applyFont="1" applyFill="1"/>
    <xf numFmtId="1" fontId="8"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 fontId="10" fillId="0" borderId="0" xfId="0" applyNumberFormat="1" applyFont="1" applyFill="1" applyAlignment="1">
      <alignment vertical="center" wrapText="1"/>
    </xf>
    <xf numFmtId="0" fontId="1" fillId="0" borderId="3" xfId="0" applyFont="1" applyFill="1" applyBorder="1" applyAlignment="1">
      <alignment vertical="center" wrapText="1"/>
    </xf>
    <xf numFmtId="4" fontId="6" fillId="0" borderId="3" xfId="0" applyNumberFormat="1" applyFont="1" applyFill="1" applyBorder="1" applyAlignment="1">
      <alignment horizontal="center" vertical="center" wrapText="1"/>
    </xf>
    <xf numFmtId="4" fontId="0" fillId="0" borderId="0" xfId="0" applyNumberFormat="1" applyFont="1" applyFill="1"/>
    <xf numFmtId="4" fontId="0" fillId="0" borderId="0" xfId="0" applyNumberFormat="1" applyFont="1" applyFill="1" applyAlignment="1">
      <alignment horizontal="center" vertical="center" wrapText="1"/>
    </xf>
    <xf numFmtId="3" fontId="6" fillId="0" borderId="3" xfId="1" applyNumberFormat="1" applyFont="1" applyFill="1" applyBorder="1" applyAlignment="1">
      <alignment horizontal="right" vertical="center" wrapText="1"/>
    </xf>
    <xf numFmtId="0" fontId="0"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3" xfId="0" applyFont="1" applyFill="1" applyBorder="1" applyAlignment="1">
      <alignment horizontal="center" vertical="center" wrapText="1"/>
    </xf>
    <xf numFmtId="0" fontId="0" fillId="0" borderId="0" xfId="0" applyFont="1" applyFill="1" applyAlignment="1">
      <alignment wrapText="1"/>
    </xf>
    <xf numFmtId="0" fontId="0" fillId="0" borderId="3" xfId="0" applyFont="1" applyFill="1" applyBorder="1" applyAlignment="1">
      <alignment vertical="center" wrapText="1"/>
    </xf>
    <xf numFmtId="4" fontId="22" fillId="0" borderId="0" xfId="0" applyNumberFormat="1" applyFont="1" applyFill="1" applyAlignment="1">
      <alignment horizontal="right" vertical="center" wrapText="1"/>
    </xf>
    <xf numFmtId="4" fontId="22" fillId="0" borderId="3" xfId="0" applyNumberFormat="1" applyFont="1" applyFill="1" applyBorder="1" applyAlignment="1">
      <alignment horizontal="right" vertical="center" wrapText="1"/>
    </xf>
    <xf numFmtId="0" fontId="1" fillId="0" borderId="3" xfId="0" applyFont="1" applyFill="1" applyBorder="1" applyAlignment="1">
      <alignment horizontal="center" vertical="center" wrapText="1"/>
    </xf>
    <xf numFmtId="166" fontId="0" fillId="0" borderId="0" xfId="0" applyNumberFormat="1" applyFont="1" applyFill="1"/>
    <xf numFmtId="0" fontId="6" fillId="0" borderId="3" xfId="0" applyFont="1" applyFill="1" applyBorder="1" applyAlignment="1">
      <alignment horizontal="center" vertical="center"/>
    </xf>
    <xf numFmtId="0" fontId="0" fillId="0" borderId="3" xfId="0" applyFont="1" applyFill="1" applyBorder="1" applyAlignment="1">
      <alignment horizontal="right"/>
    </xf>
    <xf numFmtId="0" fontId="18" fillId="0" borderId="3" xfId="0" applyFont="1" applyFill="1" applyBorder="1" applyAlignment="1">
      <alignment horizontal="center" vertical="center" wrapText="1"/>
    </xf>
    <xf numFmtId="0" fontId="0" fillId="0" borderId="3" xfId="0" applyFont="1" applyFill="1" applyBorder="1"/>
    <xf numFmtId="0" fontId="0" fillId="0" borderId="3" xfId="0" applyFont="1" applyFill="1" applyBorder="1" applyAlignment="1">
      <alignment wrapText="1"/>
    </xf>
    <xf numFmtId="4" fontId="6" fillId="0" borderId="1" xfId="0" applyNumberFormat="1" applyFont="1" applyFill="1" applyBorder="1" applyAlignment="1">
      <alignment vertical="center" wrapText="1"/>
    </xf>
    <xf numFmtId="166" fontId="0" fillId="0" borderId="12" xfId="0" applyNumberFormat="1" applyFont="1" applyFill="1" applyBorder="1" applyAlignment="1">
      <alignment vertical="center"/>
    </xf>
    <xf numFmtId="0" fontId="0" fillId="0" borderId="3" xfId="0" applyFont="1" applyFill="1" applyBorder="1" applyAlignment="1">
      <alignment horizontal="left" vertical="center" wrapText="1"/>
    </xf>
    <xf numFmtId="0" fontId="1" fillId="0" borderId="3" xfId="0" applyFont="1" applyFill="1" applyBorder="1" applyAlignment="1">
      <alignment wrapText="1"/>
    </xf>
    <xf numFmtId="0" fontId="17" fillId="0" borderId="3" xfId="0" applyFont="1" applyFill="1" applyBorder="1" applyAlignment="1">
      <alignment vertical="center"/>
    </xf>
    <xf numFmtId="0" fontId="1" fillId="0" borderId="3" xfId="0" applyFont="1" applyFill="1" applyBorder="1" applyAlignment="1">
      <alignment horizontal="center" vertical="center"/>
    </xf>
    <xf numFmtId="0" fontId="0" fillId="0" borderId="3" xfId="0" applyFont="1" applyFill="1" applyBorder="1" applyAlignment="1">
      <alignment horizontal="left" vertical="top" wrapText="1"/>
    </xf>
    <xf numFmtId="14" fontId="0" fillId="0" borderId="3" xfId="0" applyNumberFormat="1" applyFont="1" applyFill="1" applyBorder="1" applyAlignment="1">
      <alignment horizontal="center" vertical="center"/>
    </xf>
    <xf numFmtId="0" fontId="0" fillId="0" borderId="0" xfId="0" applyFont="1" applyFill="1" applyAlignment="1">
      <alignment horizontal="left"/>
    </xf>
    <xf numFmtId="0" fontId="0" fillId="0" borderId="0" xfId="0" applyFont="1" applyFill="1" applyAlignment="1">
      <alignment horizontal="center"/>
    </xf>
    <xf numFmtId="0" fontId="7" fillId="0" borderId="3" xfId="0" applyFont="1" applyFill="1" applyBorder="1" applyAlignment="1">
      <alignment wrapText="1"/>
    </xf>
    <xf numFmtId="0" fontId="17" fillId="0" borderId="3" xfId="0" applyFont="1" applyFill="1" applyBorder="1" applyAlignment="1">
      <alignment wrapText="1"/>
    </xf>
    <xf numFmtId="0" fontId="1" fillId="0" borderId="3" xfId="0" applyFont="1" applyFill="1" applyBorder="1" applyAlignment="1">
      <alignment horizontal="left" vertical="center" wrapText="1"/>
    </xf>
    <xf numFmtId="0" fontId="17" fillId="0" borderId="3" xfId="0" applyFont="1" applyFill="1" applyBorder="1" applyAlignment="1">
      <alignment horizontal="justify" vertical="center"/>
    </xf>
    <xf numFmtId="0" fontId="38" fillId="0" borderId="3" xfId="0" applyFont="1" applyFill="1" applyBorder="1" applyAlignment="1">
      <alignment horizontal="center" vertical="center" wrapText="1"/>
    </xf>
    <xf numFmtId="0" fontId="19" fillId="0" borderId="3" xfId="4" applyFont="1" applyFill="1" applyBorder="1" applyAlignment="1">
      <alignment vertical="center" wrapText="1"/>
    </xf>
    <xf numFmtId="0" fontId="18" fillId="0" borderId="3" xfId="0" applyFont="1" applyFill="1" applyBorder="1" applyAlignment="1">
      <alignment vertical="center" wrapText="1"/>
    </xf>
    <xf numFmtId="0" fontId="21" fillId="0" borderId="3" xfId="0" applyFont="1" applyFill="1" applyBorder="1" applyAlignment="1">
      <alignment vertical="center" wrapText="1"/>
    </xf>
    <xf numFmtId="0" fontId="32" fillId="0" borderId="3" xfId="0" applyFont="1" applyFill="1" applyBorder="1" applyAlignment="1">
      <alignment horizontal="center" vertical="center" wrapText="1"/>
    </xf>
    <xf numFmtId="0" fontId="24" fillId="0" borderId="3" xfId="0" applyFont="1" applyFill="1" applyBorder="1" applyAlignment="1">
      <alignment horizontal="center" vertical="center" wrapText="1"/>
    </xf>
  </cellXfs>
  <cellStyles count="16">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1.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13" Type="http://schemas.openxmlformats.org/officeDocument/2006/relationships/revisionLog" Target="revisionLog13.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5" Type="http://schemas.openxmlformats.org/officeDocument/2006/relationships/revisionLog" Target="revisionLog1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 Id="rId14" Type="http://schemas.openxmlformats.org/officeDocument/2006/relationships/revisionLog" Target="revisionLog1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9F1BAF0-D94D-4426-A539-4C82603CC1DC}" diskRevisions="1" revisionId="789" version="15">
  <header guid="{6C8446B2-CDE4-4F02-A867-4E8B646A56B1}" dateTime="2019-05-03T13:38:42" maxSheetId="2" userName="vlad.pereteanu" r:id="rId1">
    <sheetIdMap count="1">
      <sheetId val="1"/>
    </sheetIdMap>
  </header>
  <header guid="{60F0938F-9045-46B5-9782-0690B02F06AB}" dateTime="2019-05-06T18:39:07" maxSheetId="2" userName="luminita.jipa" r:id="rId2" minRId="1" maxRId="114">
    <sheetIdMap count="1">
      <sheetId val="1"/>
    </sheetIdMap>
  </header>
  <header guid="{974B3CDC-8467-405E-A890-8A670B4C7AD4}" dateTime="2019-05-06T19:12:43" maxSheetId="2" userName="luminita.jipa" r:id="rId3" minRId="117" maxRId="175">
    <sheetIdMap count="1">
      <sheetId val="1"/>
    </sheetIdMap>
  </header>
  <header guid="{B59F729C-5F12-4881-A4F4-E0E294951E61}" dateTime="2019-05-06T19:19:07" maxSheetId="2" userName="luminita.jipa" r:id="rId4" minRId="176" maxRId="184">
    <sheetIdMap count="1">
      <sheetId val="1"/>
    </sheetIdMap>
  </header>
  <header guid="{0E6B8D14-2B85-488D-ACF6-A998D19D054E}" dateTime="2019-05-07T09:49:50" maxSheetId="2" userName="luminita.jipa" r:id="rId5">
    <sheetIdMap count="1">
      <sheetId val="1"/>
    </sheetIdMap>
  </header>
  <header guid="{C0FE8E9F-6547-44F5-B078-F5CFA6CC4030}" dateTime="2019-05-07T12:11:56" maxSheetId="2" userName="luminita.jipa" r:id="rId6" minRId="187" maxRId="197">
    <sheetIdMap count="1">
      <sheetId val="1"/>
    </sheetIdMap>
  </header>
  <header guid="{522D1CB3-5F3D-41E7-A923-BC52192B052C}" dateTime="2019-05-07T15:26:51" maxSheetId="2" userName="raluca.georgescu" r:id="rId7" minRId="198" maxRId="200">
    <sheetIdMap count="1">
      <sheetId val="1"/>
    </sheetIdMap>
  </header>
  <header guid="{BF349918-9B54-4599-8479-07EBEA09DBAA}" dateTime="2019-05-07T15:28:25" maxSheetId="2" userName="raluca.georgescu" r:id="rId8" minRId="203">
    <sheetIdMap count="1">
      <sheetId val="1"/>
    </sheetIdMap>
  </header>
  <header guid="{D544E8CB-4714-4AE0-A535-0A9AE76B70A9}" dateTime="2019-05-07T16:42:14" maxSheetId="2" userName="luminita.jipa" r:id="rId9" minRId="204" maxRId="262">
    <sheetIdMap count="1">
      <sheetId val="1"/>
    </sheetIdMap>
  </header>
  <header guid="{176D58A0-5988-43DB-8A0E-BFB5115B4A7D}" dateTime="2019-05-08T10:37:46" maxSheetId="2" userName="luminita.jipa" r:id="rId10" minRId="263" maxRId="268">
    <sheetIdMap count="1">
      <sheetId val="1"/>
    </sheetIdMap>
  </header>
  <header guid="{957B1E73-FF43-420E-894F-50248482B17B}" dateTime="2019-05-08T13:34:48" maxSheetId="2" userName="luminita.jipa" r:id="rId11">
    <sheetIdMap count="1">
      <sheetId val="1"/>
    </sheetIdMap>
  </header>
  <header guid="{CA68E285-02B8-4109-A556-598800E9806C}" dateTime="2019-05-08T16:18:01" maxSheetId="2" userName="georgiana.dobre" r:id="rId12">
    <sheetIdMap count="1">
      <sheetId val="1"/>
    </sheetIdMap>
  </header>
  <header guid="{894572A5-436D-4FEE-A3C9-08B9E2339826}" dateTime="2019-05-09T11:49:57" maxSheetId="2" userName="mircea.pavel" r:id="rId13" minRId="275" maxRId="348">
    <sheetIdMap count="1">
      <sheetId val="1"/>
    </sheetIdMap>
  </header>
  <header guid="{8DC9C0F0-EEDF-4F98-AB82-1A2F29664A0D}" dateTime="2019-05-09T11:56:58" maxSheetId="2" userName="mircea.pavel" r:id="rId14" minRId="351" maxRId="443">
    <sheetIdMap count="1">
      <sheetId val="1"/>
    </sheetIdMap>
  </header>
  <header guid="{59F1BAF0-D94D-4426-A539-4C82603CC1DC}" dateTime="2019-05-09T12:05:42" maxSheetId="2" userName="mircea.pavel" r:id="rId15" minRId="446" maxRId="78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J339:AK339" start="0" length="2147483647">
    <dxf>
      <font>
        <color rgb="FF00B050"/>
      </font>
    </dxf>
  </rfmt>
  <rfmt sheetId="1" sqref="AJ339:AK339" start="0" length="2147483647">
    <dxf>
      <font>
        <color auto="1"/>
      </font>
    </dxf>
  </rfmt>
  <rfmt sheetId="1" sqref="AJ339:AK339">
    <dxf>
      <fill>
        <patternFill patternType="solid">
          <bgColor rgb="FF00B050"/>
        </patternFill>
      </fill>
    </dxf>
  </rfmt>
  <rfmt sheetId="1" sqref="AJ339:AK339">
    <dxf>
      <fill>
        <patternFill>
          <bgColor rgb="FF92D050"/>
        </patternFill>
      </fill>
    </dxf>
  </rfmt>
  <rfmt sheetId="1" sqref="AJ343:AK343">
    <dxf>
      <fill>
        <patternFill patternType="solid">
          <bgColor rgb="FF92D050"/>
        </patternFill>
      </fill>
    </dxf>
  </rfmt>
  <rfmt sheetId="1" sqref="AJ344:AK344">
    <dxf>
      <fill>
        <patternFill patternType="solid">
          <bgColor rgb="FF92D050"/>
        </patternFill>
      </fill>
    </dxf>
  </rfmt>
  <rfmt sheetId="1" sqref="AJ345:AK345">
    <dxf>
      <fill>
        <patternFill patternType="solid">
          <bgColor rgb="FF92D050"/>
        </patternFill>
      </fill>
    </dxf>
  </rfmt>
  <rfmt sheetId="1" sqref="AJ348:AK348">
    <dxf>
      <fill>
        <patternFill patternType="solid">
          <bgColor rgb="FF92D050"/>
        </patternFill>
      </fill>
    </dxf>
  </rfmt>
  <rfmt sheetId="1" sqref="AJ349:AK349">
    <dxf>
      <fill>
        <patternFill patternType="solid">
          <bgColor rgb="FF92D050"/>
        </patternFill>
      </fill>
    </dxf>
  </rfmt>
  <rfmt sheetId="1" sqref="AJ351:AK351">
    <dxf>
      <fill>
        <patternFill patternType="solid">
          <bgColor rgb="FF92D050"/>
        </patternFill>
      </fill>
    </dxf>
  </rfmt>
  <rfmt sheetId="1" sqref="AJ352:AK352">
    <dxf>
      <fill>
        <patternFill patternType="solid">
          <bgColor rgb="FF92D050"/>
        </patternFill>
      </fill>
    </dxf>
  </rfmt>
  <rfmt sheetId="1" sqref="AJ353:AK353">
    <dxf>
      <fill>
        <patternFill patternType="solid">
          <bgColor rgb="FF92D050"/>
        </patternFill>
      </fill>
    </dxf>
  </rfmt>
  <rcc rId="263" sId="1">
    <oc r="AJ354">
      <f>85600-10278.92+91440.93+64880.29+85600</f>
    </oc>
    <nc r="AJ354">
      <f>85600-10278.92+91440.93+64880.29+85600</f>
    </nc>
  </rcc>
  <rfmt sheetId="1" sqref="AJ354:AK354">
    <dxf>
      <fill>
        <patternFill patternType="solid">
          <bgColor rgb="FF92D050"/>
        </patternFill>
      </fill>
    </dxf>
  </rfmt>
  <rfmt sheetId="1" sqref="AJ356:AK356">
    <dxf>
      <fill>
        <patternFill patternType="solid">
          <bgColor rgb="FF92D050"/>
        </patternFill>
      </fill>
    </dxf>
  </rfmt>
  <rfmt sheetId="1" sqref="AJ357:AK357">
    <dxf>
      <fill>
        <patternFill patternType="solid">
          <bgColor rgb="FF92D050"/>
        </patternFill>
      </fill>
    </dxf>
  </rfmt>
  <rfmt sheetId="1" sqref="AJ358:AK358">
    <dxf>
      <fill>
        <patternFill patternType="solid">
          <bgColor rgb="FF92D050"/>
        </patternFill>
      </fill>
    </dxf>
  </rfmt>
  <rfmt sheetId="1" sqref="AJ359">
    <dxf>
      <fill>
        <patternFill patternType="solid">
          <bgColor rgb="FF92D050"/>
        </patternFill>
      </fill>
    </dxf>
  </rfmt>
  <rfmt sheetId="1" sqref="AK359">
    <dxf>
      <fill>
        <patternFill patternType="solid">
          <bgColor rgb="FF92D050"/>
        </patternFill>
      </fill>
    </dxf>
  </rfmt>
  <rfmt sheetId="1" sqref="AK360">
    <dxf>
      <fill>
        <patternFill patternType="solid">
          <bgColor rgb="FF92D050"/>
        </patternFill>
      </fill>
    </dxf>
  </rfmt>
  <rfmt sheetId="1" sqref="AJ360">
    <dxf>
      <fill>
        <patternFill patternType="solid">
          <bgColor rgb="FF92D050"/>
        </patternFill>
      </fill>
    </dxf>
  </rfmt>
  <rfmt sheetId="1" sqref="AJ361:AK361">
    <dxf>
      <fill>
        <patternFill patternType="solid">
          <bgColor rgb="FF92D050"/>
        </patternFill>
      </fill>
    </dxf>
  </rfmt>
  <rfmt sheetId="1" sqref="AJ362:AK362">
    <dxf>
      <fill>
        <patternFill patternType="solid">
          <bgColor rgb="FF92D050"/>
        </patternFill>
      </fill>
    </dxf>
  </rfmt>
  <rfmt sheetId="1" sqref="AJ363:AK363">
    <dxf>
      <fill>
        <patternFill patternType="solid">
          <bgColor rgb="FF92D050"/>
        </patternFill>
      </fill>
    </dxf>
  </rfmt>
  <rfmt sheetId="1" sqref="AJ364:AK364">
    <dxf>
      <fill>
        <patternFill patternType="solid">
          <bgColor rgb="FF92D050"/>
        </patternFill>
      </fill>
    </dxf>
  </rfmt>
  <rfmt sheetId="1" sqref="AJ365:AK365">
    <dxf>
      <fill>
        <patternFill patternType="solid">
          <bgColor rgb="FF92D050"/>
        </patternFill>
      </fill>
    </dxf>
  </rfmt>
  <rfmt sheetId="1" sqref="AJ366:AK366">
    <dxf>
      <fill>
        <patternFill patternType="solid">
          <bgColor rgb="FF92D050"/>
        </patternFill>
      </fill>
    </dxf>
  </rfmt>
  <rfmt sheetId="1" sqref="AJ367:AK367">
    <dxf>
      <fill>
        <patternFill patternType="solid">
          <bgColor rgb="FF92D050"/>
        </patternFill>
      </fill>
    </dxf>
  </rfmt>
  <rfmt sheetId="1" sqref="AJ368:AK368">
    <dxf>
      <fill>
        <patternFill patternType="solid">
          <bgColor rgb="FF92D050"/>
        </patternFill>
      </fill>
    </dxf>
  </rfmt>
  <rcc rId="264" sId="1">
    <oc r="AJ369">
      <f>99790.4-11343.79+72694.84+14258.38+9077.47+175834.51</f>
    </oc>
    <nc r="AJ369">
      <f>99790.4-11343.79+72694.94+14258.38+9077.47+175834.51</f>
    </nc>
  </rcc>
  <rfmt sheetId="1" sqref="AJ369:AK369">
    <dxf>
      <fill>
        <patternFill patternType="solid">
          <bgColor rgb="FF92D050"/>
        </patternFill>
      </fill>
    </dxf>
  </rfmt>
  <rfmt sheetId="1" sqref="AJ370:AK370">
    <dxf>
      <fill>
        <patternFill patternType="solid">
          <bgColor rgb="FF92D050"/>
        </patternFill>
      </fill>
    </dxf>
  </rfmt>
  <rfmt sheetId="1" sqref="AJ371:AK371">
    <dxf>
      <fill>
        <patternFill patternType="solid">
          <bgColor rgb="FF92D050"/>
        </patternFill>
      </fill>
    </dxf>
  </rfmt>
  <rfmt sheetId="1" sqref="AJ373:AK373">
    <dxf>
      <fill>
        <patternFill patternType="solid">
          <bgColor rgb="FF92D050"/>
        </patternFill>
      </fill>
    </dxf>
  </rfmt>
  <rfmt sheetId="1" sqref="AJ374:AK374">
    <dxf>
      <fill>
        <patternFill patternType="solid">
          <bgColor rgb="FF92D050"/>
        </patternFill>
      </fill>
    </dxf>
  </rfmt>
  <rfmt sheetId="1" sqref="AJ375:AK375">
    <dxf>
      <fill>
        <patternFill patternType="solid">
          <bgColor rgb="FF92D050"/>
        </patternFill>
      </fill>
    </dxf>
  </rfmt>
  <rfmt sheetId="1" sqref="AJ377:AK377">
    <dxf>
      <fill>
        <patternFill patternType="solid">
          <bgColor rgb="FF92D050"/>
        </patternFill>
      </fill>
    </dxf>
  </rfmt>
  <rfmt sheetId="1" sqref="AJ378:AK378">
    <dxf>
      <fill>
        <patternFill patternType="solid">
          <bgColor rgb="FF92D050"/>
        </patternFill>
      </fill>
    </dxf>
  </rfmt>
  <rfmt sheetId="1" sqref="AJ379:AK379">
    <dxf>
      <fill>
        <patternFill patternType="solid">
          <bgColor rgb="FF92D050"/>
        </patternFill>
      </fill>
    </dxf>
  </rfmt>
  <rfmt sheetId="1" sqref="AJ380:AK380">
    <dxf>
      <fill>
        <patternFill patternType="solid">
          <bgColor rgb="FF92D050"/>
        </patternFill>
      </fill>
    </dxf>
  </rfmt>
  <rfmt sheetId="1" sqref="AJ381:AK381">
    <dxf>
      <fill>
        <patternFill patternType="solid">
          <bgColor rgb="FF92D050"/>
        </patternFill>
      </fill>
    </dxf>
  </rfmt>
  <rfmt sheetId="1" sqref="AJ382:AK382">
    <dxf>
      <fill>
        <patternFill patternType="solid">
          <bgColor rgb="FF92D050"/>
        </patternFill>
      </fill>
    </dxf>
  </rfmt>
  <rfmt sheetId="1" sqref="AJ384:AK384">
    <dxf>
      <fill>
        <patternFill patternType="solid">
          <bgColor rgb="FF92D050"/>
        </patternFill>
      </fill>
    </dxf>
  </rfmt>
  <rfmt sheetId="1" sqref="AJ385:AK385">
    <dxf>
      <fill>
        <patternFill patternType="solid">
          <bgColor rgb="FF92D050"/>
        </patternFill>
      </fill>
    </dxf>
  </rfmt>
  <rfmt sheetId="1" sqref="AJ386:AK386">
    <dxf>
      <fill>
        <patternFill patternType="solid">
          <bgColor rgb="FF92D050"/>
        </patternFill>
      </fill>
    </dxf>
  </rfmt>
  <rfmt sheetId="1" sqref="AJ387:AK387">
    <dxf>
      <fill>
        <patternFill patternType="solid">
          <bgColor rgb="FF92D050"/>
        </patternFill>
      </fill>
    </dxf>
  </rfmt>
  <rcc rId="265" sId="1" numFmtId="4">
    <nc r="AJ394">
      <v>0</v>
    </nc>
  </rcc>
  <rcc rId="266" sId="1" numFmtId="4">
    <nc r="AK394">
      <v>0</v>
    </nc>
  </rcc>
  <rfmt sheetId="1" sqref="AJ260:AK260 AJ264:AK271 AJ273:AK282 AJ286:AK287 AJ289:AK289 AJ291:AK295 AJ298:AK299 AJ302:AK313 AJ315:AK315 AJ318:AK319 AJ321:AK324 AJ326:AK327 AJ329:AK339 AJ343:AK345 AJ348:AK349 AJ351:AK354 AJ356:AK371 AJ373:AK375 AJ377:AK382 AJ384:AK387 AJ394:AK394">
    <dxf>
      <fill>
        <patternFill>
          <bgColor theme="0"/>
        </patternFill>
      </fill>
    </dxf>
  </rfmt>
  <rcc rId="267" sId="1">
    <oc r="AJ406">
      <f>SUMIFS(AJ$7:AJ$400,$F$7:$F$400,$F406)</f>
    </oc>
    <nc r="AJ406">
      <f>SUMIFS(AJ$7:AJ$400,$F$7:$F$400,$F406)</f>
    </nc>
  </rcc>
  <rcc rId="268" sId="1">
    <oc r="AL3" t="inlineStr">
      <is>
        <t>29,03,2019</t>
      </is>
    </oc>
    <nc r="AL3" t="inlineStr">
      <is>
        <t>30,04,2019</t>
      </is>
    </nc>
  </rcc>
  <rcv guid="{A87F3E0E-3A8E-4B82-8170-33752259B7DB}" action="delete"/>
  <rdn rId="0" localSheetId="1" customView="1" name="Z_A87F3E0E_3A8E_4B82_8170_33752259B7DB_.wvu.PrintArea" hidden="1" oldHidden="1">
    <formula>Sheet1!$A$1:$AL$427</formula>
    <oldFormula>Sheet1!$A$1:$AL$427</oldFormula>
  </rdn>
  <rdn rId="0" localSheetId="1" customView="1" name="Z_A87F3E0E_3A8E_4B82_8170_33752259B7DB_.wvu.FilterData" hidden="1" oldHidden="1">
    <formula>Sheet1!$A$6:$AL$427</formula>
    <oldFormula>Sheet1!$A$6:$AL$427</oldFormula>
  </rdn>
  <rcv guid="{A87F3E0E-3A8E-4B82-8170-33752259B7DB}"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Sheet1!$A$1:$AL$427</formula>
    <oldFormula>Sheet1!$A$1:$AL$427</oldFormula>
  </rdn>
  <rdn rId="0" localSheetId="1" customView="1" name="Z_A87F3E0E_3A8E_4B82_8170_33752259B7DB_.wvu.FilterData" hidden="1" oldHidden="1">
    <formula>Sheet1!$A$6:$AL$427</formula>
    <oldFormula>Sheet1!$A$6:$AL$427</oldFormula>
  </rdn>
  <rcv guid="{A87F3E0E-3A8E-4B82-8170-33752259B7DB}" action="add"/>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C408A2F1-296F-4EAD-B15B-336D73846FDD}" action="delete"/>
  <rdn rId="0" localSheetId="1" customView="1" name="Z_C408A2F1_296F_4EAD_B15B_336D73846FDD_.wvu.PrintArea" hidden="1" oldHidden="1">
    <formula>Sheet1!$A$1:$AL$427</formula>
    <oldFormula>Sheet1!$A$1:$AL$427</oldFormula>
  </rdn>
  <rdn rId="0" localSheetId="1" customView="1" name="Z_C408A2F1_296F_4EAD_B15B_336D73846FDD_.wvu.FilterData" hidden="1" oldHidden="1">
    <formula>Sheet1!$A$1:$AL$399</formula>
    <oldFormula>Sheet1!$A$1:$AL$399</oldFormula>
  </rdn>
  <rcv guid="{C408A2F1-296F-4EAD-B15B-336D73846FDD}" action="add"/>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75" sId="1" ref="AL1:AL1048576" action="deleteCol">
    <undo index="65535" exp="area" ref3D="1" dr="$A$1:$AL$427" dn="Print_Area" sId="1"/>
    <undo index="65535" exp="area" ref3D="1" dr="$A$1:$AL$399" dn="Z_0781B6C2_B440_4971_9809_BD16245A70FD_.wvu.FilterData" sId="1"/>
    <undo index="65535" exp="area" ref3D="1" dr="$A$6:$AL$427" dn="Z_2A26C971_CCE6_49C7_89EC_0B2699E5DD98_.wvu.FilterData" sId="1"/>
    <undo index="65535" exp="area" ref3D="1" dr="$A$6:$AL$427" dn="Z_2547C3D7_22F7_4CAF_8E48_C8F3425DB942_.wvu.FilterData" sId="1"/>
    <undo index="65535" exp="area" ref3D="1" dr="$A$1:$AL$427" dn="Z_0781B6C2_B440_4971_9809_BD16245A70FD_.wvu.PrintArea" sId="1"/>
    <undo index="65535" exp="area" ref3D="1" dr="$A$1:$AL$399" dn="_FilterDatabase" sId="1"/>
    <undo index="65535" exp="area" ref3D="1" dr="$A$6:$AL$427" dn="Z_0585DD1B_89D4_4278_953B_FA6D57DCCE82_.wvu.FilterData" sId="1"/>
    <undo index="65535" exp="area" ref3D="1" dr="$A$6:$AL$427" dn="Z_2355B1FA_E7E3_44CD_A529_24812589AA28_.wvu.FilterData" sId="1"/>
    <undo index="65535" exp="area" ref3D="1" dr="$A$6:$AL$427" dn="Z_0A043D96_6DF8_4E40_9D1E_818A39BAFD81_.wvu.FilterData" sId="1"/>
    <undo index="65535" exp="area" ref3D="1" dr="$A$3:$AL$399" dn="Z_250231BB_5F02_4B46_B1CA_B904A9B40BA2_.wvu.FilterData" sId="1"/>
    <undo index="65535" exp="area" ref3D="1" dr="$A$6:$AL$427" dn="Z_17F4A6A1_469E_46FB_A3A0_041FC3712E3B_.wvu.FilterData" sId="1"/>
    <undo index="65535" exp="area" ref3D="1" dr="$A$6:$AL$427" dn="Z_2E491347_3C24_4F24_80DE_5DC574AA2438_.wvu.FilterData" sId="1"/>
    <undo index="65535" exp="area" ref3D="1" dr="$A$6:$AL$427" dn="Z_38C68E87_361F_434A_8BE4_BA2AF4CB3868_.wvu.FilterData" sId="1"/>
    <undo index="65535" exp="area" ref3D="1" dr="$A$1:$AL$427" dn="Z_36624B2D_80F9_4F79_AC4A_B3547C36F23F_.wvu.PrintArea" sId="1"/>
    <undo index="65535" exp="area" ref3D="1" dr="$A$6:$AL$427" dn="Z_305BEEB9_C99E_4E52_A4AB_56EA1595A366_.wvu.FilterData" sId="1"/>
    <undo index="65535" exp="area" ref3D="1" dr="$A$6:$AL$427" dn="Z_377DA8E3_6D61_4CAB_8EDD_2C41FF81A19E_.wvu.FilterData" sId="1"/>
    <undo index="65535" exp="area" ref3D="1" dr="$A$1:$AL$399" dn="Z_36624B2D_80F9_4F79_AC4A_B3547C36F23F_.wvu.FilterData" sId="1"/>
    <undo index="65535" exp="area" ref3D="1" dr="$A$6:$AL$427" dn="Z_34BB42D3_88F0_437E_91ED_3E3C369B9525_.wvu.FilterData" sId="1"/>
    <undo index="65535" exp="area" ref3D="1" dr="$A$6:$AL$427" dn="Z_324E461A_DC75_4814_87BA_41F170D0ED0B_.wvu.FilterData" sId="1"/>
    <undo index="65535" exp="area" ref3D="1" dr="$A$1:$AL$427" dn="Z_2C296388_EDB5_4F1F_B0F4_90EC07CCD947_.wvu.PrintArea" sId="1"/>
    <undo index="65535" exp="area" ref3D="1" dr="$A$6:$AL$427" dn="Z_41AA4E5D_9625_4478_B720_2BD6AE34E699_.wvu.FilterData" sId="1"/>
    <undo index="65535" exp="area" ref3D="1" dr="$A$1:$AL$427" dn="Z_3AFE79CE_CE75_447D_8C73_1AE63A224CBA_.wvu.PrintArea" sId="1"/>
    <undo index="65535" exp="area" ref3D="1" dr="$A$1:$AL$399" dn="Z_471339A8_E0FA_4CA1_8194_04936068CF02_.wvu.FilterData" sId="1"/>
    <undo index="65535" exp="area" ref3D="1" dr="$A$6:$AL$427" dn="Z_3E7AD119_0031_4735_857B_FBC0C47AB231_.wvu.FilterData" sId="1"/>
    <undo index="65535" exp="area" ref3D="1" dr="$A$1:$AL$289" dn="Z_4179C3D9_D1C3_46CD_B643_627525757C5E_.wvu.FilterData" sId="1"/>
    <undo index="65535" exp="area" ref3D="1" dr="$A$6:$AL$427" dn="Z_529F67B3_DE0D_4FDC_BFEA_8F16107265EB_.wvu.FilterData" sId="1"/>
    <undo index="65535" exp="area" ref3D="1" dr="$A$6:$AL$427" dn="Z_3E15816F_2EBF_42BD_89BB_84C7827E4C28_.wvu.FilterData" sId="1"/>
    <undo index="65535" exp="area" ref3D="1" dr="$A$6:$AL$427" dn="Z_4FDB167B_D56E_45D4_B120_847D0871AA6B_.wvu.FilterData" sId="1"/>
    <undo index="65535" exp="area" ref3D="1" dr="$A$1:$AL$380" dn="Z_4AAB8139_F2B6_43E5_8C9F_E607BD4F44E4_.wvu.FilterData" sId="1"/>
    <undo index="65535" exp="area" ref3D="1" dr="$A$6:$AL$427" dn="Z_417D6CD8_690F_495B_A03E_2A89D52B6CE8_.wvu.FilterData" sId="1"/>
    <undo index="65535" exp="area" ref3D="1" dr="$A$6:$AL$427" dn="Z_3AFE79CE_CE75_447D_8C73_1AE63A224CBA_.wvu.FilterData" sId="1"/>
    <undo index="65535" exp="area" ref3D="1" dr="$A$1:$AL$427" dn="Z_65B035E3_87FA_46C5_996E_864F2C8D0EBC_.wvu.PrintArea" sId="1"/>
    <undo index="65535" exp="area" ref3D="1" dr="$A$1:$AL$399" dn="Z_5AAA4DFE_88B1_4674_95ED_5FCD7A50BC22_.wvu.FilterData" sId="1"/>
    <undo index="65535" exp="area" ref3D="1" dr="$A$6:$AL$427" dn="Z_5A66C3D0_FC57_4AA7_B0C6_C5E9A7DE2A79_.wvu.FilterData" sId="1"/>
    <undo index="65535" exp="area" ref3D="1" dr="$A$1:$AL$427" dn="Z_53ED3D47_B2C0_43A1_9A1E_F030D529F74C_.wvu.PrintArea" sId="1"/>
    <undo index="65535" exp="area" ref3D="1" dr="$A$6:$AL$427" dn="Z_53ED3D47_B2C0_43A1_9A1E_F030D529F74C_.wvu.FilterData" sId="1"/>
    <undo index="65535" exp="area" ref3D="1" dr="$A$1:$AL$427" dn="Z_DB51BB9F_5710_40B0_80E7_39B059BFD11D_.wvu.PrintArea" sId="1"/>
    <undo index="65535" exp="area" ref3D="1" dr="$A$1:$AL$427" dn="Z_FE50EAC0_52A5_4C33_B973_65E93D03D3EA_.wvu.PrintArea" sId="1"/>
    <undo index="65535" exp="area" ref3D="1" dr="$A$6:$AL$427" dn="Z_EFE45138_A2B3_46EB_8A69_D9745D73FBF5_.wvu.FilterData" sId="1"/>
    <undo index="65535" exp="area" ref3D="1" dr="$A$1:$AL$427" dn="Z_EF10298D_3F59_43F1_9A86_8C1CCA3B5D93_.wvu.PrintArea" sId="1"/>
    <undo index="65535" exp="area" ref3D="1" dr="$A$6:$AL$427" dn="Z_EB0F2E6A_FA33_479E_9A47_8E3494FBB4DE_.wvu.FilterData" sId="1"/>
    <undo index="65535" exp="area" ref3D="1" dr="$A$3:$AL$289" dn="Z_E64C6006_DE37_44CA_8083_01C511E323D9_.wvu.FilterData" sId="1"/>
    <undo index="65535" exp="area" ref3D="1" dr="$A$6:$AL$427" dn="Z_DE09B69C_7EEF_4060_8E06_F7DEC4B96D7E_.wvu.FilterData" sId="1"/>
    <undo index="65535" exp="area" ref3D="1" dr="$A$1:$AL$427" dn="Z_EA64E7D7_BA48_4965_B650_778AE412FE0C_.wvu.PrintArea" sId="1"/>
    <undo index="65535" exp="area" ref3D="1" dr="$A$1:$AL$399" dn="Z_FE50EAC0_52A5_4C33_B973_65E93D03D3EA_.wvu.FilterData" sId="1"/>
    <undo index="65535" exp="area" ref3D="1" dr="$A$6:$AL$427" dn="Z_F52D90D4_508D_43B6_8295_6D179E5F0FEB_.wvu.FilterData" sId="1"/>
    <undo index="65535" exp="area" ref3D="1" dr="$A$1:$AL$427" dn="Z_EEA37434_2D22_478B_B49F_C3E8CD4AC2E1_.wvu.PrintArea" sId="1"/>
    <undo index="65535" exp="area" ref3D="1" dr="$A$6:$AL$427" dn="Z_DD93CA86_AFD6_4C47_828D_70472BFCD288_.wvu.FilterData" sId="1"/>
    <undo index="65535" exp="area" ref3D="1" dr="$A$6:$AL$427" dn="Z_F952A18B_3430_4F65_89F2_B7C17998F981_.wvu.FilterData" sId="1"/>
    <undo index="65535" exp="area" ref3D="1" dr="$A$1:$AL$427" dn="Z_EB0F2E6A_FA33_479E_9A47_8E3494FBB4DE_.wvu.PrintArea" sId="1"/>
    <undo index="65535" exp="area" ref3D="1" dr="$A$6:$AL$427" dn="Z_DB43929D_F4B7_43FF_975F_960476D189E8_.wvu.FilterData" sId="1"/>
    <undo index="65535" exp="area" ref3D="1" dr="$A$6:$AL$427" dn="Z_EF10298D_3F59_43F1_9A86_8C1CCA3B5D93_.wvu.FilterData" sId="1"/>
    <undo index="65535" exp="area" ref3D="1" dr="$A$1:$AL$380" dn="Z_FFC44E67_8559_4D31_893D_BF5BA4229E04_.wvu.FilterData" sId="1"/>
    <undo index="65535" exp="area" ref3D="1" dr="$A$1:$AL$427" dn="Z_901F9774_8BE7_424D_87C2_1026F3FA2E93_.wvu.PrintArea" sId="1"/>
    <undo index="65535" exp="area" ref3D="1" dr="$A$1:$AL$427" dn="Z_A87F3E0E_3A8E_4B82_8170_33752259B7DB_.wvu.PrintArea" sId="1"/>
    <undo index="65535" exp="area" ref3D="1" dr="$A$6:$AL$427" dn="Z_89F20599_320E_4C2A_9159_8E9F2F24F61C_.wvu.FilterData" sId="1"/>
    <undo index="65535" exp="area" ref3D="1" dr="$A$1:$AL$427" dn="Z_9EA5E3FA_46F1_4729_828C_4A08518018C1_.wvu.PrintArea" sId="1"/>
    <undo index="65535" exp="area" ref3D="1" dr="$A$1:$AL$427" dn="Z_A5B1481C_EF26_486A_984F_85CDDC2FD94F_.wvu.PrintArea" sId="1"/>
    <undo index="65535" exp="area" ref3D="1" dr="$A$1:$AL$399" dn="Z_C408A2F1_296F_4EAD_B15B_336D73846FDD_.wvu.FilterData" sId="1"/>
    <undo index="65535" exp="area" ref3D="1" dr="$A$3:$AL$289" dn="Z_A3134A53_5204_4FFF_BA84_3528D3179C0C_.wvu.FilterData" sId="1"/>
    <undo index="65535" exp="area" ref3D="1" dr="$A$6:$AL$427" dn="Z_7D2F4374_D571_49E4_B659_129D2AFDC43C_.wvu.FilterData" sId="1"/>
    <undo index="65535" exp="area" ref3D="1" dr="$A$1:$AL$427" dn="Z_C3502361_AD2C_4705_878B_D12169ED60B1_.wvu.PrintArea" sId="1"/>
    <undo index="65535" exp="area" ref3D="1" dr="$A$1:$AL$427" dn="Z_7C1B4D6D_D666_48DD_AB17_E00791B6F0B6_.wvu.PrintArea" sId="1"/>
    <undo index="65535" exp="area" ref3D="1" dr="$A$6:$AL$427" dn="Z_C4E44235_F714_4BCE_B2B0_F4813D3BDF91_.wvu.FilterData" sId="1"/>
    <undo index="65535" exp="area" ref3D="1" dr="$A$1:$AL$427" dn="Z_9980B309_0131_4577_BF29_212714399FDF_.wvu.PrintArea" sId="1"/>
    <undo index="65535" exp="area" ref3D="1" dr="$A$6:$AL$427" dn="Z_C3502361_AD2C_4705_878B_D12169ED60B1_.wvu.FilterData" sId="1"/>
    <undo index="65535" exp="area" ref3D="1" dr="$A$6:$AL$427" dn="Z_902D3CAF_0577_4A3F_A86A_C01FD8CA4695_.wvu.FilterData" sId="1"/>
    <undo index="65535" exp="area" ref3D="1" dr="$A$6:$AL$427" dn="Z_91199DA1_59E7_4345_8CB7_A1085C901326_.wvu.FilterData" sId="1"/>
    <undo index="65535" exp="area" ref3D="1" dr="$A$6:$AL$427" dn="Z_831F7439_6937_483F_B601_184FEF5CECFD_.wvu.FilterData" sId="1"/>
    <undo index="65535" exp="area" ref3D="1" dr="$A$1:$AL$23" dn="Z_84FB199A_D56E_4FDD_AC4A_70CE86CD87BC_.wvu.FilterData" sId="1"/>
    <undo index="65535" exp="area" ref3D="1" dr="$A$6:$AL$427" dn="Z_9F268523_731B_48FE_86AA_1A6382332A83_.wvu.FilterData" sId="1"/>
    <undo index="65535" exp="area" ref3D="1" dr="$A$1:$AL$427" dn="Z_905D93EA_5662_45AB_8995_A9908B3E5D52_.wvu.PrintArea" sId="1"/>
    <undo index="65535" exp="area" ref3D="1" dr="$A$1:$AL$427" dn="Z_65C35D6D_934F_4431_BA92_90255FC17BA4_.wvu.PrintArea" sId="1"/>
    <undo index="65535" exp="area" ref3D="1" dr="$A$6:$AL$427" dn="Z_923E7374_9C36_4380_9E0A_313EA2F408F0_.wvu.FilterData" sId="1"/>
    <undo index="65535" exp="area" ref3D="1" dr="$A$1:$AL$427" dn="Z_747340EB_2B31_46D2_ACDE_4FA91E2B50F6_.wvu.PrintArea" sId="1"/>
    <undo index="65535" exp="area" ref3D="1" dr="$A$1:$AL$399" dn="Z_9980B309_0131_4577_BF29_212714399FDF_.wvu.FilterData" sId="1"/>
    <undo index="65535" exp="area" ref3D="1" dr="$A$1:$AL$427" dn="Z_84FB199A_D56E_4FDD_AC4A_70CE86CD87BC_.wvu.PrintArea" sId="1"/>
    <undo index="65535" exp="area" ref3D="1" dr="$A$6:$AL$427" dn="Z_97F6C5A1_2596_4037_A854_1D6AE8A1071E_.wvu.FilterData" sId="1"/>
    <undo index="65535" exp="area" ref3D="1" dr="$A$6:$AL$427" dn="Z_AECBC9F6_D9DE_4043_9C2F_160F7ECDAD3D_.wvu.FilterData" sId="1"/>
    <undo index="65535" exp="area" ref3D="1" dr="$A$6:$AL$427" dn="Z_AE58BCBC_9F06_4E6C_A28B_2F5626DD7C1B_.wvu.FilterData" sId="1"/>
    <undo index="65535" exp="area" ref3D="1" dr="$A$6:$AL$427" dn="Z_D802EE0F_98B9_4410_B31B_4ACC0EC9C9BC_.wvu.FilterData" sId="1"/>
    <undo index="65535" exp="area" ref3D="1" dr="$A$6:$AL$427" dn="Z_A87F3E0E_3A8E_4B82_8170_33752259B7DB_.wvu.FilterData" sId="1"/>
    <undo index="65535" exp="area" ref3D="1" dr="$A$1:$AL$427" dn="Z_C408A2F1_296F_4EAD_B15B_336D73846FDD_.wvu.PrintArea" sId="1"/>
    <undo index="65535" exp="area" ref3D="1" dr="$A$6:$AL$427" dn="Z_6CE52079_5576_45A5_9A9F_9CA970D849EF_.wvu.FilterData" sId="1"/>
    <undo index="65535" exp="area" ref3D="1" dr="$A$6:$AL$427" dn="Z_D365E121_F95E_415A_8CA0_9EA7ECCC60F5_.wvu.FilterData" sId="1"/>
    <undo index="65535" exp="area" ref3D="1" dr="$A$1:$AL$289" dn="Z_CC51448C_22F6_4583_82CD_2835AD1A82D7_.wvu.FilterData" sId="1"/>
    <undo index="65535" exp="area" ref3D="1" dr="$A$6:$AL$427" dn="Z_CAB79FAE_AA32_4D62_A794_A6DB6513D801_.wvu.FilterData" sId="1"/>
    <undo index="65535" exp="area" ref3D="1" dr="$A$6:$AL$427" dn="Z_C71F80D5_B6C1_4ED9_B18D_D719D69F5A47_.wvu.FilterData" sId="1"/>
    <undo index="65535" exp="area" ref3D="1" dr="$A$1:$AL$380" dn="Z_5E661ABE_E06E_455E_A661_DDD1907219D0_.wvu.FilterData" sId="1"/>
    <undo index="65535" exp="area" ref3D="1" dr="$A$1:$AL$427" dn="Z_5AAA4DFE_88B1_4674_95ED_5FCD7A50BC22_.wvu.PrintArea" sId="1"/>
    <undo index="65535" exp="area" ref3D="1" dr="$A$1:$AL$399" dn="Z_65C35D6D_934F_4431_BA92_90255FC17BA4_.wvu.FilterData" sId="1"/>
    <rfmt sheetId="1" xfDxf="1" sqref="AL1:AL1048576" start="0" length="0"/>
    <rcc rId="0" sId="1" dxf="1">
      <nc r="AL1" t="inlineStr">
        <is>
          <t>Data
Raportare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AL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AL3" t="inlineStr">
        <is>
          <t>30,04,2019</t>
        </is>
      </nc>
      <ndxf>
        <font>
          <b/>
          <sz val="12"/>
          <color auto="1"/>
          <name val="Calibri"/>
          <family val="2"/>
          <charset val="238"/>
          <scheme val="minor"/>
        </font>
        <numFmt numFmtId="19" formatCode="dd/mm/yyyy"/>
        <fill>
          <patternFill patternType="solid">
            <bgColor rgb="FFFFCCFF"/>
          </patternFill>
        </fill>
        <alignment vertical="center" wrapText="1"/>
        <border outline="0">
          <left style="thin">
            <color indexed="64"/>
          </left>
          <right style="thin">
            <color indexed="64"/>
          </right>
          <top style="thin">
            <color indexed="64"/>
          </top>
          <bottom style="thin">
            <color indexed="64"/>
          </bottom>
        </border>
      </ndxf>
    </rcc>
    <rfmt sheetId="1" sqref="AL4" start="0" length="0">
      <dxf>
        <font>
          <b/>
          <sz val="12"/>
          <color auto="1"/>
          <name val="Calibri"/>
          <family val="2"/>
          <charset val="238"/>
          <scheme val="minor"/>
        </font>
        <numFmt numFmtId="19" formatCode="dd/mm/yyyy"/>
        <fill>
          <patternFill patternType="solid">
            <bgColor rgb="FFFFCCFF"/>
          </patternFill>
        </fill>
        <alignment vertical="center" wrapText="1"/>
      </dxf>
    </rfmt>
    <rcc rId="0" sId="1" dxf="1">
      <nc r="AL5" t="inlineStr">
        <is>
          <t>Report Date</t>
        </is>
      </nc>
      <ndxf>
        <font>
          <b/>
          <sz val="12"/>
          <color auto="1"/>
          <name val="Calibri"/>
          <family val="2"/>
          <charset val="238"/>
          <scheme val="minor"/>
        </font>
        <numFmt numFmtId="19" formatCode="dd/mm/yyyy"/>
        <fill>
          <patternFill patternType="solid">
            <bgColor theme="9" tint="0.79998168889431442"/>
          </patternFill>
        </fill>
        <alignment vertical="center" wrapText="1"/>
        <border outline="0">
          <left style="thin">
            <color indexed="64"/>
          </left>
          <right style="thin">
            <color indexed="64"/>
          </right>
          <top style="thin">
            <color indexed="64"/>
          </top>
          <bottom style="thin">
            <color indexed="64"/>
          </bottom>
        </border>
      </ndxf>
    </rcc>
    <rfmt sheetId="1" sqref="AL6" start="0" length="0">
      <dxf>
        <font>
          <sz val="12"/>
          <color theme="1"/>
          <name val="Calibri"/>
          <family val="2"/>
          <charset val="238"/>
          <scheme val="minor"/>
        </font>
        <border outline="0">
          <left style="thin">
            <color indexed="64"/>
          </left>
          <right style="thin">
            <color indexed="64"/>
          </right>
          <top style="thin">
            <color indexed="64"/>
          </top>
          <bottom style="thin">
            <color indexed="64"/>
          </bottom>
        </border>
      </dxf>
    </rfmt>
    <rfmt sheetId="1" sqref="AL7" start="0" length="0">
      <dxf>
        <font>
          <sz val="12"/>
          <color theme="1"/>
          <name val="Calibri"/>
          <family val="2"/>
          <charset val="238"/>
          <scheme val="minor"/>
        </font>
      </dxf>
    </rfmt>
    <rfmt sheetId="1" sqref="AL8" start="0" length="0">
      <dxf>
        <font>
          <sz val="12"/>
          <color theme="1"/>
          <name val="Calibri"/>
          <family val="2"/>
          <charset val="238"/>
          <scheme val="minor"/>
        </font>
      </dxf>
    </rfmt>
    <rfmt sheetId="1" sqref="AL9" start="0" length="0">
      <dxf>
        <font>
          <sz val="12"/>
          <color theme="1"/>
          <name val="Calibri"/>
          <family val="2"/>
          <charset val="238"/>
          <scheme val="minor"/>
        </font>
      </dxf>
    </rfmt>
    <rfmt sheetId="1" sqref="AL10" start="0" length="0">
      <dxf>
        <font>
          <sz val="12"/>
          <color theme="1"/>
          <name val="Calibri"/>
          <family val="2"/>
          <charset val="238"/>
          <scheme val="minor"/>
        </font>
      </dxf>
    </rfmt>
    <rfmt sheetId="1" sqref="AL11" start="0" length="0">
      <dxf>
        <font>
          <sz val="12"/>
          <color theme="1"/>
          <name val="Calibri"/>
          <family val="2"/>
          <charset val="238"/>
          <scheme val="minor"/>
        </font>
      </dxf>
    </rfmt>
    <rfmt sheetId="1" sqref="AL12" start="0" length="0">
      <dxf>
        <font>
          <sz val="12"/>
          <color theme="1"/>
          <name val="Calibri"/>
          <family val="2"/>
          <charset val="238"/>
          <scheme val="minor"/>
        </font>
      </dxf>
    </rfmt>
    <rfmt sheetId="1" sqref="AL13" start="0" length="0">
      <dxf>
        <font>
          <sz val="12"/>
          <color theme="1"/>
          <name val="Calibri"/>
          <family val="2"/>
          <charset val="238"/>
          <scheme val="minor"/>
        </font>
      </dxf>
    </rfmt>
    <rfmt sheetId="1" sqref="AL14" start="0" length="0">
      <dxf>
        <font>
          <sz val="12"/>
          <color theme="1"/>
          <name val="Calibri"/>
          <family val="2"/>
          <charset val="238"/>
          <scheme val="minor"/>
        </font>
      </dxf>
    </rfmt>
    <rfmt sheetId="1" sqref="AL15" start="0" length="0">
      <dxf>
        <font>
          <sz val="12"/>
          <color theme="1"/>
          <name val="Calibri"/>
          <family val="2"/>
          <charset val="238"/>
          <scheme val="minor"/>
        </font>
      </dxf>
    </rfmt>
    <rfmt sheetId="1" sqref="AL16" start="0" length="0">
      <dxf>
        <font>
          <sz val="12"/>
          <color theme="1"/>
          <name val="Calibri"/>
          <family val="2"/>
          <charset val="238"/>
          <scheme val="minor"/>
        </font>
      </dxf>
    </rfmt>
    <rfmt sheetId="1" sqref="AL17" start="0" length="0">
      <dxf>
        <font>
          <sz val="12"/>
          <color theme="1"/>
          <name val="Calibri"/>
          <family val="2"/>
          <charset val="238"/>
          <scheme val="minor"/>
        </font>
      </dxf>
    </rfmt>
    <rfmt sheetId="1" sqref="AL18" start="0" length="0">
      <dxf>
        <font>
          <sz val="12"/>
          <color theme="1"/>
          <name val="Calibri"/>
          <family val="2"/>
          <charset val="238"/>
          <scheme val="minor"/>
        </font>
      </dxf>
    </rfmt>
    <rfmt sheetId="1" sqref="AL19" start="0" length="0">
      <dxf>
        <font>
          <sz val="12"/>
          <color theme="1"/>
          <name val="Calibri"/>
          <family val="2"/>
          <charset val="238"/>
          <scheme val="minor"/>
        </font>
      </dxf>
    </rfmt>
    <rfmt sheetId="1" sqref="AL20" start="0" length="0">
      <dxf>
        <font>
          <sz val="12"/>
          <color theme="1"/>
          <name val="Calibri"/>
          <family val="2"/>
          <charset val="238"/>
          <scheme val="minor"/>
        </font>
      </dxf>
    </rfmt>
    <rfmt sheetId="1" sqref="AL21" start="0" length="0">
      <dxf>
        <font>
          <sz val="12"/>
          <color theme="1"/>
          <name val="Calibri"/>
          <family val="2"/>
          <charset val="238"/>
          <scheme val="minor"/>
        </font>
      </dxf>
    </rfmt>
    <rfmt sheetId="1" sqref="AL22" start="0" length="0">
      <dxf>
        <font>
          <sz val="12"/>
          <color theme="1"/>
          <name val="Calibri"/>
          <family val="2"/>
          <charset val="238"/>
          <scheme val="minor"/>
        </font>
      </dxf>
    </rfmt>
    <rfmt sheetId="1" sqref="AL23" start="0" length="0">
      <dxf>
        <font>
          <sz val="12"/>
          <color theme="1"/>
          <name val="Calibri"/>
          <family val="2"/>
          <charset val="238"/>
          <scheme val="minor"/>
        </font>
      </dxf>
    </rfmt>
    <rfmt sheetId="1" sqref="AL24" start="0" length="0">
      <dxf>
        <font>
          <sz val="12"/>
          <color theme="1"/>
          <name val="Calibri"/>
          <family val="2"/>
          <charset val="238"/>
          <scheme val="minor"/>
        </font>
      </dxf>
    </rfmt>
    <rfmt sheetId="1" sqref="AL25" start="0" length="0">
      <dxf>
        <font>
          <sz val="12"/>
          <color theme="1"/>
          <name val="Calibri"/>
          <family val="2"/>
          <charset val="238"/>
          <scheme val="minor"/>
        </font>
      </dxf>
    </rfmt>
    <rfmt sheetId="1" sqref="AL26" start="0" length="0">
      <dxf>
        <font>
          <sz val="12"/>
          <color theme="1"/>
          <name val="Calibri"/>
          <family val="2"/>
          <charset val="238"/>
          <scheme val="minor"/>
        </font>
      </dxf>
    </rfmt>
    <rfmt sheetId="1" sqref="AL27" start="0" length="0">
      <dxf>
        <font>
          <sz val="12"/>
          <color theme="1"/>
          <name val="Calibri"/>
          <family val="2"/>
          <charset val="238"/>
          <scheme val="minor"/>
        </font>
      </dxf>
    </rfmt>
    <rfmt sheetId="1" sqref="AL28" start="0" length="0">
      <dxf>
        <font>
          <sz val="12"/>
          <color theme="1"/>
          <name val="Calibri"/>
          <family val="2"/>
          <charset val="238"/>
          <scheme val="minor"/>
        </font>
      </dxf>
    </rfmt>
    <rfmt sheetId="1" sqref="AL29" start="0" length="0">
      <dxf>
        <font>
          <sz val="12"/>
          <color theme="1"/>
          <name val="Calibri"/>
          <family val="2"/>
          <charset val="238"/>
          <scheme val="minor"/>
        </font>
      </dxf>
    </rfmt>
    <rfmt sheetId="1" sqref="AL30" start="0" length="0">
      <dxf>
        <font>
          <sz val="12"/>
          <color theme="1"/>
          <name val="Calibri"/>
          <family val="2"/>
          <charset val="238"/>
          <scheme val="minor"/>
        </font>
      </dxf>
    </rfmt>
    <rfmt sheetId="1" sqref="AL31" start="0" length="0">
      <dxf>
        <font>
          <sz val="12"/>
          <color theme="1"/>
          <name val="Calibri"/>
          <family val="2"/>
          <charset val="238"/>
          <scheme val="minor"/>
        </font>
      </dxf>
    </rfmt>
    <rfmt sheetId="1" sqref="AL32" start="0" length="0">
      <dxf>
        <font>
          <sz val="12"/>
          <color theme="1"/>
          <name val="Calibri"/>
          <family val="2"/>
          <charset val="238"/>
          <scheme val="minor"/>
        </font>
      </dxf>
    </rfmt>
    <rfmt sheetId="1" sqref="AL33" start="0" length="0">
      <dxf>
        <font>
          <sz val="12"/>
          <color theme="1"/>
          <name val="Calibri"/>
          <family val="2"/>
          <charset val="238"/>
          <scheme val="minor"/>
        </font>
      </dxf>
    </rfmt>
    <rfmt sheetId="1" sqref="AL34" start="0" length="0">
      <dxf>
        <font>
          <sz val="12"/>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36" start="0" length="0">
      <dxf>
        <font>
          <sz val="12"/>
          <color theme="1"/>
          <name val="Calibri"/>
          <family val="2"/>
          <charset val="238"/>
          <scheme val="minor"/>
        </font>
      </dxf>
    </rfmt>
    <rfmt sheetId="1" sqref="AL37" start="0" length="0">
      <dxf>
        <font>
          <sz val="12"/>
          <color theme="1"/>
          <name val="Calibri"/>
          <family val="2"/>
          <charset val="238"/>
          <scheme val="minor"/>
        </font>
      </dxf>
    </rfmt>
    <rfmt sheetId="1" sqref="AL38" start="0" length="0">
      <dxf>
        <font>
          <sz val="12"/>
          <color theme="1"/>
          <name val="Calibri"/>
          <family val="2"/>
          <charset val="238"/>
          <scheme val="minor"/>
        </font>
      </dxf>
    </rfmt>
    <rfmt sheetId="1" sqref="AL39" start="0" length="0">
      <dxf>
        <font>
          <sz val="12"/>
          <color theme="1"/>
          <name val="Calibri"/>
          <family val="2"/>
          <charset val="238"/>
          <scheme val="minor"/>
        </font>
      </dxf>
    </rfmt>
    <rfmt sheetId="1" sqref="AL40" start="0" length="0">
      <dxf>
        <font>
          <sz val="12"/>
          <color theme="1"/>
          <name val="Calibri"/>
          <family val="2"/>
          <charset val="238"/>
          <scheme val="minor"/>
        </font>
      </dxf>
    </rfmt>
    <rfmt sheetId="1" sqref="AL41" start="0" length="0">
      <dxf>
        <font>
          <sz val="12"/>
          <color theme="1"/>
          <name val="Calibri"/>
          <family val="2"/>
          <charset val="238"/>
          <scheme val="minor"/>
        </font>
      </dxf>
    </rfmt>
    <rfmt sheetId="1" sqref="AL42" start="0" length="0">
      <dxf>
        <font>
          <sz val="12"/>
          <color theme="1"/>
          <name val="Calibri"/>
          <family val="2"/>
          <charset val="238"/>
          <scheme val="minor"/>
        </font>
      </dxf>
    </rfmt>
    <rfmt sheetId="1" sqref="AL43" start="0" length="0">
      <dxf>
        <font>
          <sz val="12"/>
          <color theme="1"/>
          <name val="Calibri"/>
          <family val="2"/>
          <charset val="238"/>
          <scheme val="minor"/>
        </font>
      </dxf>
    </rfmt>
    <rfmt sheetId="1" sqref="AL44" start="0" length="0">
      <dxf>
        <font>
          <sz val="12"/>
          <color theme="1"/>
          <name val="Calibri"/>
          <family val="2"/>
          <charset val="238"/>
          <scheme val="minor"/>
        </font>
      </dxf>
    </rfmt>
    <rfmt sheetId="1" sqref="AL45" start="0" length="0">
      <dxf>
        <font>
          <sz val="12"/>
          <color theme="1"/>
          <name val="Calibri"/>
          <family val="2"/>
          <charset val="238"/>
          <scheme val="minor"/>
        </font>
      </dxf>
    </rfmt>
    <rfmt sheetId="1" sqref="AL46" start="0" length="0">
      <dxf>
        <font>
          <sz val="12"/>
          <color theme="1"/>
          <name val="Calibri"/>
          <family val="2"/>
          <charset val="238"/>
          <scheme val="minor"/>
        </font>
      </dxf>
    </rfmt>
    <rfmt sheetId="1" sqref="AL47" start="0" length="0">
      <dxf>
        <font>
          <sz val="12"/>
          <color theme="1"/>
          <name val="Calibri"/>
          <family val="2"/>
          <charset val="238"/>
          <scheme val="minor"/>
        </font>
      </dxf>
    </rfmt>
    <rfmt sheetId="1" sqref="AL48" start="0" length="0">
      <dxf>
        <font>
          <sz val="12"/>
          <color theme="1"/>
          <name val="Calibri"/>
          <family val="2"/>
          <charset val="238"/>
          <scheme val="minor"/>
        </font>
      </dxf>
    </rfmt>
    <rfmt sheetId="1" sqref="AL49" start="0" length="0">
      <dxf>
        <font>
          <sz val="12"/>
          <color theme="1"/>
          <name val="Calibri"/>
          <family val="2"/>
          <charset val="238"/>
          <scheme val="minor"/>
        </font>
      </dxf>
    </rfmt>
    <rfmt sheetId="1" sqref="AL50" start="0" length="0">
      <dxf>
        <font>
          <sz val="12"/>
          <color theme="1"/>
          <name val="Calibri"/>
          <family val="2"/>
          <charset val="238"/>
          <scheme val="minor"/>
        </font>
      </dxf>
    </rfmt>
    <rfmt sheetId="1" sqref="AL51" start="0" length="0">
      <dxf>
        <font>
          <sz val="12"/>
          <color theme="1"/>
          <name val="Calibri"/>
          <family val="2"/>
          <charset val="238"/>
          <scheme val="minor"/>
        </font>
      </dxf>
    </rfmt>
    <rfmt sheetId="1" sqref="AL52" start="0" length="0">
      <dxf>
        <font>
          <sz val="12"/>
          <color theme="1"/>
          <name val="Calibri"/>
          <family val="2"/>
          <charset val="238"/>
          <scheme val="minor"/>
        </font>
      </dxf>
    </rfmt>
    <rfmt sheetId="1" sqref="AL53" start="0" length="0">
      <dxf>
        <font>
          <sz val="12"/>
          <color theme="1"/>
          <name val="Calibri"/>
          <family val="2"/>
          <charset val="238"/>
          <scheme val="minor"/>
        </font>
      </dxf>
    </rfmt>
    <rfmt sheetId="1" sqref="AL54" start="0" length="0">
      <dxf>
        <font>
          <sz val="12"/>
          <color theme="1"/>
          <name val="Calibri"/>
          <family val="2"/>
          <charset val="238"/>
          <scheme val="minor"/>
        </font>
      </dxf>
    </rfmt>
    <rfmt sheetId="1" sqref="AL55" start="0" length="0">
      <dxf>
        <font>
          <sz val="12"/>
          <color theme="1"/>
          <name val="Calibri"/>
          <family val="2"/>
          <charset val="238"/>
          <scheme val="minor"/>
        </font>
      </dxf>
    </rfmt>
    <rfmt sheetId="1" sqref="AL56" start="0" length="0">
      <dxf>
        <font>
          <sz val="12"/>
          <color theme="1"/>
          <name val="Calibri"/>
          <family val="2"/>
          <charset val="238"/>
          <scheme val="minor"/>
        </font>
      </dxf>
    </rfmt>
    <rfmt sheetId="1" sqref="AL57" start="0" length="0">
      <dxf>
        <font>
          <sz val="12"/>
          <color theme="1"/>
          <name val="Calibri"/>
          <family val="2"/>
          <charset val="238"/>
          <scheme val="minor"/>
        </font>
      </dxf>
    </rfmt>
    <rfmt sheetId="1" sqref="AL58" start="0" length="0">
      <dxf>
        <font>
          <sz val="12"/>
          <color theme="1"/>
          <name val="Calibri"/>
          <family val="2"/>
          <charset val="238"/>
          <scheme val="minor"/>
        </font>
      </dxf>
    </rfmt>
    <rfmt sheetId="1" sqref="AL59" start="0" length="0">
      <dxf>
        <font>
          <sz val="12"/>
          <color theme="1"/>
          <name val="Calibri"/>
          <family val="2"/>
          <charset val="238"/>
          <scheme val="minor"/>
        </font>
      </dxf>
    </rfmt>
    <rfmt sheetId="1" sqref="AL60" start="0" length="0">
      <dxf>
        <font>
          <sz val="12"/>
          <color theme="1"/>
          <name val="Calibri"/>
          <family val="2"/>
          <charset val="238"/>
          <scheme val="minor"/>
        </font>
      </dxf>
    </rfmt>
    <rfmt sheetId="1" sqref="AL61" start="0" length="0">
      <dxf>
        <font>
          <sz val="12"/>
          <color theme="1"/>
          <name val="Calibri"/>
          <family val="2"/>
          <charset val="238"/>
          <scheme val="minor"/>
        </font>
      </dxf>
    </rfmt>
    <rfmt sheetId="1" sqref="AL62" start="0" length="0">
      <dxf>
        <font>
          <sz val="12"/>
          <color theme="1"/>
          <name val="Calibri"/>
          <family val="2"/>
          <charset val="238"/>
          <scheme val="minor"/>
        </font>
      </dxf>
    </rfmt>
    <rfmt sheetId="1" sqref="AL63" start="0" length="0">
      <dxf>
        <font>
          <sz val="12"/>
          <color theme="1"/>
          <name val="Calibri"/>
          <family val="2"/>
          <charset val="238"/>
          <scheme val="minor"/>
        </font>
      </dxf>
    </rfmt>
    <rfmt sheetId="1" sqref="AL64" start="0" length="0">
      <dxf>
        <font>
          <sz val="12"/>
          <color theme="1"/>
          <name val="Calibri"/>
          <family val="2"/>
          <charset val="238"/>
          <scheme val="minor"/>
        </font>
      </dxf>
    </rfmt>
    <rfmt sheetId="1" sqref="AL65" start="0" length="0">
      <dxf>
        <font>
          <sz val="12"/>
          <color theme="1"/>
          <name val="Calibri"/>
          <family val="2"/>
          <charset val="238"/>
          <scheme val="minor"/>
        </font>
      </dxf>
    </rfmt>
    <rfmt sheetId="1" sqref="AL66" start="0" length="0">
      <dxf>
        <font>
          <sz val="12"/>
          <color theme="1"/>
          <name val="Calibri"/>
          <family val="2"/>
          <charset val="238"/>
          <scheme val="minor"/>
        </font>
      </dxf>
    </rfmt>
    <rfmt sheetId="1" sqref="AL67" start="0" length="0">
      <dxf>
        <font>
          <sz val="12"/>
          <color theme="1"/>
          <name val="Calibri"/>
          <family val="2"/>
          <charset val="238"/>
          <scheme val="minor"/>
        </font>
      </dxf>
    </rfmt>
    <rfmt sheetId="1" sqref="AL68" start="0" length="0">
      <dxf>
        <font>
          <sz val="12"/>
          <color theme="1"/>
          <name val="Calibri"/>
          <family val="2"/>
          <charset val="238"/>
          <scheme val="minor"/>
        </font>
      </dxf>
    </rfmt>
    <rfmt sheetId="1" sqref="AL69" start="0" length="0">
      <dxf>
        <font>
          <sz val="12"/>
          <color theme="1"/>
          <name val="Calibri"/>
          <family val="2"/>
          <charset val="238"/>
          <scheme val="minor"/>
        </font>
      </dxf>
    </rfmt>
    <rfmt sheetId="1" sqref="AL70" start="0" length="0">
      <dxf>
        <font>
          <sz val="12"/>
          <color theme="1"/>
          <name val="Calibri"/>
          <family val="2"/>
          <charset val="238"/>
          <scheme val="minor"/>
        </font>
      </dxf>
    </rfmt>
    <rfmt sheetId="1" sqref="AL71" start="0" length="0">
      <dxf>
        <font>
          <sz val="12"/>
          <color theme="1"/>
          <name val="Calibri"/>
          <family val="2"/>
          <charset val="238"/>
          <scheme val="minor"/>
        </font>
      </dxf>
    </rfmt>
    <rfmt sheetId="1" sqref="AL72" start="0" length="0">
      <dxf>
        <font>
          <sz val="12"/>
          <color theme="1"/>
          <name val="Calibri"/>
          <family val="2"/>
          <charset val="238"/>
          <scheme val="minor"/>
        </font>
      </dxf>
    </rfmt>
    <rfmt sheetId="1" sqref="AL73" start="0" length="0">
      <dxf>
        <font>
          <sz val="12"/>
          <color theme="1"/>
          <name val="Calibri"/>
          <family val="2"/>
          <charset val="238"/>
          <scheme val="minor"/>
        </font>
      </dxf>
    </rfmt>
    <rfmt sheetId="1" sqref="AL74" start="0" length="0">
      <dxf>
        <font>
          <sz val="12"/>
          <color theme="1"/>
          <name val="Calibri"/>
          <family val="2"/>
          <charset val="238"/>
          <scheme val="minor"/>
        </font>
      </dxf>
    </rfmt>
    <rfmt sheetId="1" sqref="AL75" start="0" length="0">
      <dxf>
        <font>
          <sz val="12"/>
          <color theme="1"/>
          <name val="Calibri"/>
          <family val="2"/>
          <charset val="238"/>
          <scheme val="minor"/>
        </font>
      </dxf>
    </rfmt>
    <rfmt sheetId="1" sqref="AL76" start="0" length="0">
      <dxf>
        <font>
          <sz val="12"/>
          <color theme="1"/>
          <name val="Calibri"/>
          <family val="2"/>
          <charset val="238"/>
          <scheme val="minor"/>
        </font>
      </dxf>
    </rfmt>
    <rfmt sheetId="1" sqref="AL77" start="0" length="0">
      <dxf>
        <font>
          <sz val="12"/>
          <color theme="1"/>
          <name val="Calibri"/>
          <family val="2"/>
          <charset val="238"/>
          <scheme val="minor"/>
        </font>
      </dxf>
    </rfmt>
    <rfmt sheetId="1" sqref="AL78" start="0" length="0">
      <dxf>
        <font>
          <sz val="12"/>
          <color theme="1"/>
          <name val="Calibri"/>
          <family val="2"/>
          <charset val="238"/>
          <scheme val="minor"/>
        </font>
      </dxf>
    </rfmt>
    <rfmt sheetId="1" sqref="AL79" start="0" length="0">
      <dxf>
        <font>
          <sz val="12"/>
          <color theme="1"/>
          <name val="Calibri"/>
          <family val="2"/>
          <charset val="238"/>
          <scheme val="minor"/>
        </font>
      </dxf>
    </rfmt>
    <rfmt sheetId="1" sqref="AL80" start="0" length="0">
      <dxf>
        <font>
          <sz val="12"/>
          <color theme="1"/>
          <name val="Calibri"/>
          <family val="2"/>
          <charset val="238"/>
          <scheme val="minor"/>
        </font>
      </dxf>
    </rfmt>
    <rfmt sheetId="1" sqref="AL81" start="0" length="0">
      <dxf>
        <font>
          <sz val="12"/>
          <color theme="1"/>
          <name val="Calibri"/>
          <family val="2"/>
          <charset val="238"/>
          <scheme val="minor"/>
        </font>
      </dxf>
    </rfmt>
    <rfmt sheetId="1" sqref="AL82" start="0" length="0">
      <dxf>
        <font>
          <sz val="12"/>
          <color theme="1"/>
          <name val="Calibri"/>
          <family val="2"/>
          <charset val="238"/>
          <scheme val="minor"/>
        </font>
      </dxf>
    </rfmt>
    <rfmt sheetId="1" sqref="AL83" start="0" length="0">
      <dxf>
        <font>
          <sz val="12"/>
          <color theme="1"/>
          <name val="Calibri"/>
          <family val="2"/>
          <charset val="238"/>
          <scheme val="minor"/>
        </font>
      </dxf>
    </rfmt>
    <rfmt sheetId="1" sqref="AL84" start="0" length="0">
      <dxf>
        <font>
          <sz val="12"/>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6" start="0" length="0">
      <dxf>
        <font>
          <sz val="12"/>
          <color theme="1"/>
          <name val="Calibri"/>
          <family val="2"/>
          <charset val="238"/>
          <scheme val="minor"/>
        </font>
      </dxf>
    </rfmt>
    <rfmt sheetId="1" sqref="AL87" start="0" length="0">
      <dxf>
        <font>
          <sz val="12"/>
          <color theme="1"/>
          <name val="Calibri"/>
          <family val="2"/>
          <charset val="238"/>
          <scheme val="minor"/>
        </font>
      </dxf>
    </rfmt>
    <rfmt sheetId="1" sqref="AL88" start="0" length="0">
      <dxf>
        <font>
          <sz val="12"/>
          <color theme="1"/>
          <name val="Calibri"/>
          <family val="2"/>
          <charset val="238"/>
          <scheme val="minor"/>
        </font>
      </dxf>
    </rfmt>
    <rfmt sheetId="1" sqref="AL89" start="0" length="0">
      <dxf>
        <font>
          <sz val="12"/>
          <color theme="1"/>
          <name val="Calibri"/>
          <family val="2"/>
          <charset val="238"/>
          <scheme val="minor"/>
        </font>
      </dxf>
    </rfmt>
    <rfmt sheetId="1" sqref="AL90" start="0" length="0">
      <dxf>
        <font>
          <sz val="12"/>
          <color theme="1"/>
          <name val="Calibri"/>
          <family val="2"/>
          <charset val="238"/>
          <scheme val="minor"/>
        </font>
      </dxf>
    </rfmt>
    <rfmt sheetId="1" sqref="AL91" start="0" length="0">
      <dxf>
        <font>
          <sz val="12"/>
          <color theme="1"/>
          <name val="Calibri"/>
          <family val="2"/>
          <charset val="238"/>
          <scheme val="minor"/>
        </font>
      </dxf>
    </rfmt>
    <rfmt sheetId="1" sqref="AL92" start="0" length="0">
      <dxf>
        <font>
          <sz val="12"/>
          <color theme="1"/>
          <name val="Calibri"/>
          <family val="2"/>
          <charset val="238"/>
          <scheme val="minor"/>
        </font>
      </dxf>
    </rfmt>
    <rfmt sheetId="1" sqref="AL93" start="0" length="0">
      <dxf>
        <font>
          <sz val="12"/>
          <color theme="1"/>
          <name val="Calibri"/>
          <family val="2"/>
          <charset val="238"/>
          <scheme val="minor"/>
        </font>
        <numFmt numFmtId="4" formatCode="#,##0.00"/>
      </dxf>
    </rfmt>
    <rfmt sheetId="1" sqref="AL94" start="0" length="0">
      <dxf>
        <font>
          <sz val="12"/>
          <color theme="1"/>
          <name val="Calibri"/>
          <family val="2"/>
          <charset val="238"/>
          <scheme val="minor"/>
        </font>
        <numFmt numFmtId="4" formatCode="#,##0.00"/>
        <alignment horizontal="center" vertical="center" wrapText="1"/>
      </dxf>
    </rfmt>
    <rfmt sheetId="1" sqref="AL95" start="0" length="0">
      <dxf>
        <font>
          <sz val="12"/>
          <color theme="1"/>
          <name val="Calibri"/>
          <family val="2"/>
          <charset val="238"/>
          <scheme val="minor"/>
        </font>
      </dxf>
    </rfmt>
    <rfmt sheetId="1" sqref="AL96" start="0" length="0">
      <dxf>
        <font>
          <sz val="12"/>
          <color theme="1"/>
          <name val="Calibri"/>
          <family val="2"/>
          <charset val="238"/>
          <scheme val="minor"/>
        </font>
      </dxf>
    </rfmt>
    <rfmt sheetId="1" sqref="AL97" start="0" length="0">
      <dxf>
        <font>
          <sz val="12"/>
          <color theme="1"/>
          <name val="Calibri"/>
          <family val="2"/>
          <charset val="238"/>
          <scheme val="minor"/>
        </font>
      </dxf>
    </rfmt>
    <rfmt sheetId="1" sqref="AL98" start="0" length="0">
      <dxf>
        <font>
          <sz val="12"/>
          <color theme="1"/>
          <name val="Calibri"/>
          <family val="2"/>
          <charset val="238"/>
          <scheme val="minor"/>
        </font>
      </dxf>
    </rfmt>
    <rfmt sheetId="1" sqref="AL99" start="0" length="0">
      <dxf>
        <font>
          <sz val="12"/>
          <color theme="1"/>
          <name val="Calibri"/>
          <family val="2"/>
          <charset val="238"/>
          <scheme val="minor"/>
        </font>
      </dxf>
    </rfmt>
    <rfmt sheetId="1" sqref="AL100" start="0" length="0">
      <dxf>
        <font>
          <sz val="12"/>
          <color theme="1"/>
          <name val="Calibri"/>
          <family val="2"/>
          <charset val="238"/>
          <scheme val="minor"/>
        </font>
      </dxf>
    </rfmt>
    <rfmt sheetId="1" sqref="AL101" start="0" length="0">
      <dxf>
        <font>
          <sz val="12"/>
          <color theme="1"/>
          <name val="Calibri"/>
          <family val="2"/>
          <charset val="238"/>
          <scheme val="minor"/>
        </font>
      </dxf>
    </rfmt>
    <rfmt sheetId="1" sqref="AL102" start="0" length="0">
      <dxf>
        <font>
          <sz val="12"/>
          <color theme="1"/>
          <name val="Calibri"/>
          <family val="2"/>
          <charset val="238"/>
          <scheme val="minor"/>
        </font>
      </dxf>
    </rfmt>
    <rfmt sheetId="1" sqref="AL103" start="0" length="0">
      <dxf>
        <font>
          <sz val="12"/>
          <color theme="1"/>
          <name val="Calibri"/>
          <family val="2"/>
          <charset val="238"/>
          <scheme val="minor"/>
        </font>
      </dxf>
    </rfmt>
    <rfmt sheetId="1" sqref="AL104" start="0" length="0">
      <dxf>
        <font>
          <sz val="12"/>
          <color theme="1"/>
          <name val="Calibri"/>
          <family val="2"/>
          <charset val="238"/>
          <scheme val="minor"/>
        </font>
      </dxf>
    </rfmt>
    <rfmt sheetId="1" sqref="AL105" start="0" length="0">
      <dxf>
        <font>
          <sz val="12"/>
          <color theme="1"/>
          <name val="Calibri"/>
          <family val="2"/>
          <charset val="238"/>
          <scheme val="minor"/>
        </font>
      </dxf>
    </rfmt>
    <rfmt sheetId="1" sqref="AL106" start="0" length="0">
      <dxf>
        <font>
          <sz val="12"/>
          <color theme="1"/>
          <name val="Calibri"/>
          <family val="2"/>
          <charset val="238"/>
          <scheme val="minor"/>
        </font>
      </dxf>
    </rfmt>
    <rfmt sheetId="1" sqref="AL107" start="0" length="0">
      <dxf>
        <font>
          <sz val="12"/>
          <color theme="1"/>
          <name val="Calibri"/>
          <family val="2"/>
          <charset val="238"/>
          <scheme val="minor"/>
        </font>
      </dxf>
    </rfmt>
    <rfmt sheetId="1" sqref="AL108" start="0" length="0">
      <dxf>
        <font>
          <sz val="12"/>
          <color theme="1"/>
          <name val="Calibri"/>
          <family val="2"/>
          <charset val="238"/>
          <scheme val="minor"/>
        </font>
      </dxf>
    </rfmt>
    <rfmt sheetId="1" sqref="AL109" start="0" length="0">
      <dxf>
        <font>
          <sz val="12"/>
          <color theme="1"/>
          <name val="Calibri"/>
          <family val="2"/>
          <charset val="238"/>
          <scheme val="minor"/>
        </font>
      </dxf>
    </rfmt>
    <rfmt sheetId="1" sqref="AL110" start="0" length="0">
      <dxf>
        <font>
          <sz val="12"/>
          <color theme="1"/>
          <name val="Calibri"/>
          <family val="2"/>
          <charset val="238"/>
          <scheme val="minor"/>
        </font>
      </dxf>
    </rfmt>
    <rfmt sheetId="1" sqref="AL111" start="0" length="0">
      <dxf>
        <font>
          <sz val="12"/>
          <color theme="1"/>
          <name val="Calibri"/>
          <family val="2"/>
          <charset val="238"/>
          <scheme val="minor"/>
        </font>
      </dxf>
    </rfmt>
    <rfmt sheetId="1" sqref="AL112" start="0" length="0">
      <dxf>
        <font>
          <sz val="12"/>
          <color theme="1"/>
          <name val="Calibri"/>
          <family val="2"/>
          <charset val="238"/>
          <scheme val="minor"/>
        </font>
      </dxf>
    </rfmt>
    <rfmt sheetId="1" sqref="AL113" start="0" length="0">
      <dxf>
        <font>
          <sz val="12"/>
          <color theme="1"/>
          <name val="Calibri"/>
          <family val="2"/>
          <charset val="238"/>
          <scheme val="minor"/>
        </font>
      </dxf>
    </rfmt>
    <rfmt sheetId="1" sqref="AL114" start="0" length="0">
      <dxf>
        <font>
          <sz val="12"/>
          <color theme="1"/>
          <name val="Calibri"/>
          <family val="2"/>
          <charset val="238"/>
          <scheme val="minor"/>
        </font>
      </dxf>
    </rfmt>
    <rfmt sheetId="1" sqref="AL115" start="0" length="0">
      <dxf>
        <font>
          <sz val="12"/>
          <color theme="1"/>
          <name val="Calibri"/>
          <family val="2"/>
          <charset val="238"/>
          <scheme val="minor"/>
        </font>
      </dxf>
    </rfmt>
    <rfmt sheetId="1" sqref="AL116" start="0" length="0">
      <dxf>
        <font>
          <sz val="12"/>
          <color theme="1"/>
          <name val="Calibri"/>
          <family val="2"/>
          <charset val="238"/>
          <scheme val="minor"/>
        </font>
      </dxf>
    </rfmt>
    <rfmt sheetId="1" sqref="AL117" start="0" length="0">
      <dxf>
        <font>
          <sz val="12"/>
          <color theme="1"/>
          <name val="Calibri"/>
          <family val="2"/>
          <charset val="238"/>
          <scheme val="minor"/>
        </font>
      </dxf>
    </rfmt>
    <rfmt sheetId="1" sqref="AL118" start="0" length="0">
      <dxf>
        <font>
          <sz val="12"/>
          <color theme="1"/>
          <name val="Calibri"/>
          <family val="2"/>
          <charset val="238"/>
          <scheme val="minor"/>
        </font>
      </dxf>
    </rfmt>
    <rfmt sheetId="1" sqref="AL119" start="0" length="0">
      <dxf>
        <font>
          <sz val="12"/>
          <color theme="1"/>
          <name val="Calibri"/>
          <family val="2"/>
          <charset val="238"/>
          <scheme val="minor"/>
        </font>
      </dxf>
    </rfmt>
    <rfmt sheetId="1" sqref="AL12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21" start="0" length="0">
      <dxf>
        <font>
          <sz val="12"/>
          <color theme="1"/>
          <name val="Calibri"/>
          <family val="2"/>
          <charset val="238"/>
          <scheme val="minor"/>
        </font>
      </dxf>
    </rfmt>
    <rfmt sheetId="1" sqref="AL122" start="0" length="0">
      <dxf>
        <font>
          <sz val="12"/>
          <color theme="1"/>
          <name val="Calibri"/>
          <family val="2"/>
          <charset val="238"/>
          <scheme val="minor"/>
        </font>
      </dxf>
    </rfmt>
    <rfmt sheetId="1" sqref="AL123" start="0" length="0">
      <dxf>
        <font>
          <sz val="12"/>
          <color theme="1"/>
          <name val="Calibri"/>
          <family val="2"/>
          <charset val="238"/>
          <scheme val="minor"/>
        </font>
      </dxf>
    </rfmt>
    <rfmt sheetId="1" sqref="AL124" start="0" length="0">
      <dxf>
        <font>
          <sz val="12"/>
          <color theme="1"/>
          <name val="Calibri"/>
          <family val="2"/>
          <charset val="238"/>
          <scheme val="minor"/>
        </font>
      </dxf>
    </rfmt>
    <rfmt sheetId="1" sqref="AL125" start="0" length="0">
      <dxf>
        <font>
          <sz val="12"/>
          <color theme="1"/>
          <name val="Calibri"/>
          <family val="2"/>
          <charset val="238"/>
          <scheme val="minor"/>
        </font>
      </dxf>
    </rfmt>
    <rfmt sheetId="1" sqref="AL126" start="0" length="0">
      <dxf>
        <font>
          <sz val="12"/>
          <color theme="1"/>
          <name val="Calibri"/>
          <family val="2"/>
          <charset val="238"/>
          <scheme val="minor"/>
        </font>
      </dxf>
    </rfmt>
    <rfmt sheetId="1" sqref="AL127" start="0" length="0">
      <dxf>
        <font>
          <sz val="12"/>
          <color theme="1"/>
          <name val="Calibri"/>
          <family val="2"/>
          <charset val="238"/>
          <scheme val="minor"/>
        </font>
        <alignment vertical="top" wrapText="1"/>
      </dxf>
    </rfmt>
    <rfmt sheetId="1" sqref="AL128" start="0" length="0">
      <dxf>
        <font>
          <sz val="12"/>
          <color theme="1"/>
          <name val="Calibri"/>
          <family val="2"/>
          <charset val="238"/>
          <scheme val="minor"/>
        </font>
      </dxf>
    </rfmt>
    <rfmt sheetId="1" sqref="AL129" start="0" length="0">
      <dxf>
        <font>
          <sz val="12"/>
          <color theme="1"/>
          <name val="Calibri"/>
          <family val="2"/>
          <charset val="238"/>
          <scheme val="minor"/>
        </font>
      </dxf>
    </rfmt>
    <rfmt sheetId="1" sqref="AL130" start="0" length="0">
      <dxf>
        <font>
          <sz val="12"/>
          <color theme="1"/>
          <name val="Calibri"/>
          <family val="2"/>
          <charset val="238"/>
          <scheme val="minor"/>
        </font>
      </dxf>
    </rfmt>
    <rfmt sheetId="1" sqref="AL131" start="0" length="0">
      <dxf>
        <font>
          <sz val="12"/>
          <color theme="1"/>
          <name val="Calibri"/>
          <family val="2"/>
          <charset val="238"/>
          <scheme val="minor"/>
        </font>
      </dxf>
    </rfmt>
    <rfmt sheetId="1" sqref="AL132" start="0" length="0">
      <dxf>
        <font>
          <sz val="12"/>
          <color theme="1"/>
          <name val="Calibri"/>
          <family val="2"/>
          <charset val="238"/>
          <scheme val="minor"/>
        </font>
      </dxf>
    </rfmt>
    <rfmt sheetId="1" sqref="AL133" start="0" length="0">
      <dxf>
        <font>
          <sz val="12"/>
          <color theme="1"/>
          <name val="Calibri"/>
          <family val="2"/>
          <charset val="238"/>
          <scheme val="minor"/>
        </font>
      </dxf>
    </rfmt>
    <rfmt sheetId="1" sqref="AL134" start="0" length="0">
      <dxf>
        <font>
          <sz val="12"/>
          <color theme="1"/>
          <name val="Calibri"/>
          <family val="2"/>
          <charset val="238"/>
          <scheme val="minor"/>
        </font>
      </dxf>
    </rfmt>
    <rfmt sheetId="1" sqref="AL135" start="0" length="0">
      <dxf>
        <font>
          <sz val="12"/>
          <color theme="1"/>
          <name val="Calibri"/>
          <family val="2"/>
          <charset val="238"/>
          <scheme val="minor"/>
        </font>
      </dxf>
    </rfmt>
    <rfmt sheetId="1" sqref="AL136" start="0" length="0">
      <dxf>
        <font>
          <sz val="12"/>
          <color theme="1"/>
          <name val="Calibri"/>
          <family val="2"/>
          <charset val="238"/>
          <scheme val="minor"/>
        </font>
      </dxf>
    </rfmt>
    <rfmt sheetId="1" sqref="AL137" start="0" length="0">
      <dxf>
        <font>
          <sz val="12"/>
          <color theme="1"/>
          <name val="Calibri"/>
          <family val="2"/>
          <charset val="238"/>
          <scheme val="minor"/>
        </font>
      </dxf>
    </rfmt>
    <rfmt sheetId="1" sqref="AL138" start="0" length="0">
      <dxf>
        <font>
          <sz val="12"/>
          <color theme="1"/>
          <name val="Calibri"/>
          <family val="2"/>
          <charset val="238"/>
          <scheme val="minor"/>
        </font>
      </dxf>
    </rfmt>
    <rfmt sheetId="1" sqref="AL139" start="0" length="0">
      <dxf>
        <font>
          <sz val="12"/>
          <color theme="1"/>
          <name val="Calibri"/>
          <family val="2"/>
          <charset val="238"/>
          <scheme val="minor"/>
        </font>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2"/>
          <color theme="1"/>
          <name val="Calibri"/>
          <family val="2"/>
          <charset val="238"/>
          <scheme val="minor"/>
        </font>
      </dxf>
    </rfmt>
    <rfmt sheetId="1" sqref="AL143" start="0" length="0">
      <dxf>
        <font>
          <sz val="12"/>
          <color theme="1"/>
          <name val="Calibri"/>
          <family val="2"/>
          <charset val="238"/>
          <scheme val="minor"/>
        </font>
      </dxf>
    </rfmt>
    <rfmt sheetId="1" sqref="AL144" start="0" length="0">
      <dxf>
        <font>
          <sz val="12"/>
          <color theme="1"/>
          <name val="Calibri"/>
          <family val="2"/>
          <charset val="238"/>
          <scheme val="minor"/>
        </font>
      </dxf>
    </rfmt>
    <rfmt sheetId="1" sqref="AL145" start="0" length="0">
      <dxf>
        <font>
          <sz val="12"/>
          <color theme="1"/>
          <name val="Calibri"/>
          <family val="2"/>
          <charset val="238"/>
          <scheme val="minor"/>
        </font>
      </dxf>
    </rfmt>
    <rfmt sheetId="1" sqref="AL146" start="0" length="0">
      <dxf>
        <font>
          <sz val="12"/>
          <color theme="1"/>
          <name val="Calibri"/>
          <family val="2"/>
          <charset val="238"/>
          <scheme val="minor"/>
        </font>
      </dxf>
    </rfmt>
    <rfmt sheetId="1" sqref="AL147" start="0" length="0">
      <dxf>
        <font>
          <sz val="12"/>
          <color theme="1"/>
          <name val="Calibri"/>
          <family val="2"/>
          <charset val="238"/>
          <scheme val="minor"/>
        </font>
      </dxf>
    </rfmt>
    <rfmt sheetId="1" sqref="AL148" start="0" length="0">
      <dxf>
        <font>
          <sz val="12"/>
          <color theme="1"/>
          <name val="Calibri"/>
          <family val="2"/>
          <charset val="238"/>
          <scheme val="minor"/>
        </font>
      </dxf>
    </rfmt>
    <rfmt sheetId="1" sqref="AL149" start="0" length="0">
      <dxf>
        <font>
          <sz val="12"/>
          <color theme="1"/>
          <name val="Calibri"/>
          <family val="2"/>
          <charset val="238"/>
          <scheme val="minor"/>
        </font>
      </dxf>
    </rfmt>
    <rfmt sheetId="1" sqref="AL150" start="0" length="0">
      <dxf>
        <font>
          <sz val="12"/>
          <color theme="1"/>
          <name val="Calibri"/>
          <family val="2"/>
          <charset val="238"/>
          <scheme val="minor"/>
        </font>
      </dxf>
    </rfmt>
    <rfmt sheetId="1" sqref="AL151" start="0" length="0">
      <dxf>
        <font>
          <sz val="12"/>
          <color theme="1"/>
          <name val="Calibri"/>
          <family val="2"/>
          <charset val="238"/>
          <scheme val="minor"/>
        </font>
      </dxf>
    </rfmt>
    <rfmt sheetId="1" sqref="AL152" start="0" length="0">
      <dxf>
        <font>
          <sz val="12"/>
          <color theme="1"/>
          <name val="Calibri"/>
          <family val="2"/>
          <charset val="238"/>
          <scheme val="minor"/>
        </font>
      </dxf>
    </rfmt>
    <rfmt sheetId="1" sqref="AL153" start="0" length="0">
      <dxf>
        <font>
          <sz val="12"/>
          <color theme="1"/>
          <name val="Calibri"/>
          <family val="2"/>
          <charset val="238"/>
          <scheme val="minor"/>
        </font>
      </dxf>
    </rfmt>
    <rfmt sheetId="1" sqref="AL154" start="0" length="0">
      <dxf>
        <font>
          <sz val="12"/>
          <color theme="1"/>
          <name val="Calibri"/>
          <family val="2"/>
          <charset val="238"/>
          <scheme val="minor"/>
        </font>
      </dxf>
    </rfmt>
    <rfmt sheetId="1" sqref="AL155" start="0" length="0">
      <dxf>
        <font>
          <sz val="12"/>
          <color theme="1"/>
          <name val="Calibri"/>
          <family val="2"/>
          <charset val="238"/>
          <scheme val="minor"/>
        </font>
      </dxf>
    </rfmt>
    <rfmt sheetId="1" sqref="AL156" start="0" length="0">
      <dxf>
        <font>
          <sz val="12"/>
          <color theme="1"/>
          <name val="Calibri"/>
          <family val="2"/>
          <charset val="238"/>
          <scheme val="minor"/>
        </font>
      </dxf>
    </rfmt>
    <rfmt sheetId="1" sqref="AL157" start="0" length="0">
      <dxf>
        <font>
          <sz val="12"/>
          <color theme="1"/>
          <name val="Calibri"/>
          <family val="2"/>
          <charset val="238"/>
          <scheme val="minor"/>
        </font>
      </dxf>
    </rfmt>
    <rfmt sheetId="1" sqref="AL158" start="0" length="0">
      <dxf>
        <font>
          <sz val="12"/>
          <color theme="1"/>
          <name val="Calibri"/>
          <family val="2"/>
          <charset val="238"/>
          <scheme val="minor"/>
        </font>
      </dxf>
    </rfmt>
    <rfmt sheetId="1" sqref="AL159" start="0" length="0">
      <dxf>
        <font>
          <sz val="12"/>
          <color theme="1"/>
          <name val="Calibri"/>
          <family val="2"/>
          <charset val="238"/>
          <scheme val="minor"/>
        </font>
      </dxf>
    </rfmt>
    <rfmt sheetId="1" sqref="AL160" start="0" length="0">
      <dxf>
        <font>
          <sz val="12"/>
          <color theme="1"/>
          <name val="Calibri"/>
          <family val="2"/>
          <charset val="238"/>
          <scheme val="minor"/>
        </font>
      </dxf>
    </rfmt>
    <rfmt sheetId="1" sqref="AL161" start="0" length="0">
      <dxf>
        <font>
          <sz val="12"/>
          <color theme="1"/>
          <name val="Calibri"/>
          <family val="2"/>
          <charset val="238"/>
          <scheme val="minor"/>
        </font>
      </dxf>
    </rfmt>
    <rfmt sheetId="1" sqref="AL162" start="0" length="0">
      <dxf>
        <font>
          <sz val="12"/>
          <color theme="1"/>
          <name val="Calibri"/>
          <family val="2"/>
          <charset val="238"/>
          <scheme val="minor"/>
        </font>
      </dxf>
    </rfmt>
    <rfmt sheetId="1" sqref="AL163" start="0" length="0">
      <dxf>
        <font>
          <sz val="12"/>
          <color theme="1"/>
          <name val="Calibri"/>
          <family val="2"/>
          <charset val="238"/>
          <scheme val="minor"/>
        </font>
      </dxf>
    </rfmt>
    <rfmt sheetId="1" sqref="AL164" start="0" length="0">
      <dxf>
        <font>
          <sz val="12"/>
          <color theme="1"/>
          <name val="Calibri"/>
          <family val="2"/>
          <charset val="238"/>
          <scheme val="minor"/>
        </font>
      </dxf>
    </rfmt>
    <rfmt sheetId="1" sqref="AL165" start="0" length="0">
      <dxf>
        <font>
          <sz val="12"/>
          <color theme="1"/>
          <name val="Calibri"/>
          <family val="2"/>
          <charset val="238"/>
          <scheme val="minor"/>
        </font>
      </dxf>
    </rfmt>
    <rfmt sheetId="1" sqref="AL166" start="0" length="0">
      <dxf>
        <font>
          <sz val="12"/>
          <color theme="1"/>
          <name val="Calibri"/>
          <family val="2"/>
          <charset val="238"/>
          <scheme val="minor"/>
        </font>
      </dxf>
    </rfmt>
    <rfmt sheetId="1" sqref="AL167" start="0" length="0">
      <dxf>
        <font>
          <sz val="12"/>
          <color theme="1"/>
          <name val="Calibri"/>
          <family val="2"/>
          <charset val="238"/>
          <scheme val="minor"/>
        </font>
      </dxf>
    </rfmt>
    <rfmt sheetId="1" sqref="AL168" start="0" length="0">
      <dxf>
        <font>
          <sz val="12"/>
          <color theme="1"/>
          <name val="Calibri"/>
          <family val="2"/>
          <charset val="238"/>
          <scheme val="minor"/>
        </font>
      </dxf>
    </rfmt>
    <rfmt sheetId="1" sqref="AL169" start="0" length="0">
      <dxf>
        <font>
          <sz val="12"/>
          <color theme="1"/>
          <name val="Calibri"/>
          <family val="2"/>
          <charset val="238"/>
          <scheme val="minor"/>
        </font>
      </dxf>
    </rfmt>
    <rfmt sheetId="1" sqref="AL170" start="0" length="0">
      <dxf>
        <font>
          <sz val="12"/>
          <color theme="1"/>
          <name val="Calibri"/>
          <family val="2"/>
          <charset val="238"/>
          <scheme val="minor"/>
        </font>
      </dxf>
    </rfmt>
    <rfmt sheetId="1" sqref="AL171" start="0" length="0">
      <dxf>
        <font>
          <sz val="12"/>
          <color theme="1"/>
          <name val="Calibri"/>
          <family val="2"/>
          <charset val="238"/>
          <scheme val="minor"/>
        </font>
      </dxf>
    </rfmt>
    <rfmt sheetId="1" sqref="AL172" start="0" length="0">
      <dxf>
        <font>
          <sz val="12"/>
          <color theme="1"/>
          <name val="Calibri"/>
          <family val="2"/>
          <charset val="238"/>
          <scheme val="minor"/>
        </font>
      </dxf>
    </rfmt>
    <rfmt sheetId="1" sqref="AL173" start="0" length="0">
      <dxf>
        <font>
          <sz val="12"/>
          <color theme="1"/>
          <name val="Calibri"/>
          <family val="2"/>
          <charset val="238"/>
          <scheme val="minor"/>
        </font>
      </dxf>
    </rfmt>
    <rfmt sheetId="1" sqref="AL174" start="0" length="0">
      <dxf>
        <font>
          <sz val="12"/>
          <color theme="1"/>
          <name val="Calibri"/>
          <family val="2"/>
          <charset val="238"/>
          <scheme val="minor"/>
        </font>
      </dxf>
    </rfmt>
    <rfmt sheetId="1" sqref="AL175" start="0" length="0">
      <dxf>
        <font>
          <sz val="12"/>
          <color theme="1"/>
          <name val="Calibri"/>
          <family val="2"/>
          <charset val="238"/>
          <scheme val="minor"/>
        </font>
      </dxf>
    </rfmt>
    <rfmt sheetId="1" sqref="AL176" start="0" length="0">
      <dxf>
        <font>
          <sz val="12"/>
          <color theme="1"/>
          <name val="Calibri"/>
          <family val="2"/>
          <charset val="238"/>
          <scheme val="minor"/>
        </font>
      </dxf>
    </rfmt>
    <rfmt sheetId="1" sqref="AL177" start="0" length="0">
      <dxf>
        <font>
          <sz val="12"/>
          <color theme="1"/>
          <name val="Calibri"/>
          <family val="2"/>
          <charset val="238"/>
          <scheme val="minor"/>
        </font>
      </dxf>
    </rfmt>
    <rfmt sheetId="1" sqref="AL178" start="0" length="0">
      <dxf>
        <font>
          <sz val="12"/>
          <color theme="1"/>
          <name val="Calibri"/>
          <family val="2"/>
          <charset val="238"/>
          <scheme val="minor"/>
        </font>
      </dxf>
    </rfmt>
    <rfmt sheetId="1" sqref="AL179" start="0" length="0">
      <dxf>
        <font>
          <sz val="12"/>
          <color theme="1"/>
          <name val="Calibri"/>
          <family val="2"/>
          <charset val="238"/>
          <scheme val="minor"/>
        </font>
      </dxf>
    </rfmt>
    <rfmt sheetId="1" sqref="AL180" start="0" length="0">
      <dxf>
        <font>
          <sz val="12"/>
          <color theme="1"/>
          <name val="Calibri"/>
          <family val="2"/>
          <charset val="238"/>
          <scheme val="minor"/>
        </font>
      </dxf>
    </rfmt>
    <rfmt sheetId="1" sqref="AL181" start="0" length="0">
      <dxf>
        <font>
          <sz val="12"/>
          <color theme="1"/>
          <name val="Calibri"/>
          <family val="2"/>
          <charset val="238"/>
          <scheme val="minor"/>
        </font>
      </dxf>
    </rfmt>
    <rfmt sheetId="1" sqref="AL182" start="0" length="0">
      <dxf>
        <font>
          <sz val="12"/>
          <color theme="1"/>
          <name val="Calibri"/>
          <family val="2"/>
          <charset val="238"/>
          <scheme val="minor"/>
        </font>
      </dxf>
    </rfmt>
    <rfmt sheetId="1" sqref="AL183" start="0" length="0">
      <dxf>
        <font>
          <sz val="12"/>
          <color theme="1"/>
          <name val="Calibri"/>
          <family val="2"/>
          <charset val="238"/>
          <scheme val="minor"/>
        </font>
      </dxf>
    </rfmt>
    <rfmt sheetId="1" sqref="AL184" start="0" length="0">
      <dxf>
        <font>
          <sz val="12"/>
          <color theme="1"/>
          <name val="Calibri"/>
          <family val="2"/>
          <charset val="238"/>
          <scheme val="minor"/>
        </font>
      </dxf>
    </rfmt>
    <rfmt sheetId="1" sqref="AL185" start="0" length="0">
      <dxf>
        <font>
          <sz val="12"/>
          <color theme="1"/>
          <name val="Calibri"/>
          <family val="2"/>
          <charset val="238"/>
          <scheme val="minor"/>
        </font>
      </dxf>
    </rfmt>
    <rfmt sheetId="1" sqref="AL186" start="0" length="0">
      <dxf>
        <font>
          <sz val="12"/>
          <color theme="1"/>
          <name val="Calibri"/>
          <family val="2"/>
          <charset val="238"/>
          <scheme val="minor"/>
        </font>
      </dxf>
    </rfmt>
    <rfmt sheetId="1" sqref="AL187" start="0" length="0">
      <dxf>
        <font>
          <sz val="12"/>
          <color theme="1"/>
          <name val="Calibri"/>
          <family val="2"/>
          <charset val="238"/>
          <scheme val="minor"/>
        </font>
      </dxf>
    </rfmt>
    <rfmt sheetId="1" sqref="AL188" start="0" length="0">
      <dxf>
        <font>
          <sz val="12"/>
          <color theme="1"/>
          <name val="Calibri"/>
          <family val="2"/>
          <charset val="238"/>
          <scheme val="minor"/>
        </font>
      </dxf>
    </rfmt>
    <rfmt sheetId="1" sqref="AL189" start="0" length="0">
      <dxf>
        <font>
          <sz val="12"/>
          <color theme="1"/>
          <name val="Calibri"/>
          <family val="2"/>
          <charset val="238"/>
          <scheme val="minor"/>
        </font>
      </dxf>
    </rfmt>
    <rfmt sheetId="1" sqref="AL190" start="0" length="0">
      <dxf>
        <font>
          <sz val="12"/>
          <color theme="1"/>
          <name val="Calibri"/>
          <family val="2"/>
          <charset val="238"/>
          <scheme val="minor"/>
        </font>
      </dxf>
    </rfmt>
    <rfmt sheetId="1" sqref="AL191" start="0" length="0">
      <dxf>
        <font>
          <sz val="12"/>
          <color theme="1"/>
          <name val="Calibri"/>
          <family val="2"/>
          <charset val="238"/>
          <scheme val="minor"/>
        </font>
      </dxf>
    </rfmt>
    <rfmt sheetId="1" sqref="AL192" start="0" length="0">
      <dxf>
        <font>
          <sz val="12"/>
          <color theme="1"/>
          <name val="Calibri"/>
          <family val="2"/>
          <charset val="238"/>
          <scheme val="minor"/>
        </font>
      </dxf>
    </rfmt>
    <rfmt sheetId="1" sqref="AL193" start="0" length="0">
      <dxf>
        <font>
          <sz val="12"/>
          <color theme="1"/>
          <name val="Calibri"/>
          <family val="2"/>
          <charset val="238"/>
          <scheme val="minor"/>
        </font>
      </dxf>
    </rfmt>
    <rfmt sheetId="1" sqref="AL194" start="0" length="0">
      <dxf>
        <font>
          <sz val="12"/>
          <color theme="1"/>
          <name val="Calibri"/>
          <family val="2"/>
          <charset val="238"/>
          <scheme val="minor"/>
        </font>
      </dxf>
    </rfmt>
    <rfmt sheetId="1" sqref="AL195" start="0" length="0">
      <dxf>
        <font>
          <sz val="12"/>
          <color theme="1"/>
          <name val="Calibri"/>
          <family val="2"/>
          <charset val="238"/>
          <scheme val="minor"/>
        </font>
      </dxf>
    </rfmt>
    <rfmt sheetId="1" sqref="AL196" start="0" length="0">
      <dxf>
        <font>
          <sz val="12"/>
          <color theme="1"/>
          <name val="Calibri"/>
          <family val="2"/>
          <charset val="238"/>
          <scheme val="minor"/>
        </font>
      </dxf>
    </rfmt>
    <rfmt sheetId="1" sqref="AL197" start="0" length="0">
      <dxf>
        <font>
          <sz val="12"/>
          <color theme="1"/>
          <name val="Calibri"/>
          <family val="2"/>
          <charset val="238"/>
          <scheme val="minor"/>
        </font>
      </dxf>
    </rfmt>
    <rfmt sheetId="1" sqref="AL198" start="0" length="0">
      <dxf>
        <font>
          <sz val="12"/>
          <color theme="1"/>
          <name val="Calibri"/>
          <family val="2"/>
          <charset val="238"/>
          <scheme val="minor"/>
        </font>
      </dxf>
    </rfmt>
    <rfmt sheetId="1" sqref="AL199" start="0" length="0">
      <dxf>
        <font>
          <sz val="12"/>
          <color theme="1"/>
          <name val="Calibri"/>
          <family val="2"/>
          <charset val="238"/>
          <scheme val="minor"/>
        </font>
      </dxf>
    </rfmt>
    <rfmt sheetId="1" sqref="AL200" start="0" length="0">
      <dxf>
        <font>
          <sz val="12"/>
          <color theme="1"/>
          <name val="Calibri"/>
          <family val="2"/>
          <charset val="238"/>
          <scheme val="minor"/>
        </font>
      </dxf>
    </rfmt>
    <rfmt sheetId="1" sqref="AL201" start="0" length="0">
      <dxf>
        <font>
          <sz val="12"/>
          <color theme="1"/>
          <name val="Calibri"/>
          <family val="2"/>
          <charset val="238"/>
          <scheme val="minor"/>
        </font>
      </dxf>
    </rfmt>
    <rfmt sheetId="1" sqref="AL202" start="0" length="0">
      <dxf>
        <font>
          <sz val="12"/>
          <color theme="1"/>
          <name val="Calibri"/>
          <family val="2"/>
          <charset val="238"/>
          <scheme val="minor"/>
        </font>
      </dxf>
    </rfmt>
    <rfmt sheetId="1" sqref="AL203" start="0" length="0">
      <dxf>
        <font>
          <sz val="12"/>
          <color theme="1"/>
          <name val="Calibri"/>
          <family val="2"/>
          <charset val="238"/>
          <scheme val="minor"/>
        </font>
      </dxf>
    </rfmt>
    <rfmt sheetId="1" sqref="AL204" start="0" length="0">
      <dxf>
        <font>
          <sz val="12"/>
          <color theme="1"/>
          <name val="Calibri"/>
          <family val="2"/>
          <charset val="238"/>
          <scheme val="minor"/>
        </font>
        <alignment vertical="top" wrapText="1"/>
      </dxf>
    </rfmt>
    <rfmt sheetId="1" sqref="AL205" start="0" length="0">
      <dxf>
        <font>
          <sz val="12"/>
          <color theme="1"/>
          <name val="Calibri"/>
          <family val="2"/>
          <charset val="238"/>
          <scheme val="minor"/>
        </font>
        <alignment vertical="top" wrapText="1"/>
      </dxf>
    </rfmt>
    <rfmt sheetId="1" sqref="AL206" start="0" length="0">
      <dxf>
        <font>
          <sz val="12"/>
          <color theme="1"/>
          <name val="Calibri"/>
          <family val="2"/>
          <charset val="238"/>
          <scheme val="minor"/>
        </font>
        <alignment vertical="top" wrapText="1"/>
      </dxf>
    </rfmt>
    <rfmt sheetId="1" sqref="AL207" start="0" length="0">
      <dxf>
        <font>
          <sz val="12"/>
          <color theme="1"/>
          <name val="Calibri"/>
          <family val="2"/>
          <charset val="238"/>
          <scheme val="minor"/>
        </font>
        <alignment vertical="top" wrapText="1"/>
      </dxf>
    </rfmt>
    <rfmt sheetId="1" sqref="AL208" start="0" length="0">
      <dxf>
        <font>
          <sz val="12"/>
          <color theme="1"/>
          <name val="Calibri"/>
          <family val="2"/>
          <charset val="238"/>
          <scheme val="minor"/>
        </font>
      </dxf>
    </rfmt>
    <rfmt sheetId="1" sqref="AL209" start="0" length="0">
      <dxf>
        <font>
          <sz val="12"/>
          <color theme="1"/>
          <name val="Calibri"/>
          <family val="2"/>
          <charset val="238"/>
          <scheme val="minor"/>
        </font>
      </dxf>
    </rfmt>
    <rfmt sheetId="1" sqref="AL210" start="0" length="0">
      <dxf>
        <font>
          <sz val="12"/>
          <color theme="1"/>
          <name val="Calibri"/>
          <family val="2"/>
          <charset val="238"/>
          <scheme val="minor"/>
        </font>
      </dxf>
    </rfmt>
    <rfmt sheetId="1" sqref="AL211" start="0" length="0">
      <dxf>
        <font>
          <sz val="12"/>
          <color theme="1"/>
          <name val="Calibri"/>
          <family val="2"/>
          <charset val="238"/>
          <scheme val="minor"/>
        </font>
        <alignment vertical="top" wrapText="1"/>
      </dxf>
    </rfmt>
    <rfmt sheetId="1" sqref="AL212" start="0" length="0">
      <dxf>
        <font>
          <sz val="12"/>
          <color theme="1"/>
          <name val="Calibri"/>
          <family val="2"/>
          <charset val="238"/>
          <scheme val="minor"/>
        </font>
      </dxf>
    </rfmt>
    <rfmt sheetId="1" sqref="AL213" start="0" length="0">
      <dxf>
        <font>
          <sz val="12"/>
          <color theme="1"/>
          <name val="Calibri"/>
          <family val="2"/>
          <charset val="238"/>
          <scheme val="minor"/>
        </font>
      </dxf>
    </rfmt>
    <rfmt sheetId="1" sqref="AL214" start="0" length="0">
      <dxf>
        <font>
          <sz val="12"/>
          <color theme="1"/>
          <name val="Calibri"/>
          <family val="2"/>
          <charset val="238"/>
          <scheme val="minor"/>
        </font>
      </dxf>
    </rfmt>
    <rfmt sheetId="1" sqref="AL215" start="0" length="0">
      <dxf>
        <font>
          <sz val="12"/>
          <color theme="1"/>
          <name val="Calibri"/>
          <family val="2"/>
          <charset val="238"/>
          <scheme val="minor"/>
        </font>
      </dxf>
    </rfmt>
    <rfmt sheetId="1" sqref="AL216" start="0" length="0">
      <dxf>
        <font>
          <sz val="12"/>
          <color theme="1"/>
          <name val="Calibri"/>
          <family val="2"/>
          <charset val="238"/>
          <scheme val="minor"/>
        </font>
      </dxf>
    </rfmt>
    <rfmt sheetId="1" sqref="AL217" start="0" length="0">
      <dxf>
        <font>
          <sz val="12"/>
          <color theme="1"/>
          <name val="Calibri"/>
          <family val="2"/>
          <charset val="238"/>
          <scheme val="minor"/>
        </font>
      </dxf>
    </rfmt>
    <rfmt sheetId="1" sqref="AL218" start="0" length="0">
      <dxf>
        <font>
          <sz val="12"/>
          <color theme="1"/>
          <name val="Calibri"/>
          <family val="2"/>
          <charset val="238"/>
          <scheme val="minor"/>
        </font>
      </dxf>
    </rfmt>
    <rfmt sheetId="1" sqref="AL219" start="0" length="0">
      <dxf>
        <font>
          <sz val="12"/>
          <color theme="1"/>
          <name val="Calibri"/>
          <family val="2"/>
          <charset val="238"/>
          <scheme val="minor"/>
        </font>
      </dxf>
    </rfmt>
    <rfmt sheetId="1" sqref="AL220" start="0" length="0">
      <dxf>
        <font>
          <sz val="12"/>
          <color theme="1"/>
          <name val="Calibri"/>
          <family val="2"/>
          <charset val="238"/>
          <scheme val="minor"/>
        </font>
      </dxf>
    </rfmt>
    <rfmt sheetId="1" sqref="AL221" start="0" length="0">
      <dxf>
        <font>
          <sz val="12"/>
          <color theme="1"/>
          <name val="Calibri"/>
          <family val="2"/>
          <charset val="238"/>
          <scheme val="minor"/>
        </font>
      </dxf>
    </rfmt>
    <rfmt sheetId="1" sqref="AL222" start="0" length="0">
      <dxf>
        <font>
          <sz val="12"/>
          <color theme="1"/>
          <name val="Calibri"/>
          <family val="2"/>
          <charset val="238"/>
          <scheme val="minor"/>
        </font>
      </dxf>
    </rfmt>
    <rfmt sheetId="1" sqref="AL223" start="0" length="0">
      <dxf>
        <font>
          <sz val="12"/>
          <color theme="1"/>
          <name val="Calibri"/>
          <family val="2"/>
          <charset val="238"/>
          <scheme val="minor"/>
        </font>
      </dxf>
    </rfmt>
    <rfmt sheetId="1" sqref="AL224" start="0" length="0">
      <dxf>
        <font>
          <sz val="12"/>
          <color theme="1"/>
          <name val="Calibri"/>
          <family val="2"/>
          <charset val="238"/>
          <scheme val="minor"/>
        </font>
      </dxf>
    </rfmt>
    <rfmt sheetId="1" sqref="AL225" start="0" length="0">
      <dxf>
        <font>
          <sz val="12"/>
          <color theme="1"/>
          <name val="Calibri"/>
          <family val="2"/>
          <charset val="238"/>
          <scheme val="minor"/>
        </font>
      </dxf>
    </rfmt>
    <rfmt sheetId="1" sqref="AL226" start="0" length="0">
      <dxf>
        <font>
          <sz val="12"/>
          <color theme="1"/>
          <name val="Calibri"/>
          <family val="2"/>
          <charset val="238"/>
          <scheme val="minor"/>
        </font>
      </dxf>
    </rfmt>
    <rfmt sheetId="1" sqref="AL227" start="0" length="0">
      <dxf>
        <font>
          <sz val="12"/>
          <color theme="1"/>
          <name val="Calibri"/>
          <family val="2"/>
          <charset val="238"/>
          <scheme val="minor"/>
        </font>
      </dxf>
    </rfmt>
    <rfmt sheetId="1" sqref="AL228" start="0" length="0">
      <dxf>
        <font>
          <sz val="12"/>
          <color theme="1"/>
          <name val="Calibri"/>
          <family val="2"/>
          <charset val="238"/>
          <scheme val="minor"/>
        </font>
      </dxf>
    </rfmt>
    <rfmt sheetId="1" sqref="AL229" start="0" length="0">
      <dxf>
        <font>
          <sz val="12"/>
          <color theme="1"/>
          <name val="Calibri"/>
          <family val="2"/>
          <charset val="238"/>
          <scheme val="minor"/>
        </font>
      </dxf>
    </rfmt>
    <rfmt sheetId="1" sqref="AL230" start="0" length="0">
      <dxf>
        <font>
          <sz val="12"/>
          <color theme="1"/>
          <name val="Calibri"/>
          <family val="2"/>
          <charset val="238"/>
          <scheme val="minor"/>
        </font>
      </dxf>
    </rfmt>
    <rfmt sheetId="1" sqref="AL231" start="0" length="0">
      <dxf>
        <font>
          <sz val="12"/>
          <color theme="1"/>
          <name val="Calibri"/>
          <family val="2"/>
          <charset val="238"/>
          <scheme val="minor"/>
        </font>
      </dxf>
    </rfmt>
    <rfmt sheetId="1" sqref="AL232" start="0" length="0">
      <dxf>
        <font>
          <sz val="12"/>
          <color theme="1"/>
          <name val="Calibri"/>
          <family val="2"/>
          <charset val="238"/>
          <scheme val="minor"/>
        </font>
      </dxf>
    </rfmt>
    <rfmt sheetId="1" sqref="AL233" start="0" length="0">
      <dxf>
        <font>
          <sz val="12"/>
          <color theme="1"/>
          <name val="Calibri"/>
          <family val="2"/>
          <charset val="238"/>
          <scheme val="minor"/>
        </font>
      </dxf>
    </rfmt>
    <rfmt sheetId="1" sqref="AL234" start="0" length="0">
      <dxf>
        <font>
          <sz val="12"/>
          <color theme="1"/>
          <name val="Calibri"/>
          <family val="2"/>
          <charset val="238"/>
          <scheme val="minor"/>
        </font>
      </dxf>
    </rfmt>
    <rfmt sheetId="1" sqref="AL235" start="0" length="0">
      <dxf>
        <font>
          <sz val="12"/>
          <color theme="1"/>
          <name val="Calibri"/>
          <family val="2"/>
          <charset val="238"/>
          <scheme val="minor"/>
        </font>
      </dxf>
    </rfmt>
    <rfmt sheetId="1" sqref="AL236" start="0" length="0">
      <dxf>
        <font>
          <sz val="12"/>
          <color theme="1"/>
          <name val="Calibri"/>
          <family val="2"/>
          <charset val="238"/>
          <scheme val="minor"/>
        </font>
      </dxf>
    </rfmt>
    <rfmt sheetId="1" sqref="AL237" start="0" length="0">
      <dxf>
        <font>
          <sz val="12"/>
          <color theme="1"/>
          <name val="Calibri"/>
          <family val="2"/>
          <charset val="238"/>
          <scheme val="minor"/>
        </font>
      </dxf>
    </rfmt>
    <rfmt sheetId="1" sqref="AL238" start="0" length="0">
      <dxf>
        <font>
          <sz val="12"/>
          <color theme="1"/>
          <name val="Calibri"/>
          <family val="2"/>
          <charset val="238"/>
          <scheme val="minor"/>
        </font>
      </dxf>
    </rfmt>
    <rfmt sheetId="1" sqref="AL239" start="0" length="0">
      <dxf>
        <font>
          <sz val="12"/>
          <color theme="1"/>
          <name val="Calibri"/>
          <family val="2"/>
          <charset val="238"/>
          <scheme val="minor"/>
        </font>
      </dxf>
    </rfmt>
    <rfmt sheetId="1" sqref="AL240" start="0" length="0">
      <dxf>
        <font>
          <sz val="12"/>
          <color theme="0"/>
          <name val="Calibri"/>
          <family val="2"/>
          <charset val="238"/>
          <scheme val="minor"/>
        </font>
      </dxf>
    </rfmt>
    <rfmt sheetId="1" sqref="AL241" start="0" length="0">
      <dxf>
        <font>
          <sz val="12"/>
          <color theme="0"/>
          <name val="Calibri"/>
          <family val="2"/>
          <charset val="238"/>
          <scheme val="minor"/>
        </font>
      </dxf>
    </rfmt>
    <rfmt sheetId="1" sqref="AL242" start="0" length="0">
      <dxf>
        <font>
          <sz val="12"/>
          <color theme="0"/>
          <name val="Calibri"/>
          <family val="2"/>
          <charset val="238"/>
          <scheme val="minor"/>
        </font>
      </dxf>
    </rfmt>
    <rfmt sheetId="1" sqref="AL243" start="0" length="0">
      <dxf>
        <font>
          <sz val="12"/>
          <color theme="0"/>
          <name val="Calibri"/>
          <family val="2"/>
          <charset val="238"/>
          <scheme val="minor"/>
        </font>
      </dxf>
    </rfmt>
    <rfmt sheetId="1" sqref="AL244" start="0" length="0">
      <dxf>
        <font>
          <sz val="12"/>
          <color theme="1"/>
          <name val="Calibri"/>
          <family val="2"/>
          <charset val="238"/>
          <scheme val="minor"/>
        </font>
      </dxf>
    </rfmt>
    <rfmt sheetId="1" sqref="AL245" start="0" length="0">
      <dxf>
        <font>
          <sz val="12"/>
          <color theme="1"/>
          <name val="Calibri"/>
          <family val="2"/>
          <charset val="238"/>
          <scheme val="minor"/>
        </font>
      </dxf>
    </rfmt>
    <rfmt sheetId="1" sqref="AL246" start="0" length="0">
      <dxf>
        <font>
          <sz val="12"/>
          <color theme="1"/>
          <name val="Calibri"/>
          <family val="2"/>
          <charset val="238"/>
          <scheme val="minor"/>
        </font>
      </dxf>
    </rfmt>
    <rfmt sheetId="1" sqref="AL247" start="0" length="0">
      <dxf>
        <font>
          <sz val="12"/>
          <color theme="1"/>
          <name val="Calibri"/>
          <family val="2"/>
          <charset val="238"/>
          <scheme val="minor"/>
        </font>
      </dxf>
    </rfmt>
    <rfmt sheetId="1" sqref="AL248" start="0" length="0">
      <dxf>
        <font>
          <sz val="12"/>
          <color theme="1"/>
          <name val="Calibri"/>
          <family val="2"/>
          <charset val="238"/>
          <scheme val="minor"/>
        </font>
      </dxf>
    </rfmt>
    <rfmt sheetId="1" sqref="AL249" start="0" length="0">
      <dxf>
        <font>
          <sz val="12"/>
          <color theme="1"/>
          <name val="Calibri"/>
          <family val="2"/>
          <charset val="238"/>
          <scheme val="minor"/>
        </font>
      </dxf>
    </rfmt>
    <rfmt sheetId="1" sqref="AL250" start="0" length="0">
      <dxf>
        <font>
          <sz val="12"/>
          <color theme="1"/>
          <name val="Calibri"/>
          <family val="2"/>
          <charset val="238"/>
          <scheme val="minor"/>
        </font>
      </dxf>
    </rfmt>
    <rfmt sheetId="1" sqref="AL251" start="0" length="0">
      <dxf>
        <font>
          <sz val="12"/>
          <color theme="0"/>
          <name val="Calibri"/>
          <family val="2"/>
          <charset val="238"/>
          <scheme val="minor"/>
        </font>
      </dxf>
    </rfmt>
    <rfmt sheetId="1" sqref="AL252" start="0" length="0">
      <dxf>
        <font>
          <sz val="12"/>
          <color theme="0"/>
          <name val="Calibri"/>
          <family val="2"/>
          <charset val="238"/>
          <scheme val="minor"/>
        </font>
      </dxf>
    </rfmt>
    <rfmt sheetId="1" sqref="AL253" start="0" length="0">
      <dxf>
        <font>
          <sz val="12"/>
          <color theme="0"/>
          <name val="Calibri"/>
          <family val="2"/>
          <charset val="238"/>
          <scheme val="minor"/>
        </font>
      </dxf>
    </rfmt>
    <rfmt sheetId="1" sqref="AL254" start="0" length="0">
      <dxf>
        <font>
          <sz val="12"/>
          <color theme="0"/>
          <name val="Calibri"/>
          <family val="2"/>
          <charset val="238"/>
          <scheme val="minor"/>
        </font>
      </dxf>
    </rfmt>
    <rfmt sheetId="1" sqref="AL255" start="0" length="0">
      <dxf>
        <font>
          <sz val="12"/>
          <color theme="1"/>
          <name val="Calibri"/>
          <family val="2"/>
          <charset val="238"/>
          <scheme val="minor"/>
        </font>
      </dxf>
    </rfmt>
    <rfmt sheetId="1" sqref="AL256" start="0" length="0">
      <dxf>
        <font>
          <sz val="12"/>
          <color theme="1"/>
          <name val="Calibri"/>
          <family val="2"/>
          <charset val="238"/>
          <scheme val="minor"/>
        </font>
      </dxf>
    </rfmt>
    <rfmt sheetId="1" sqref="AL257" start="0" length="0">
      <dxf>
        <font>
          <sz val="12"/>
          <color theme="1"/>
          <name val="Calibri"/>
          <family val="2"/>
          <charset val="238"/>
          <scheme val="minor"/>
        </font>
      </dxf>
    </rfmt>
    <rfmt sheetId="1" sqref="AL258" start="0" length="0">
      <dxf>
        <font>
          <sz val="12"/>
          <color theme="1"/>
          <name val="Calibri"/>
          <family val="2"/>
          <charset val="238"/>
          <scheme val="minor"/>
        </font>
      </dxf>
    </rfmt>
    <rfmt sheetId="1" sqref="AL259" start="0" length="0">
      <dxf>
        <font>
          <sz val="12"/>
          <color theme="1"/>
          <name val="Calibri"/>
          <family val="2"/>
          <charset val="238"/>
          <scheme val="minor"/>
        </font>
      </dxf>
    </rfmt>
    <rfmt sheetId="1" sqref="AL260" start="0" length="0">
      <dxf>
        <font>
          <sz val="12"/>
          <color theme="1"/>
          <name val="Calibri"/>
          <family val="2"/>
          <charset val="238"/>
          <scheme val="minor"/>
        </font>
      </dxf>
    </rfmt>
    <rfmt sheetId="1" sqref="AL261" start="0" length="0">
      <dxf>
        <font>
          <sz val="12"/>
          <color theme="1"/>
          <name val="Calibri"/>
          <family val="2"/>
          <charset val="238"/>
          <scheme val="minor"/>
        </font>
      </dxf>
    </rfmt>
    <rfmt sheetId="1" sqref="AL262" start="0" length="0">
      <dxf>
        <font>
          <sz val="12"/>
          <color theme="1"/>
          <name val="Calibri"/>
          <family val="2"/>
          <charset val="238"/>
          <scheme val="minor"/>
        </font>
      </dxf>
    </rfmt>
    <rfmt sheetId="1" sqref="AL263" start="0" length="0">
      <dxf>
        <font>
          <sz val="12"/>
          <color theme="1"/>
          <name val="Calibri"/>
          <family val="2"/>
          <charset val="238"/>
          <scheme val="minor"/>
        </font>
      </dxf>
    </rfmt>
    <rfmt sheetId="1" sqref="AL264" start="0" length="0">
      <dxf>
        <font>
          <sz val="12"/>
          <color theme="1"/>
          <name val="Calibri"/>
          <family val="2"/>
          <charset val="238"/>
          <scheme val="minor"/>
        </font>
      </dxf>
    </rfmt>
    <rfmt sheetId="1" sqref="AL265" start="0" length="0">
      <dxf>
        <font>
          <sz val="12"/>
          <color theme="1"/>
          <name val="Calibri"/>
          <family val="2"/>
          <charset val="238"/>
          <scheme val="minor"/>
        </font>
      </dxf>
    </rfmt>
    <rfmt sheetId="1" sqref="AL266" start="0" length="0">
      <dxf>
        <font>
          <sz val="12"/>
          <color theme="1"/>
          <name val="Calibri"/>
          <family val="2"/>
          <charset val="238"/>
          <scheme val="minor"/>
        </font>
      </dxf>
    </rfmt>
    <rfmt sheetId="1" sqref="AL267" start="0" length="0">
      <dxf>
        <font>
          <sz val="12"/>
          <color theme="1"/>
          <name val="Calibri"/>
          <family val="2"/>
          <charset val="238"/>
          <scheme val="minor"/>
        </font>
      </dxf>
    </rfmt>
    <rfmt sheetId="1" sqref="AL268" start="0" length="0">
      <dxf>
        <font>
          <sz val="12"/>
          <color theme="1"/>
          <name val="Calibri"/>
          <family val="2"/>
          <charset val="238"/>
          <scheme val="minor"/>
        </font>
      </dxf>
    </rfmt>
    <rfmt sheetId="1" sqref="AL269" start="0" length="0">
      <dxf>
        <font>
          <sz val="12"/>
          <color theme="1"/>
          <name val="Calibri"/>
          <family val="2"/>
          <charset val="238"/>
          <scheme val="minor"/>
        </font>
      </dxf>
    </rfmt>
    <rfmt sheetId="1" sqref="AL270" start="0" length="0">
      <dxf>
        <font>
          <sz val="12"/>
          <color theme="1"/>
          <name val="Calibri"/>
          <family val="2"/>
          <charset val="238"/>
          <scheme val="minor"/>
        </font>
      </dxf>
    </rfmt>
    <rfmt sheetId="1" sqref="AL271" start="0" length="0">
      <dxf>
        <font>
          <sz val="12"/>
          <color theme="1"/>
          <name val="Calibri"/>
          <family val="2"/>
          <charset val="238"/>
          <scheme val="minor"/>
        </font>
      </dxf>
    </rfmt>
    <rfmt sheetId="1" sqref="AL272" start="0" length="0">
      <dxf>
        <font>
          <sz val="12"/>
          <color theme="1"/>
          <name val="Calibri"/>
          <family val="2"/>
          <charset val="238"/>
          <scheme val="minor"/>
        </font>
      </dxf>
    </rfmt>
    <rfmt sheetId="1" sqref="AL273" start="0" length="0">
      <dxf>
        <font>
          <sz val="12"/>
          <color theme="1"/>
          <name val="Calibri"/>
          <family val="2"/>
          <charset val="238"/>
          <scheme val="minor"/>
        </font>
      </dxf>
    </rfmt>
    <rfmt sheetId="1" sqref="AL274" start="0" length="0">
      <dxf>
        <font>
          <sz val="12"/>
          <color theme="1"/>
          <name val="Calibri"/>
          <family val="2"/>
          <charset val="238"/>
          <scheme val="minor"/>
        </font>
      </dxf>
    </rfmt>
    <rfmt sheetId="1" sqref="AL275" start="0" length="0">
      <dxf>
        <font>
          <sz val="12"/>
          <color theme="1"/>
          <name val="Calibri"/>
          <family val="2"/>
          <charset val="238"/>
          <scheme val="minor"/>
        </font>
      </dxf>
    </rfmt>
    <rfmt sheetId="1" sqref="AL276" start="0" length="0">
      <dxf>
        <font>
          <sz val="12"/>
          <color theme="1"/>
          <name val="Calibri"/>
          <family val="2"/>
          <charset val="238"/>
          <scheme val="minor"/>
        </font>
      </dxf>
    </rfmt>
    <rfmt sheetId="1" sqref="AL277" start="0" length="0">
      <dxf>
        <font>
          <sz val="12"/>
          <color theme="1"/>
          <name val="Calibri"/>
          <family val="2"/>
          <charset val="238"/>
          <scheme val="minor"/>
        </font>
      </dxf>
    </rfmt>
    <rfmt sheetId="1" sqref="AL278" start="0" length="0">
      <dxf>
        <font>
          <sz val="12"/>
          <color theme="1"/>
          <name val="Calibri"/>
          <family val="2"/>
          <charset val="238"/>
          <scheme val="minor"/>
        </font>
      </dxf>
    </rfmt>
    <rfmt sheetId="1" sqref="AL279" start="0" length="0">
      <dxf>
        <font>
          <sz val="12"/>
          <color theme="1"/>
          <name val="Calibri"/>
          <family val="2"/>
          <charset val="238"/>
          <scheme val="minor"/>
        </font>
      </dxf>
    </rfmt>
    <rfmt sheetId="1" sqref="AL280" start="0" length="0">
      <dxf>
        <font>
          <sz val="12"/>
          <color theme="1"/>
          <name val="Calibri"/>
          <family val="2"/>
          <charset val="238"/>
          <scheme val="minor"/>
        </font>
      </dxf>
    </rfmt>
    <rfmt sheetId="1" sqref="AL281"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2"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3"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4"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5" start="0" length="0">
      <dxf>
        <font>
          <sz val="12"/>
          <color theme="1"/>
          <name val="Calibri"/>
          <family val="2"/>
          <charset val="238"/>
          <scheme val="minor"/>
        </font>
      </dxf>
    </rfmt>
    <rfmt sheetId="1" sqref="AL286" start="0" length="0">
      <dxf>
        <font>
          <sz val="12"/>
          <color theme="1"/>
          <name val="Calibri"/>
          <family val="2"/>
          <charset val="238"/>
          <scheme val="minor"/>
        </font>
        <numFmt numFmtId="4" formatCode="#,##0.00"/>
        <border outline="0">
          <left style="thin">
            <color indexed="64"/>
          </left>
          <right style="thin">
            <color indexed="64"/>
          </right>
          <top style="thin">
            <color indexed="64"/>
          </top>
          <bottom style="thin">
            <color indexed="64"/>
          </bottom>
        </border>
      </dxf>
    </rfmt>
    <rfmt sheetId="1" sqref="AL287" start="0" length="0">
      <dxf>
        <font>
          <sz val="12"/>
          <color theme="1"/>
          <name val="Calibri"/>
          <family val="2"/>
          <charset val="238"/>
          <scheme val="minor"/>
        </font>
      </dxf>
    </rfmt>
    <rfmt sheetId="1" sqref="AL288" start="0" length="0">
      <dxf>
        <font>
          <sz val="12"/>
          <color theme="1"/>
          <name val="Calibri"/>
          <family val="2"/>
          <charset val="238"/>
          <scheme val="minor"/>
        </font>
      </dxf>
    </rfmt>
    <rfmt sheetId="1" sqref="AL289" start="0" length="0">
      <dxf>
        <font>
          <sz val="12"/>
          <color theme="1"/>
          <name val="Calibri"/>
          <family val="2"/>
          <charset val="238"/>
          <scheme val="minor"/>
        </font>
      </dxf>
    </rfmt>
    <rfmt sheetId="1" sqref="AL290" start="0" length="0">
      <dxf>
        <font>
          <sz val="12"/>
          <color theme="1"/>
          <name val="Calibri"/>
          <family val="2"/>
          <charset val="238"/>
          <scheme val="minor"/>
        </font>
      </dxf>
    </rfmt>
    <rfmt sheetId="1" sqref="AL291" start="0" length="0">
      <dxf>
        <font>
          <sz val="12"/>
          <color theme="1"/>
          <name val="Calibri"/>
          <family val="2"/>
          <charset val="238"/>
          <scheme val="minor"/>
        </font>
      </dxf>
    </rfmt>
    <rfmt sheetId="1" sqref="AL292" start="0" length="0">
      <dxf>
        <font>
          <sz val="12"/>
          <color theme="1"/>
          <name val="Calibri"/>
          <family val="2"/>
          <charset val="238"/>
          <scheme val="minor"/>
        </font>
      </dxf>
    </rfmt>
    <rfmt sheetId="1" sqref="AL293" start="0" length="0">
      <dxf>
        <font>
          <sz val="12"/>
          <color theme="1"/>
          <name val="Calibri"/>
          <family val="2"/>
          <charset val="238"/>
          <scheme val="minor"/>
        </font>
      </dxf>
    </rfmt>
    <rfmt sheetId="1" sqref="AL294" start="0" length="0">
      <dxf>
        <font>
          <sz val="12"/>
          <color theme="1"/>
          <name val="Calibri"/>
          <family val="2"/>
          <charset val="238"/>
          <scheme val="minor"/>
        </font>
      </dxf>
    </rfmt>
    <rfmt sheetId="1" sqref="AL295" start="0" length="0">
      <dxf>
        <font>
          <sz val="12"/>
          <color theme="1"/>
          <name val="Calibri"/>
          <family val="2"/>
          <charset val="238"/>
          <scheme val="minor"/>
        </font>
      </dxf>
    </rfmt>
    <rfmt sheetId="1" sqref="AL296" start="0" length="0">
      <dxf>
        <font>
          <sz val="12"/>
          <color theme="1"/>
          <name val="Calibri"/>
          <family val="2"/>
          <charset val="238"/>
          <scheme val="minor"/>
        </font>
      </dxf>
    </rfmt>
    <rfmt sheetId="1" sqref="AL297" start="0" length="0">
      <dxf>
        <font>
          <sz val="12"/>
          <color theme="1"/>
          <name val="Calibri"/>
          <family val="2"/>
          <charset val="238"/>
          <scheme val="minor"/>
        </font>
      </dxf>
    </rfmt>
    <rfmt sheetId="1" sqref="AL299" start="0" length="0">
      <dxf>
        <font>
          <sz val="12"/>
          <color theme="1"/>
          <name val="Calibri"/>
          <family val="2"/>
          <charset val="238"/>
          <scheme val="minor"/>
        </font>
      </dxf>
    </rfmt>
    <rfmt sheetId="1" sqref="AL300" start="0" length="0">
      <dxf>
        <font>
          <sz val="12"/>
          <color theme="1"/>
          <name val="Calibri"/>
          <family val="2"/>
          <charset val="238"/>
          <scheme val="minor"/>
        </font>
      </dxf>
    </rfmt>
    <rfmt sheetId="1" sqref="AL301" start="0" length="0">
      <dxf>
        <font>
          <sz val="12"/>
          <color theme="1"/>
          <name val="Calibri"/>
          <family val="2"/>
          <charset val="238"/>
          <scheme val="minor"/>
        </font>
      </dxf>
    </rfmt>
    <rfmt sheetId="1" sqref="AL302" start="0" length="0">
      <dxf>
        <font>
          <sz val="12"/>
          <color theme="1"/>
          <name val="Calibri"/>
          <family val="2"/>
          <charset val="238"/>
          <scheme val="minor"/>
        </font>
      </dxf>
    </rfmt>
    <rfmt sheetId="1" sqref="AL303" start="0" length="0">
      <dxf>
        <font>
          <sz val="12"/>
          <color theme="1"/>
          <name val="Calibri"/>
          <family val="2"/>
          <charset val="238"/>
          <scheme val="minor"/>
        </font>
      </dxf>
    </rfmt>
    <rfmt sheetId="1" sqref="AL304" start="0" length="0">
      <dxf>
        <font>
          <sz val="12"/>
          <color theme="1"/>
          <name val="Calibri"/>
          <family val="2"/>
          <charset val="238"/>
          <scheme val="minor"/>
        </font>
      </dxf>
    </rfmt>
    <rfmt sheetId="1" sqref="AL305" start="0" length="0">
      <dxf>
        <font>
          <sz val="12"/>
          <color theme="1"/>
          <name val="Calibri"/>
          <family val="2"/>
          <charset val="238"/>
          <scheme val="minor"/>
        </font>
      </dxf>
    </rfmt>
    <rfmt sheetId="1" sqref="AL306" start="0" length="0">
      <dxf>
        <font>
          <sz val="12"/>
          <color theme="1"/>
          <name val="Calibri"/>
          <family val="2"/>
          <charset val="238"/>
          <scheme val="minor"/>
        </font>
      </dxf>
    </rfmt>
    <rfmt sheetId="1" sqref="AL307" start="0" length="0">
      <dxf>
        <font>
          <sz val="12"/>
          <color theme="1"/>
          <name val="Calibri"/>
          <family val="2"/>
          <charset val="238"/>
          <scheme val="minor"/>
        </font>
      </dxf>
    </rfmt>
    <rfmt sheetId="1" sqref="AL308" start="0" length="0">
      <dxf>
        <font>
          <sz val="12"/>
          <color theme="1"/>
          <name val="Calibri"/>
          <family val="2"/>
          <charset val="238"/>
          <scheme val="minor"/>
        </font>
      </dxf>
    </rfmt>
    <rfmt sheetId="1" sqref="AL309" start="0" length="0">
      <dxf>
        <font>
          <sz val="12"/>
          <color theme="1"/>
          <name val="Calibri"/>
          <family val="2"/>
          <charset val="238"/>
          <scheme val="minor"/>
        </font>
      </dxf>
    </rfmt>
    <rfmt sheetId="1" sqref="AL310" start="0" length="0">
      <dxf>
        <font>
          <sz val="12"/>
          <color theme="1"/>
          <name val="Calibri"/>
          <family val="2"/>
          <charset val="238"/>
          <scheme val="minor"/>
        </font>
      </dxf>
    </rfmt>
    <rfmt sheetId="1" sqref="AL311" start="0" length="0">
      <dxf>
        <font>
          <sz val="12"/>
          <color theme="1"/>
          <name val="Calibri"/>
          <family val="2"/>
          <charset val="238"/>
          <scheme val="minor"/>
        </font>
      </dxf>
    </rfmt>
    <rfmt sheetId="1" sqref="AL312" start="0" length="0">
      <dxf>
        <font>
          <sz val="12"/>
          <color theme="1"/>
          <name val="Calibri"/>
          <family val="2"/>
          <charset val="238"/>
          <scheme val="minor"/>
        </font>
      </dxf>
    </rfmt>
    <rfmt sheetId="1" sqref="AL313" start="0" length="0">
      <dxf>
        <font>
          <sz val="12"/>
          <color theme="1"/>
          <name val="Calibri"/>
          <family val="2"/>
          <charset val="238"/>
          <scheme val="minor"/>
        </font>
      </dxf>
    </rfmt>
    <rfmt sheetId="1" sqref="AL314" start="0" length="0">
      <dxf>
        <font>
          <sz val="12"/>
          <color theme="1"/>
          <name val="Calibri"/>
          <family val="2"/>
          <charset val="238"/>
          <scheme val="minor"/>
        </font>
      </dxf>
    </rfmt>
    <rfmt sheetId="1" sqref="AL315" start="0" length="0">
      <dxf>
        <font>
          <sz val="12"/>
          <color theme="1"/>
          <name val="Calibri"/>
          <family val="2"/>
          <charset val="238"/>
          <scheme val="minor"/>
        </font>
      </dxf>
    </rfmt>
    <rfmt sheetId="1" sqref="AL316" start="0" length="0">
      <dxf>
        <font>
          <sz val="12"/>
          <color theme="1"/>
          <name val="Calibri"/>
          <family val="2"/>
          <charset val="238"/>
          <scheme val="minor"/>
        </font>
      </dxf>
    </rfmt>
    <rfmt sheetId="1" sqref="AL317" start="0" length="0">
      <dxf>
        <font>
          <sz val="12"/>
          <color theme="1"/>
          <name val="Calibri"/>
          <family val="2"/>
          <charset val="238"/>
          <scheme val="minor"/>
        </font>
      </dxf>
    </rfmt>
    <rfmt sheetId="1" sqref="AL318" start="0" length="0">
      <dxf>
        <font>
          <sz val="12"/>
          <color theme="1"/>
          <name val="Calibri"/>
          <family val="2"/>
          <charset val="238"/>
          <scheme val="minor"/>
        </font>
      </dxf>
    </rfmt>
    <rfmt sheetId="1" sqref="AL319" start="0" length="0">
      <dxf>
        <font>
          <sz val="12"/>
          <color theme="1"/>
          <name val="Calibri"/>
          <family val="2"/>
          <charset val="238"/>
          <scheme val="minor"/>
        </font>
      </dxf>
    </rfmt>
    <rfmt sheetId="1" sqref="AL320" start="0" length="0">
      <dxf>
        <font>
          <sz val="12"/>
          <color theme="1"/>
          <name val="Calibri"/>
          <family val="2"/>
          <charset val="238"/>
          <scheme val="minor"/>
        </font>
      </dxf>
    </rfmt>
    <rfmt sheetId="1" sqref="AL321" start="0" length="0">
      <dxf>
        <font>
          <sz val="12"/>
          <color theme="1"/>
          <name val="Calibri"/>
          <family val="2"/>
          <charset val="238"/>
          <scheme val="minor"/>
        </font>
      </dxf>
    </rfmt>
    <rfmt sheetId="1" sqref="AL322" start="0" length="0">
      <dxf>
        <font>
          <sz val="12"/>
          <color theme="1"/>
          <name val="Calibri"/>
          <family val="2"/>
          <charset val="238"/>
          <scheme val="minor"/>
        </font>
      </dxf>
    </rfmt>
    <rfmt sheetId="1" sqref="AL323" start="0" length="0">
      <dxf>
        <font>
          <sz val="12"/>
          <color theme="1"/>
          <name val="Calibri"/>
          <family val="2"/>
          <charset val="238"/>
          <scheme val="minor"/>
        </font>
      </dxf>
    </rfmt>
    <rfmt sheetId="1" sqref="AL324" start="0" length="0">
      <dxf>
        <font>
          <sz val="12"/>
          <color theme="1"/>
          <name val="Calibri"/>
          <family val="2"/>
          <charset val="238"/>
          <scheme val="minor"/>
        </font>
      </dxf>
    </rfmt>
    <rfmt sheetId="1" sqref="AL325" start="0" length="0">
      <dxf>
        <font>
          <sz val="12"/>
          <color theme="1"/>
          <name val="Calibri"/>
          <family val="2"/>
          <charset val="238"/>
          <scheme val="minor"/>
        </font>
      </dxf>
    </rfmt>
    <rfmt sheetId="1" sqref="AL326" start="0" length="0">
      <dxf>
        <font>
          <sz val="12"/>
          <color theme="1"/>
          <name val="Calibri"/>
          <family val="2"/>
          <charset val="238"/>
          <scheme val="minor"/>
        </font>
      </dxf>
    </rfmt>
    <rfmt sheetId="1" sqref="AL327" start="0" length="0">
      <dxf>
        <font>
          <sz val="12"/>
          <color theme="1"/>
          <name val="Calibri"/>
          <family val="2"/>
          <charset val="238"/>
          <scheme val="minor"/>
        </font>
      </dxf>
    </rfmt>
    <rfmt sheetId="1" sqref="AL328" start="0" length="0">
      <dxf>
        <font>
          <sz val="12"/>
          <color theme="1"/>
          <name val="Calibri"/>
          <family val="2"/>
          <charset val="238"/>
          <scheme val="minor"/>
        </font>
      </dxf>
    </rfmt>
    <rfmt sheetId="1" sqref="AL329" start="0" length="0">
      <dxf>
        <font>
          <sz val="12"/>
          <color theme="1"/>
          <name val="Calibri"/>
          <family val="2"/>
          <charset val="238"/>
          <scheme val="minor"/>
        </font>
      </dxf>
    </rfmt>
    <rfmt sheetId="1" sqref="AL330" start="0" length="0">
      <dxf>
        <font>
          <sz val="12"/>
          <color theme="1"/>
          <name val="Calibri"/>
          <family val="2"/>
          <charset val="238"/>
          <scheme val="minor"/>
        </font>
      </dxf>
    </rfmt>
    <rfmt sheetId="1" sqref="AL331" start="0" length="0">
      <dxf>
        <font>
          <sz val="12"/>
          <color theme="1"/>
          <name val="Calibri"/>
          <family val="2"/>
          <charset val="238"/>
          <scheme val="minor"/>
        </font>
      </dxf>
    </rfmt>
    <rfmt sheetId="1" sqref="AL332" start="0" length="0">
      <dxf>
        <font>
          <sz val="12"/>
          <color theme="1"/>
          <name val="Calibri"/>
          <family val="2"/>
          <charset val="238"/>
          <scheme val="minor"/>
        </font>
      </dxf>
    </rfmt>
    <rfmt sheetId="1" sqref="AL333" start="0" length="0">
      <dxf>
        <font>
          <sz val="12"/>
          <color theme="1"/>
          <name val="Calibri"/>
          <family val="2"/>
          <charset val="238"/>
          <scheme val="minor"/>
        </font>
      </dxf>
    </rfmt>
    <rfmt sheetId="1" sqref="AL334" start="0" length="0">
      <dxf>
        <font>
          <sz val="12"/>
          <color theme="1"/>
          <name val="Calibri"/>
          <family val="2"/>
          <charset val="238"/>
          <scheme val="minor"/>
        </font>
      </dxf>
    </rfmt>
    <rfmt sheetId="1" sqref="AL335" start="0" length="0">
      <dxf>
        <font>
          <sz val="12"/>
          <color theme="1"/>
          <name val="Calibri"/>
          <family val="2"/>
          <charset val="238"/>
          <scheme val="minor"/>
        </font>
      </dxf>
    </rfmt>
    <rfmt sheetId="1" sqref="AL336" start="0" length="0">
      <dxf>
        <font>
          <sz val="12"/>
          <color theme="1"/>
          <name val="Calibri"/>
          <family val="2"/>
          <charset val="238"/>
          <scheme val="minor"/>
        </font>
      </dxf>
    </rfmt>
    <rfmt sheetId="1" sqref="AL337" start="0" length="0">
      <dxf>
        <font>
          <sz val="12"/>
          <color theme="1"/>
          <name val="Calibri"/>
          <family val="2"/>
          <charset val="238"/>
          <scheme val="minor"/>
        </font>
      </dxf>
    </rfmt>
    <rfmt sheetId="1" sqref="AL338" start="0" length="0">
      <dxf>
        <font>
          <sz val="12"/>
          <color theme="1"/>
          <name val="Calibri"/>
          <family val="2"/>
          <charset val="238"/>
          <scheme val="minor"/>
        </font>
      </dxf>
    </rfmt>
    <rfmt sheetId="1" sqref="AL339" start="0" length="0">
      <dxf>
        <font>
          <sz val="12"/>
          <color theme="1"/>
          <name val="Calibri"/>
          <family val="2"/>
          <charset val="238"/>
          <scheme val="minor"/>
        </font>
      </dxf>
    </rfmt>
    <rfmt sheetId="1" sqref="AL340" start="0" length="0">
      <dxf>
        <font>
          <sz val="12"/>
          <color theme="1"/>
          <name val="Calibri"/>
          <family val="2"/>
          <charset val="238"/>
          <scheme val="minor"/>
        </font>
      </dxf>
    </rfmt>
    <rfmt sheetId="1" sqref="AL341" start="0" length="0">
      <dxf>
        <font>
          <sz val="12"/>
          <color theme="1"/>
          <name val="Calibri"/>
          <family val="2"/>
          <charset val="238"/>
          <scheme val="minor"/>
        </font>
      </dxf>
    </rfmt>
    <rfmt sheetId="1" sqref="AL342" start="0" length="0">
      <dxf>
        <font>
          <sz val="12"/>
          <color theme="1"/>
          <name val="Calibri"/>
          <family val="2"/>
          <charset val="238"/>
          <scheme val="minor"/>
        </font>
      </dxf>
    </rfmt>
    <rfmt sheetId="1" sqref="AL343" start="0" length="0">
      <dxf>
        <font>
          <sz val="12"/>
          <color theme="1"/>
          <name val="Calibri"/>
          <family val="2"/>
          <charset val="238"/>
          <scheme val="minor"/>
        </font>
      </dxf>
    </rfmt>
    <rfmt sheetId="1" sqref="AL344" start="0" length="0">
      <dxf>
        <font>
          <sz val="12"/>
          <color theme="1"/>
          <name val="Calibri"/>
          <family val="2"/>
          <charset val="238"/>
          <scheme val="minor"/>
        </font>
      </dxf>
    </rfmt>
    <rfmt sheetId="1" sqref="AL345" start="0" length="0">
      <dxf>
        <font>
          <sz val="12"/>
          <color theme="1"/>
          <name val="Calibri"/>
          <family val="2"/>
          <charset val="238"/>
          <scheme val="minor"/>
        </font>
      </dxf>
    </rfmt>
    <rfmt sheetId="1" sqref="AL346" start="0" length="0">
      <dxf>
        <font>
          <sz val="12"/>
          <color theme="1"/>
          <name val="Calibri"/>
          <family val="2"/>
          <charset val="238"/>
          <scheme val="minor"/>
        </font>
      </dxf>
    </rfmt>
    <rfmt sheetId="1" sqref="AL347" start="0" length="0">
      <dxf>
        <font>
          <sz val="12"/>
          <color theme="1"/>
          <name val="Calibri"/>
          <family val="2"/>
          <charset val="238"/>
          <scheme val="minor"/>
        </font>
      </dxf>
    </rfmt>
    <rfmt sheetId="1" sqref="AL348" start="0" length="0">
      <dxf>
        <font>
          <sz val="12"/>
          <color theme="1"/>
          <name val="Calibri"/>
          <family val="2"/>
          <charset val="238"/>
          <scheme val="minor"/>
        </font>
      </dxf>
    </rfmt>
    <rfmt sheetId="1" sqref="AL349" start="0" length="0">
      <dxf>
        <font>
          <sz val="12"/>
          <color theme="1"/>
          <name val="Calibri"/>
          <family val="2"/>
          <charset val="238"/>
          <scheme val="minor"/>
        </font>
      </dxf>
    </rfmt>
    <rfmt sheetId="1" sqref="AL350" start="0" length="0">
      <dxf>
        <font>
          <sz val="12"/>
          <color theme="1"/>
          <name val="Calibri"/>
          <family val="2"/>
          <charset val="238"/>
          <scheme val="minor"/>
        </font>
      </dxf>
    </rfmt>
    <rfmt sheetId="1" sqref="AL351" start="0" length="0">
      <dxf>
        <font>
          <sz val="12"/>
          <color theme="1"/>
          <name val="Calibri"/>
          <family val="2"/>
          <charset val="238"/>
          <scheme val="minor"/>
        </font>
      </dxf>
    </rfmt>
    <rfmt sheetId="1" sqref="AL352" start="0" length="0">
      <dxf>
        <font>
          <sz val="12"/>
          <color theme="1"/>
          <name val="Calibri"/>
          <family val="2"/>
          <charset val="238"/>
          <scheme val="minor"/>
        </font>
      </dxf>
    </rfmt>
    <rfmt sheetId="1" sqref="AL353" start="0" length="0">
      <dxf>
        <font>
          <sz val="12"/>
          <color theme="1"/>
          <name val="Calibri"/>
          <family val="2"/>
          <charset val="238"/>
          <scheme val="minor"/>
        </font>
      </dxf>
    </rfmt>
    <rfmt sheetId="1" sqref="AL354" start="0" length="0">
      <dxf>
        <font>
          <sz val="12"/>
          <color theme="1"/>
          <name val="Calibri"/>
          <family val="2"/>
          <charset val="238"/>
          <scheme val="minor"/>
        </font>
      </dxf>
    </rfmt>
    <rfmt sheetId="1" sqref="AL355" start="0" length="0">
      <dxf>
        <font>
          <sz val="12"/>
          <color theme="1"/>
          <name val="Calibri"/>
          <family val="2"/>
          <charset val="238"/>
          <scheme val="minor"/>
        </font>
      </dxf>
    </rfmt>
    <rfmt sheetId="1" sqref="AL356" start="0" length="0">
      <dxf>
        <font>
          <sz val="12"/>
          <color theme="1"/>
          <name val="Calibri"/>
          <family val="2"/>
          <charset val="238"/>
          <scheme val="minor"/>
        </font>
      </dxf>
    </rfmt>
    <rfmt sheetId="1" sqref="AL357" start="0" length="0">
      <dxf>
        <font>
          <sz val="12"/>
          <color theme="1"/>
          <name val="Calibri"/>
          <family val="2"/>
          <charset val="238"/>
          <scheme val="minor"/>
        </font>
        <numFmt numFmtId="19" formatCode="dd/mm/yyyy"/>
      </dxf>
    </rfmt>
    <rfmt sheetId="1" sqref="AL358" start="0" length="0">
      <dxf>
        <font>
          <sz val="12"/>
          <color theme="1"/>
          <name val="Calibri"/>
          <family val="2"/>
          <charset val="238"/>
          <scheme val="minor"/>
        </font>
      </dxf>
    </rfmt>
    <rfmt sheetId="1" sqref="AL359" start="0" length="0">
      <dxf>
        <font>
          <sz val="12"/>
          <color theme="1"/>
          <name val="Calibri"/>
          <family val="2"/>
          <charset val="238"/>
          <scheme val="minor"/>
        </font>
      </dxf>
    </rfmt>
    <rfmt sheetId="1" sqref="AL360" start="0" length="0">
      <dxf>
        <font>
          <sz val="12"/>
          <color theme="1"/>
          <name val="Calibri"/>
          <family val="2"/>
          <charset val="238"/>
          <scheme val="minor"/>
        </font>
      </dxf>
    </rfmt>
    <rfmt sheetId="1" sqref="AL361" start="0" length="0">
      <dxf>
        <font>
          <sz val="12"/>
          <color theme="1"/>
          <name val="Calibri"/>
          <family val="2"/>
          <charset val="238"/>
          <scheme val="minor"/>
        </font>
      </dxf>
    </rfmt>
    <rfmt sheetId="1" sqref="AL362" start="0" length="0">
      <dxf>
        <font>
          <sz val="12"/>
          <color theme="1"/>
          <name val="Calibri"/>
          <family val="2"/>
          <charset val="238"/>
          <scheme val="minor"/>
        </font>
      </dxf>
    </rfmt>
    <rfmt sheetId="1" sqref="AL363" start="0" length="0">
      <dxf>
        <font>
          <sz val="12"/>
          <color theme="1"/>
          <name val="Calibri"/>
          <family val="2"/>
          <charset val="238"/>
          <scheme val="minor"/>
        </font>
      </dxf>
    </rfmt>
    <rfmt sheetId="1" sqref="AL364" start="0" length="0">
      <dxf>
        <font>
          <sz val="12"/>
          <color theme="1"/>
          <name val="Calibri"/>
          <family val="2"/>
          <charset val="238"/>
          <scheme val="minor"/>
        </font>
      </dxf>
    </rfmt>
    <rfmt sheetId="1" sqref="AL365" start="0" length="0">
      <dxf>
        <font>
          <sz val="12"/>
          <color theme="1"/>
          <name val="Calibri"/>
          <family val="2"/>
          <charset val="238"/>
          <scheme val="minor"/>
        </font>
      </dxf>
    </rfmt>
    <rfmt sheetId="1" sqref="AL366" start="0" length="0">
      <dxf>
        <font>
          <sz val="12"/>
          <color theme="1"/>
          <name val="Calibri"/>
          <family val="2"/>
          <charset val="238"/>
          <scheme val="minor"/>
        </font>
      </dxf>
    </rfmt>
    <rfmt sheetId="1" sqref="AL367" start="0" length="0">
      <dxf>
        <font>
          <sz val="12"/>
          <color theme="1"/>
          <name val="Calibri"/>
          <family val="2"/>
          <charset val="238"/>
          <scheme val="minor"/>
        </font>
      </dxf>
    </rfmt>
    <rfmt sheetId="1" sqref="AL368" start="0" length="0">
      <dxf>
        <font>
          <sz val="12"/>
          <color theme="1"/>
          <name val="Calibri"/>
          <family val="2"/>
          <charset val="238"/>
          <scheme val="minor"/>
        </font>
      </dxf>
    </rfmt>
    <rfmt sheetId="1" sqref="AL369" start="0" length="0">
      <dxf>
        <font>
          <sz val="12"/>
          <color theme="1"/>
          <name val="Calibri"/>
          <family val="2"/>
          <charset val="238"/>
          <scheme val="minor"/>
        </font>
      </dxf>
    </rfmt>
    <rfmt sheetId="1" sqref="AL370" start="0" length="0">
      <dxf>
        <font>
          <sz val="12"/>
          <color theme="1"/>
          <name val="Calibri"/>
          <family val="2"/>
          <charset val="238"/>
          <scheme val="minor"/>
        </font>
      </dxf>
    </rfmt>
    <rfmt sheetId="1" sqref="AL371" start="0" length="0">
      <dxf>
        <font>
          <sz val="12"/>
          <color theme="1"/>
          <name val="Calibri"/>
          <family val="2"/>
          <charset val="238"/>
          <scheme val="minor"/>
        </font>
      </dxf>
    </rfmt>
    <rfmt sheetId="1" sqref="AL372" start="0" length="0">
      <dxf>
        <font>
          <sz val="12"/>
          <color theme="1"/>
          <name val="Calibri"/>
          <family val="2"/>
          <charset val="238"/>
          <scheme val="minor"/>
        </font>
      </dxf>
    </rfmt>
    <rfmt sheetId="1" sqref="AL373" start="0" length="0">
      <dxf>
        <font>
          <sz val="12"/>
          <color theme="1"/>
          <name val="Calibri"/>
          <family val="2"/>
          <charset val="238"/>
          <scheme val="minor"/>
        </font>
      </dxf>
    </rfmt>
    <rfmt sheetId="1" sqref="AL374" start="0" length="0">
      <dxf>
        <font>
          <sz val="12"/>
          <color theme="1"/>
          <name val="Calibri"/>
          <family val="2"/>
          <charset val="238"/>
          <scheme val="minor"/>
        </font>
      </dxf>
    </rfmt>
    <rfmt sheetId="1" sqref="AL375" start="0" length="0">
      <dxf>
        <font>
          <sz val="12"/>
          <color theme="1"/>
          <name val="Calibri"/>
          <family val="2"/>
          <charset val="238"/>
          <scheme val="minor"/>
        </font>
      </dxf>
    </rfmt>
    <rfmt sheetId="1" sqref="AL376" start="0" length="0">
      <dxf>
        <font>
          <sz val="12"/>
          <color theme="1"/>
          <name val="Calibri"/>
          <family val="2"/>
          <charset val="238"/>
          <scheme val="minor"/>
        </font>
      </dxf>
    </rfmt>
    <rfmt sheetId="1" sqref="AL377" start="0" length="0">
      <dxf>
        <font>
          <sz val="12"/>
          <color theme="1"/>
          <name val="Calibri"/>
          <family val="2"/>
          <charset val="238"/>
          <scheme val="minor"/>
        </font>
      </dxf>
    </rfmt>
    <rfmt sheetId="1" sqref="AL378" start="0" length="0">
      <dxf>
        <font>
          <sz val="12"/>
          <color theme="1"/>
          <name val="Calibri"/>
          <family val="2"/>
          <charset val="238"/>
          <scheme val="minor"/>
        </font>
      </dxf>
    </rfmt>
    <rfmt sheetId="1" sqref="AL379" start="0" length="0">
      <dxf>
        <font>
          <sz val="12"/>
          <color theme="1"/>
          <name val="Calibri"/>
          <family val="2"/>
          <charset val="238"/>
          <scheme val="minor"/>
        </font>
      </dxf>
    </rfmt>
    <rfmt sheetId="1" sqref="AL380" start="0" length="0">
      <dxf>
        <font>
          <sz val="12"/>
          <color theme="1"/>
          <name val="Calibri"/>
          <family val="2"/>
          <charset val="238"/>
          <scheme val="minor"/>
        </font>
      </dxf>
    </rfmt>
    <rfmt sheetId="1" sqref="AL381" start="0" length="0">
      <dxf>
        <font>
          <sz val="12"/>
          <color theme="1"/>
          <name val="Calibri"/>
          <family val="2"/>
          <charset val="238"/>
          <scheme val="minor"/>
        </font>
      </dxf>
    </rfmt>
    <rfmt sheetId="1" sqref="AL382" start="0" length="0">
      <dxf>
        <font>
          <sz val="12"/>
          <color theme="1"/>
          <name val="Calibri"/>
          <family val="2"/>
          <charset val="238"/>
          <scheme val="minor"/>
        </font>
      </dxf>
    </rfmt>
    <rfmt sheetId="1" sqref="AL383" start="0" length="0">
      <dxf>
        <font>
          <sz val="12"/>
          <color theme="1"/>
          <name val="Calibri"/>
          <family val="2"/>
          <charset val="238"/>
          <scheme val="minor"/>
        </font>
      </dxf>
    </rfmt>
    <rfmt sheetId="1" sqref="AL384" start="0" length="0">
      <dxf>
        <font>
          <sz val="12"/>
          <color theme="1"/>
          <name val="Calibri"/>
          <family val="2"/>
          <charset val="238"/>
          <scheme val="minor"/>
        </font>
      </dxf>
    </rfmt>
    <rfmt sheetId="1" sqref="AL385" start="0" length="0">
      <dxf>
        <font>
          <sz val="12"/>
          <color theme="1"/>
          <name val="Calibri"/>
          <family val="2"/>
          <charset val="238"/>
          <scheme val="minor"/>
        </font>
      </dxf>
    </rfmt>
    <rfmt sheetId="1" sqref="AL386" start="0" length="0">
      <dxf>
        <font>
          <sz val="12"/>
          <color theme="1"/>
          <name val="Calibri"/>
          <family val="2"/>
          <charset val="238"/>
          <scheme val="minor"/>
        </font>
      </dxf>
    </rfmt>
    <rfmt sheetId="1" sqref="AL387" start="0" length="0">
      <dxf>
        <font>
          <sz val="12"/>
          <color theme="1"/>
          <name val="Calibri"/>
          <family val="2"/>
          <charset val="238"/>
          <scheme val="minor"/>
        </font>
      </dxf>
    </rfmt>
    <rfmt sheetId="1" sqref="AL388" start="0" length="0">
      <dxf>
        <font>
          <sz val="12"/>
          <color theme="1"/>
          <name val="Calibri"/>
          <family val="2"/>
          <charset val="238"/>
          <scheme val="minor"/>
        </font>
      </dxf>
    </rfmt>
    <rfmt sheetId="1" sqref="AL389" start="0" length="0">
      <dxf>
        <font>
          <sz val="12"/>
          <color theme="1"/>
          <name val="Calibri"/>
          <family val="2"/>
          <charset val="238"/>
          <scheme val="minor"/>
        </font>
      </dxf>
    </rfmt>
    <rfmt sheetId="1" sqref="AL390" start="0" length="0">
      <dxf>
        <font>
          <sz val="12"/>
          <color theme="1"/>
          <name val="Calibri"/>
          <family val="2"/>
          <charset val="238"/>
          <scheme val="minor"/>
        </font>
      </dxf>
    </rfmt>
    <rfmt sheetId="1" sqref="AL391" start="0" length="0">
      <dxf>
        <font>
          <sz val="12"/>
          <color theme="1"/>
          <name val="Calibri"/>
          <family val="2"/>
          <charset val="238"/>
          <scheme val="minor"/>
        </font>
      </dxf>
    </rfmt>
    <rfmt sheetId="1" sqref="AL392" start="0" length="0">
      <dxf>
        <font>
          <sz val="12"/>
          <color theme="1"/>
          <name val="Calibri"/>
          <family val="2"/>
          <charset val="238"/>
          <scheme val="minor"/>
        </font>
      </dxf>
    </rfmt>
    <rfmt sheetId="1" sqref="AL393" start="0" length="0">
      <dxf>
        <font>
          <sz val="12"/>
          <color theme="1"/>
          <name val="Calibri"/>
          <family val="2"/>
          <charset val="238"/>
          <scheme val="minor"/>
        </font>
      </dxf>
    </rfmt>
    <rfmt sheetId="1" sqref="AL394" start="0" length="0">
      <dxf>
        <font>
          <sz val="12"/>
          <color theme="1"/>
          <name val="Calibri"/>
          <family val="2"/>
          <charset val="238"/>
          <scheme val="minor"/>
        </font>
      </dxf>
    </rfmt>
    <rfmt sheetId="1" sqref="AL395" start="0" length="0">
      <dxf>
        <font>
          <sz val="12"/>
          <color theme="1"/>
          <name val="Calibri"/>
          <family val="2"/>
          <charset val="238"/>
          <scheme val="minor"/>
        </font>
      </dxf>
    </rfmt>
    <rfmt sheetId="1" sqref="AL396" start="0" length="0">
      <dxf>
        <font>
          <sz val="12"/>
          <color theme="1"/>
          <name val="Calibri"/>
          <family val="2"/>
          <charset val="238"/>
          <scheme val="minor"/>
        </font>
      </dxf>
    </rfmt>
    <rfmt sheetId="1" sqref="AL397" start="0" length="0">
      <dxf>
        <font>
          <sz val="12"/>
          <color theme="1"/>
          <name val="Calibri"/>
          <family val="2"/>
          <charset val="238"/>
          <scheme val="minor"/>
        </font>
      </dxf>
    </rfmt>
    <rfmt sheetId="1" sqref="AL398" start="0" length="0">
      <dxf>
        <font>
          <sz val="12"/>
          <color theme="1"/>
          <name val="Calibri"/>
          <family val="2"/>
          <charset val="238"/>
          <scheme val="minor"/>
        </font>
      </dxf>
    </rfmt>
    <rfmt sheetId="1" sqref="AL399" start="0" length="0">
      <dxf>
        <font>
          <sz val="12"/>
          <color theme="1"/>
          <name val="Calibri"/>
          <family val="2"/>
          <charset val="238"/>
          <scheme val="minor"/>
        </font>
      </dxf>
    </rfmt>
    <rfmt sheetId="1" sqref="AL401" start="0" length="0">
      <dxf>
        <font>
          <b/>
          <sz val="12"/>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2"/>
          <color theme="1"/>
          <name val="Calibri"/>
          <family val="2"/>
          <charset val="238"/>
          <scheme val="minor"/>
        </font>
      </dxf>
    </rfmt>
    <rfmt sheetId="1" sqref="AL405" start="0" length="0">
      <dxf>
        <font>
          <b/>
          <sz val="12"/>
          <color theme="1"/>
          <name val="Calibri"/>
          <family val="2"/>
          <charset val="238"/>
          <scheme val="minor"/>
        </font>
      </dxf>
    </rfmt>
    <rfmt sheetId="1" sqref="AL406" start="0" length="0">
      <dxf>
        <font>
          <b/>
          <sz val="12"/>
          <color theme="1"/>
          <name val="Calibri"/>
          <family val="2"/>
          <charset val="238"/>
          <scheme val="minor"/>
        </font>
      </dxf>
    </rfmt>
    <rfmt sheetId="1" sqref="AL407" start="0" length="0">
      <dxf>
        <font>
          <b/>
          <sz val="12"/>
          <color theme="1"/>
          <name val="Calibri"/>
          <family val="2"/>
          <charset val="238"/>
          <scheme val="minor"/>
        </font>
      </dxf>
    </rfmt>
    <rfmt sheetId="1" sqref="AL408" start="0" length="0">
      <dxf>
        <font>
          <b/>
          <sz val="12"/>
          <color theme="1"/>
          <name val="Calibri"/>
          <family val="2"/>
          <charset val="238"/>
          <scheme val="minor"/>
        </font>
      </dxf>
    </rfmt>
    <rfmt sheetId="1" sqref="AL409" start="0" length="0">
      <dxf>
        <font>
          <b/>
          <sz val="12"/>
          <color theme="1"/>
          <name val="Calibri"/>
          <family val="2"/>
          <charset val="238"/>
          <scheme val="minor"/>
        </font>
      </dxf>
    </rfmt>
    <rfmt sheetId="1" sqref="AL410" start="0" length="0">
      <dxf>
        <font>
          <b/>
          <sz val="12"/>
          <color theme="1"/>
          <name val="Calibri"/>
          <family val="2"/>
          <charset val="238"/>
          <scheme val="minor"/>
        </font>
      </dxf>
    </rfmt>
    <rfmt sheetId="1" sqref="AL411" start="0" length="0">
      <dxf>
        <font>
          <b/>
          <sz val="12"/>
          <color theme="1"/>
          <name val="Calibri"/>
          <family val="2"/>
          <charset val="238"/>
          <scheme val="minor"/>
        </font>
      </dxf>
    </rfmt>
    <rfmt sheetId="1" sqref="AL412" start="0" length="0">
      <dxf>
        <font>
          <b/>
          <sz val="12"/>
          <color theme="1"/>
          <name val="Calibri"/>
          <family val="2"/>
          <charset val="238"/>
          <scheme val="minor"/>
        </font>
      </dxf>
    </rfmt>
    <rfmt sheetId="1" sqref="AL413" start="0" length="0">
      <dxf>
        <font>
          <b/>
          <sz val="12"/>
          <color theme="1"/>
          <name val="Calibri"/>
          <family val="2"/>
          <charset val="238"/>
          <scheme val="minor"/>
        </font>
      </dxf>
    </rfmt>
    <rfmt sheetId="1" sqref="AL414" start="0" length="0">
      <dxf>
        <font>
          <b/>
          <sz val="12"/>
          <color theme="1"/>
          <name val="Calibri"/>
          <family val="2"/>
          <charset val="238"/>
          <scheme val="minor"/>
        </font>
      </dxf>
    </rfmt>
    <rfmt sheetId="1" sqref="AL415" start="0" length="0">
      <dxf>
        <font>
          <b/>
          <sz val="12"/>
          <color theme="1"/>
          <name val="Calibri"/>
          <family val="2"/>
          <charset val="238"/>
          <scheme val="minor"/>
        </font>
      </dxf>
    </rfmt>
    <rfmt sheetId="1" sqref="AL416" start="0" length="0">
      <dxf>
        <font>
          <b/>
          <sz val="12"/>
          <color theme="1"/>
          <name val="Calibri"/>
          <family val="2"/>
          <charset val="238"/>
          <scheme val="minor"/>
        </font>
      </dxf>
    </rfmt>
    <rfmt sheetId="1" sqref="AL417" start="0" length="0">
      <dxf>
        <font>
          <b/>
          <sz val="12"/>
          <color theme="1"/>
          <name val="Calibri"/>
          <family val="2"/>
          <charset val="238"/>
          <scheme val="minor"/>
        </font>
      </dxf>
    </rfmt>
    <rfmt sheetId="1" sqref="AL418" start="0" length="0">
      <dxf>
        <font>
          <b/>
          <sz val="12"/>
          <color theme="1"/>
          <name val="Calibri"/>
          <family val="2"/>
          <charset val="238"/>
          <scheme val="minor"/>
        </font>
      </dxf>
    </rfmt>
    <rfmt sheetId="1" sqref="AL419" start="0" length="0">
      <dxf>
        <font>
          <b/>
          <sz val="12"/>
          <color theme="1"/>
          <name val="Calibri"/>
          <family val="2"/>
          <charset val="238"/>
          <scheme val="minor"/>
        </font>
      </dxf>
    </rfmt>
    <rfmt sheetId="1" sqref="AL420" start="0" length="0">
      <dxf>
        <font>
          <b/>
          <sz val="12"/>
          <color theme="1"/>
          <name val="Calibri"/>
          <family val="2"/>
          <charset val="238"/>
          <scheme val="minor"/>
        </font>
      </dxf>
    </rfmt>
    <rfmt sheetId="1" sqref="AL421" start="0" length="0">
      <dxf>
        <font>
          <b/>
          <sz val="12"/>
          <color theme="1"/>
          <name val="Calibri"/>
          <family val="2"/>
          <charset val="238"/>
          <scheme val="minor"/>
        </font>
      </dxf>
    </rfmt>
    <rfmt sheetId="1" sqref="AL422" start="0" length="0">
      <dxf>
        <font>
          <b/>
          <sz val="12"/>
          <color theme="1"/>
          <name val="Calibri"/>
          <family val="2"/>
          <charset val="238"/>
          <scheme val="minor"/>
        </font>
      </dxf>
    </rfmt>
    <rfmt sheetId="1" sqref="AL423" start="0" length="0">
      <dxf>
        <font>
          <b/>
          <sz val="12"/>
          <color theme="1"/>
          <name val="Calibri"/>
          <family val="2"/>
          <charset val="238"/>
          <scheme val="minor"/>
        </font>
      </dxf>
    </rfmt>
    <rfmt sheetId="1" sqref="AL424" start="0" length="0">
      <dxf>
        <font>
          <b/>
          <sz val="12"/>
          <color theme="1"/>
          <name val="Calibri"/>
          <family val="2"/>
          <charset val="238"/>
          <scheme val="minor"/>
        </font>
      </dxf>
    </rfmt>
    <rfmt sheetId="1" sqref="AL425" start="0" length="0">
      <dxf>
        <font>
          <b/>
          <sz val="12"/>
          <color theme="1"/>
          <name val="Calibri"/>
          <family val="2"/>
          <charset val="238"/>
          <scheme val="minor"/>
        </font>
      </dxf>
    </rfmt>
    <rfmt sheetId="1" sqref="AL426" start="0" length="0">
      <dxf>
        <font>
          <b/>
          <sz val="12"/>
          <color theme="1"/>
          <name val="Calibri"/>
          <family val="2"/>
          <charset val="238"/>
          <scheme val="minor"/>
        </font>
      </dxf>
    </rfmt>
    <rfmt sheetId="1" sqref="AL427" start="0" length="0">
      <dxf>
        <font>
          <b/>
          <sz val="12"/>
          <color theme="1"/>
          <name val="Calibri"/>
          <family val="2"/>
          <charset val="238"/>
          <scheme val="minor"/>
        </font>
      </dxf>
    </rfmt>
  </rrc>
  <rrc rId="27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7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7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7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27" start="0" length="0">
      <dxf>
        <numFmt numFmtId="166" formatCode="#,##0.00_ ;\-#,##0.00\ "/>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8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29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0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1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2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8"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39"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0"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1"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2"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3"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4"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5"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6"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7" sId="1" ref="AL1:AL1048576" action="deleteCol">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rc rId="348" sId="1" ref="AL1:AL1048576" action="deleteCol">
    <undo index="65535" exp="area" ref3D="1" dr="$A$7:$AL$399" dn="Z_2A657C48_B241_4C19_9A74_98ECFC665F2A_.wvu.FilterData" sId="1"/>
    <undo index="65535" exp="area" ref3D="1" dr="$A$6:$AL$380" dn="Z_22D79F88_81A2_49FE_923A_13405540BBB2_.wvu.FilterData" sId="1"/>
    <undo index="65535" exp="area" ref3D="1" dr="$A$1:$AL$380" dn="Z_122B486E_8EE5_41FD_B958_74B116FA5D23_.wvu.FilterData" sId="1"/>
    <undo index="65535" exp="area" ref3D="1" dr="$A$6:$AL$380" dn="Z_0D4E932E_8E85_4001_9304_AAB4DBAD8A65_.wvu.FilterData" sId="1"/>
    <undo index="65535" exp="area" ref3D="1" dr="$A$1:$AL$380" dn="Z_297CB86E_F816_4839_BE0B_A075145D0E50_.wvu.FilterData" sId="1"/>
    <undo index="65535" exp="area" ref3D="1" dr="$A$6:$AL$399" dn="Z_280C391A_EEDA_43A4_BCD2_EE017A1C1AE2_.wvu.FilterData" sId="1"/>
    <undo index="65535" exp="area" ref3D="1" dr="$A$6:$AL$380" dn="Z_25084D9D_9C92_4823_A653_D1AEC60737AD_.wvu.FilterData" sId="1"/>
    <undo index="65535" exp="area" ref3D="1" dr="$A$1:$AL$380" dn="Z_1278E668_633E_4AB5_BA11_904BA4B2301D_.wvu.FilterData" sId="1"/>
    <undo index="65535" exp="area" ref3D="1" dr="$A$7:$AL$399" dn="Z_340EDCDE_FAE5_4319_AEAD_F8264DCA5D27_.wvu.FilterData" sId="1"/>
    <undo index="65535" exp="area" ref3D="1" dr="$A$1:$AL$400" dn="Z_2C296388_EDB5_4F1F_B0F4_90EC07CCD947_.wvu.FilterData" sId="1"/>
    <undo index="65535" exp="area" ref3D="1" dr="$A$1:$AL$380" dn="Z_3F70E84F_60E2_4042_91AA_EFB3B23DDDDF_.wvu.FilterData" sId="1"/>
    <undo index="65535" exp="area" ref3D="1" dr="$A$6:$AL$380" dn="Z_497C7126_2491_461C_AFC3_03C2E163F15C_.wvu.FilterData" sId="1"/>
    <undo index="65535" exp="area" ref3D="1" dr="$A$6:$AL$293" dn="Z_5789AB6A_B04B_4240_920E_89274E9F5C82_.wvu.FilterData" sId="1"/>
    <undo index="65535" exp="area" ref3D="1" dr="$A$7:$AL$399" dn="Z_E53ADB69_E454_408C_8AAF_7FDA9FEDF6D0_.wvu.FilterData" sId="1"/>
    <undo index="65535" exp="area" ref3D="1" dr="$A$1:$AL$399" dn="Z_DB51BB9F_5710_40B0_80E7_39B059BFD11D_.wvu.FilterData" sId="1"/>
    <undo index="65535" exp="area" ref3D="1" dr="$A$7:$AL$399" dn="Z_E875C76B_3648_4C9A_A6B2_C3654837AAAC_.wvu.FilterData" sId="1"/>
    <undo index="65535" exp="area" ref3D="1" dr="$A$6:$AL$399" dn="Z_EEA37434_2D22_478B_B49F_C3E8CD4AC2E1_.wvu.FilterData" sId="1"/>
    <undo index="65535" exp="area" ref3D="1" dr="$A$1:$AL$400" dn="Z_EA64E7D7_BA48_4965_B650_778AE412FE0C_.wvu.FilterData" sId="1"/>
    <undo index="65535" exp="area" ref3D="1" dr="$A$6:$AL$399" dn="Z_89EE8E7D_C811_4C16_975A_830983580DAD_.wvu.FilterData" sId="1"/>
    <undo index="65535" exp="area" ref3D="1" dr="$A$1:$AL$380" dn="Z_6B2EC822_DCDB_4711_A946_1038FC40FACE_.wvu.FilterData" sId="1"/>
    <undo index="65535" exp="area" ref3D="1" dr="$A$1:$AL$400" dn="Z_AD1D8E66_18A9_4CB7_BBE4_02F7E757257F_.wvu.FilterData" sId="1"/>
    <undo index="65535" exp="area" ref3D="1" dr="$A$1:$AL$400" dn="Z_A9B3B58E_F12B_4916_890B_7D88AA745B81_.wvu.FilterData" sId="1"/>
    <undo index="65535" exp="area" ref3D="1" dr="$A$6:$AL$399" dn="Z_A5B1481C_EF26_486A_984F_85CDDC2FD94F_.wvu.FilterData" sId="1"/>
    <undo index="65535" exp="area" ref3D="1" dr="$A$6:$AL$399" dn="Z_D56F5ED6_74F2_4AA3_9A98_EE5750FE63AF_.wvu.FilterData" sId="1"/>
    <undo index="65535" exp="area" ref3D="1" dr="$A$1:$AL$380" dn="Z_9DE067B2_E801_456D_B5D0_CD5646CA5948_.wvu.FilterData" sId="1"/>
    <undo index="65535" exp="area" ref3D="1" dr="$A$7:$AL$399" dn="Z_B5BED753_4D8C_498E_8AE1_A08F7C0956F7_.wvu.FilterData" sId="1"/>
    <undo index="65535" exp="area" ref3D="1" dr="$A$6:$AL$293" dn="Z_BDA3804A_96FA_4D9F_AFED_695788A754E9_.wvu.FilterData" sId="1"/>
    <undo index="65535" exp="area" ref3D="1" dr="$A$7:$AL$399" dn="Z_D1981FDB_7063_4FCF_8DD5_A549E616E6FF_.wvu.FilterData" sId="1"/>
    <undo index="65535" exp="area" ref3D="1" dr="$A$1:$AL$380" dn="Z_91251A9B_6CF6_49E6_857D_BA6C728D7C53_.wvu.FilterData" sId="1"/>
    <undo index="65535" exp="area" ref3D="1" dr="$A$1:$AL$400" dn="Z_747340EB_2B31_46D2_ACDE_4FA91E2B50F6_.wvu.FilterData" sId="1"/>
    <undo index="65535" exp="area" ref3D="1" dr="$A$6:$AL$399" dn="Z_DB41C7D7_14F0_4834_A7BD_0F1115A89C8E_.wvu.FilterData" sId="1"/>
    <undo index="65535" exp="area" ref3D="1" dr="$A$7:$AL$399" dn="Z_DAD27C7B_8B8A_46CB_98B5_59B1D1EFC319_.wvu.FilterData" sId="1"/>
    <undo index="65535" exp="area" ref3D="1" dr="$A$6:$AL$399" dn="Z_9552AAE6_9279_4387_9199_64D0E8A50A87_.wvu.FilterData" sId="1"/>
    <undo index="65535" exp="area" ref3D="1" dr="$A$1:$AL$380" dn="Z_C90ECED7_D145_417E_BB55_4FC7FD4BF46C_.wvu.FilterData" sId="1"/>
    <undo index="65535" exp="area" ref3D="1" dr="$A$1:$AL$400" dn="Z_8EDB8BF9_8BBB_4EEE_B4F0_C5928D0746DD_.wvu.FilterData" sId="1"/>
    <undo index="65535" exp="area" ref3D="1" dr="$A$1:$AL$380" dn="Z_AE8F3F1B_FDCB_45A5_9CC8_53B4E3A0445E_.wvu.FilterData" sId="1"/>
    <undo index="65535" exp="area" ref3D="1" dr="$A$6:$AL$6" dn="Z_B407928D_3938_4D05_B2B2_40B4F21D0436_.wvu.FilterData" sId="1"/>
    <undo index="65535" exp="area" ref3D="1" dr="$A$6:$AL$399" dn="Z_7C1B4D6D_D666_48DD_AB17_E00791B6F0B6_.wvu.FilterData" sId="1"/>
    <undo index="65535" exp="area" ref3D="1" dr="$A$1:$AL$400" dn="Z_BBF2EF6C_D4AD_46E1_803F_582F4D45F852_.wvu.FilterData" sId="1"/>
    <undo index="65535" exp="area" ref3D="1" dr="$A$6:$AL$380" dn="Z_7A12EF56_0E17_493A_8E1E_6DFC6553C116_.wvu.FilterData" sId="1"/>
    <undo index="65535" exp="area" ref3D="1" dr="$A$6:$AL$399" dn="Z_B31B819C_CFEB_4B80_9AED_AC603C39BE78_.wvu.FilterData" sId="1"/>
    <undo index="65535" exp="area" ref3D="1" dr="$A$1:$AL$380" dn="Z_6408B19F_539D_4190_A77D_CCE77E163803_.wvu.FilterData" sId="1"/>
    <undo index="65535" exp="area" ref3D="1" dr="$A$6:$AL$399" dn="Z_65B035E3_87FA_46C5_996E_864F2C8D0EBC_.wvu.FilterData" sId="1"/>
    <rfmt sheetId="1" xfDxf="1" sqref="AL1:AL1048576" start="0" length="0"/>
    <rfmt sheetId="1" sqref="AL20" start="0" length="0">
      <dxf>
        <font>
          <sz val="11"/>
          <color theme="1"/>
          <name val="Calibri"/>
          <family val="2"/>
          <charset val="238"/>
          <scheme val="minor"/>
        </font>
      </dxf>
    </rfmt>
    <rfmt sheetId="1" sqref="AL21" start="0" length="0">
      <dxf>
        <font>
          <sz val="11"/>
          <color theme="1"/>
          <name val="Calibri"/>
          <family val="2"/>
          <charset val="238"/>
          <scheme val="minor"/>
        </font>
      </dxf>
    </rfmt>
    <rfmt sheetId="1" sqref="AL35" start="0" length="0">
      <dxf>
        <font>
          <sz val="12"/>
          <color theme="1"/>
          <name val="Calibri"/>
          <family val="2"/>
          <charset val="238"/>
          <scheme val="minor"/>
        </font>
        <alignment horizontal="left" vertical="center"/>
      </dxf>
    </rfmt>
    <rfmt sheetId="1" sqref="AL48" start="0" length="0">
      <dxf>
        <font>
          <sz val="11"/>
          <color theme="1"/>
          <name val="Calibri"/>
          <family val="2"/>
          <charset val="238"/>
          <scheme val="minor"/>
        </font>
      </dxf>
    </rfmt>
    <rfmt sheetId="1" sqref="AL49" start="0" length="0">
      <dxf>
        <font>
          <sz val="11"/>
          <color theme="1"/>
          <name val="Calibri"/>
          <family val="2"/>
          <charset val="238"/>
          <scheme val="minor"/>
        </font>
      </dxf>
    </rfmt>
    <rfmt sheetId="1" sqref="AL50" start="0" length="0">
      <dxf>
        <font>
          <sz val="11"/>
          <color theme="1"/>
          <name val="Calibri"/>
          <family val="2"/>
          <charset val="238"/>
          <scheme val="minor"/>
        </font>
      </dxf>
    </rfmt>
    <rfmt sheetId="1" sqref="AL85" start="0" length="0">
      <dxf>
        <font>
          <sz val="12"/>
          <color theme="1"/>
          <name val="Calibri"/>
          <family val="2"/>
          <charset val="238"/>
          <scheme val="minor"/>
        </font>
        <alignment horizontal="left" vertical="center"/>
      </dxf>
    </rfmt>
    <rfmt sheetId="1" sqref="AL88" start="0" length="0">
      <dxf>
        <font>
          <sz val="12"/>
          <color theme="1"/>
          <name val="Calibri"/>
          <family val="2"/>
          <charset val="238"/>
          <scheme val="minor"/>
        </font>
      </dxf>
    </rfmt>
    <rfmt sheetId="1" sqref="AL90" start="0" length="0">
      <dxf>
        <font>
          <sz val="11"/>
          <color theme="1"/>
          <name val="Calibri"/>
          <family val="2"/>
          <charset val="238"/>
          <scheme val="minor"/>
        </font>
      </dxf>
    </rfmt>
    <rfmt sheetId="1" sqref="AL93" start="0" length="0">
      <dxf>
        <numFmt numFmtId="4" formatCode="#,##0.00"/>
      </dxf>
    </rfmt>
    <rfmt sheetId="1" sqref="AL94" start="0" length="0">
      <dxf>
        <numFmt numFmtId="4" formatCode="#,##0.00"/>
        <alignment horizontal="center" vertical="center" wrapText="1"/>
      </dxf>
    </rfmt>
    <rfmt sheetId="1" sqref="AL97" start="0" length="0">
      <dxf>
        <font>
          <sz val="11"/>
          <color theme="1"/>
          <name val="Calibri"/>
          <family val="2"/>
          <charset val="238"/>
          <scheme val="minor"/>
        </font>
      </dxf>
    </rfmt>
    <rfmt sheetId="1" sqref="AL120" start="0" length="0">
      <dxf>
        <fill>
          <patternFill patternType="solid">
            <bgColor theme="5" tint="0.39997558519241921"/>
          </patternFill>
        </fill>
      </dxf>
    </rfmt>
    <rfmt sheetId="1" sqref="AL127" start="0" length="0">
      <dxf>
        <alignment vertical="top" wrapText="1"/>
      </dxf>
    </rfmt>
    <rfmt sheetId="1" sqref="AL140" start="0" length="0">
      <dxf>
        <font>
          <sz val="12"/>
          <color theme="1"/>
          <name val="Calibri"/>
          <family val="2"/>
          <charset val="238"/>
          <scheme val="minor"/>
        </font>
        <alignment horizontal="left" vertical="center"/>
      </dxf>
    </rfmt>
    <rfmt sheetId="1" sqref="AL141" start="0" length="0">
      <dxf>
        <font>
          <sz val="12"/>
          <color auto="1"/>
          <name val="Calibri"/>
          <family val="2"/>
          <charset val="238"/>
          <scheme val="minor"/>
        </font>
        <alignment horizontal="left" vertical="center"/>
      </dxf>
    </rfmt>
    <rfmt sheetId="1" sqref="AL142" start="0" length="0">
      <dxf>
        <font>
          <sz val="11"/>
          <color theme="1"/>
          <name val="Calibri"/>
          <family val="2"/>
          <charset val="238"/>
          <scheme val="minor"/>
        </font>
      </dxf>
    </rfmt>
    <rfmt sheetId="1" sqref="AL143" start="0" length="0">
      <dxf>
        <font>
          <sz val="11"/>
          <color theme="1"/>
          <name val="Calibri"/>
          <family val="2"/>
          <charset val="238"/>
          <scheme val="minor"/>
        </font>
      </dxf>
    </rfmt>
    <rfmt sheetId="1" sqref="AL155" start="0" length="0">
      <dxf>
        <font>
          <sz val="11"/>
          <color theme="1"/>
          <name val="Calibri"/>
          <family val="2"/>
          <charset val="238"/>
          <scheme val="minor"/>
        </font>
      </dxf>
    </rfmt>
    <rfmt sheetId="1" sqref="AL186" start="0" length="0">
      <dxf>
        <font>
          <sz val="11"/>
          <color theme="1"/>
          <name val="Calibri"/>
          <family val="2"/>
          <charset val="238"/>
          <scheme val="minor"/>
        </font>
      </dxf>
    </rfmt>
    <rfmt sheetId="1" sqref="AL187" start="0" length="0">
      <dxf>
        <font>
          <sz val="11"/>
          <color theme="1"/>
          <name val="Calibri"/>
          <family val="2"/>
          <charset val="238"/>
          <scheme val="minor"/>
        </font>
      </dxf>
    </rfmt>
    <rfmt sheetId="1" sqref="AL204" start="0" length="0">
      <dxf>
        <alignment vertical="top" wrapText="1"/>
      </dxf>
    </rfmt>
    <rfmt sheetId="1" sqref="AL205" start="0" length="0">
      <dxf>
        <alignment vertical="top" wrapText="1"/>
      </dxf>
    </rfmt>
    <rfmt sheetId="1" sqref="AL206" start="0" length="0">
      <dxf>
        <alignment vertical="top" wrapText="1"/>
      </dxf>
    </rfmt>
    <rfmt sheetId="1" sqref="AL207" start="0" length="0">
      <dxf>
        <alignment vertical="top" wrapText="1"/>
      </dxf>
    </rfmt>
    <rfmt sheetId="1" sqref="AL211" start="0" length="0">
      <dxf>
        <alignment vertical="top" wrapText="1"/>
      </dxf>
    </rfmt>
    <rfmt sheetId="1" sqref="AL240" start="0" length="0">
      <dxf>
        <font>
          <sz val="11"/>
          <color theme="0"/>
          <name val="Calibri"/>
          <family val="2"/>
          <charset val="238"/>
          <scheme val="minor"/>
        </font>
      </dxf>
    </rfmt>
    <rfmt sheetId="1" sqref="AL241" start="0" length="0">
      <dxf>
        <font>
          <sz val="11"/>
          <color theme="0"/>
          <name val="Calibri"/>
          <family val="2"/>
          <charset val="238"/>
          <scheme val="minor"/>
        </font>
      </dxf>
    </rfmt>
    <rfmt sheetId="1" sqref="AL242" start="0" length="0">
      <dxf>
        <font>
          <sz val="11"/>
          <color theme="0"/>
          <name val="Calibri"/>
          <family val="2"/>
          <charset val="238"/>
          <scheme val="minor"/>
        </font>
      </dxf>
    </rfmt>
    <rfmt sheetId="1" sqref="AL243" start="0" length="0">
      <dxf>
        <font>
          <sz val="11"/>
          <color theme="0"/>
          <name val="Calibri"/>
          <family val="2"/>
          <charset val="238"/>
          <scheme val="minor"/>
        </font>
      </dxf>
    </rfmt>
    <rfmt sheetId="1" sqref="AL251" start="0" length="0">
      <dxf>
        <font>
          <sz val="11"/>
          <color theme="0"/>
          <name val="Calibri"/>
          <family val="2"/>
          <charset val="238"/>
          <scheme val="minor"/>
        </font>
      </dxf>
    </rfmt>
    <rfmt sheetId="1" sqref="AL252" start="0" length="0">
      <dxf>
        <font>
          <sz val="11"/>
          <color theme="0"/>
          <name val="Calibri"/>
          <family val="2"/>
          <charset val="238"/>
          <scheme val="minor"/>
        </font>
      </dxf>
    </rfmt>
    <rfmt sheetId="1" sqref="AL253" start="0" length="0">
      <dxf>
        <font>
          <sz val="11"/>
          <color theme="0"/>
          <name val="Calibri"/>
          <family val="2"/>
          <charset val="238"/>
          <scheme val="minor"/>
        </font>
      </dxf>
    </rfmt>
    <rfmt sheetId="1" sqref="AL254" start="0" length="0">
      <dxf>
        <font>
          <sz val="11"/>
          <color theme="0"/>
          <name val="Calibri"/>
          <family val="2"/>
          <charset val="238"/>
          <scheme val="minor"/>
        </font>
      </dxf>
    </rfmt>
    <rfmt sheetId="1" sqref="AL401" start="0" length="0">
      <dxf>
        <font>
          <b/>
          <sz val="11"/>
          <color theme="1"/>
          <name val="Calibri"/>
          <family val="2"/>
          <charset val="238"/>
          <scheme val="minor"/>
        </font>
      </dxf>
    </rfmt>
    <rfmt sheetId="1" sqref="AL402" start="0" length="0">
      <dxf>
        <font>
          <b/>
          <sz val="12"/>
          <color theme="1"/>
          <name val="Calibri"/>
          <family val="2"/>
          <charset val="238"/>
          <scheme val="minor"/>
        </font>
      </dxf>
    </rfmt>
    <rfmt sheetId="1" sqref="AL403" start="0" length="0">
      <dxf>
        <font>
          <b/>
          <sz val="12"/>
          <color theme="1"/>
          <name val="Calibri"/>
          <family val="2"/>
          <charset val="238"/>
          <scheme val="minor"/>
        </font>
      </dxf>
    </rfmt>
    <rfmt sheetId="1" sqref="AL404" start="0" length="0">
      <dxf>
        <font>
          <b/>
          <sz val="11"/>
          <color theme="1"/>
          <name val="Calibri"/>
          <family val="2"/>
          <charset val="238"/>
          <scheme val="minor"/>
        </font>
      </dxf>
    </rfmt>
    <rfmt sheetId="1" sqref="AL405" start="0" length="0">
      <dxf>
        <font>
          <b/>
          <sz val="11"/>
          <color theme="1"/>
          <name val="Calibri"/>
          <family val="2"/>
          <charset val="238"/>
          <scheme val="minor"/>
        </font>
      </dxf>
    </rfmt>
    <rfmt sheetId="1" sqref="AL406" start="0" length="0">
      <dxf>
        <font>
          <b/>
          <sz val="11"/>
          <color theme="1"/>
          <name val="Calibri"/>
          <family val="2"/>
          <charset val="238"/>
          <scheme val="minor"/>
        </font>
      </dxf>
    </rfmt>
    <rfmt sheetId="1" sqref="AL407" start="0" length="0">
      <dxf>
        <font>
          <b/>
          <sz val="11"/>
          <color theme="1"/>
          <name val="Calibri"/>
          <family val="2"/>
          <charset val="238"/>
          <scheme val="minor"/>
        </font>
      </dxf>
    </rfmt>
    <rfmt sheetId="1" sqref="AL408" start="0" length="0">
      <dxf>
        <font>
          <b/>
          <sz val="11"/>
          <color theme="1"/>
          <name val="Calibri"/>
          <family val="2"/>
          <charset val="238"/>
          <scheme val="minor"/>
        </font>
      </dxf>
    </rfmt>
    <rfmt sheetId="1" sqref="AL409" start="0" length="0">
      <dxf>
        <font>
          <b/>
          <sz val="11"/>
          <color theme="1"/>
          <name val="Calibri"/>
          <family val="2"/>
          <charset val="238"/>
          <scheme val="minor"/>
        </font>
      </dxf>
    </rfmt>
    <rfmt sheetId="1" sqref="AL410" start="0" length="0">
      <dxf>
        <font>
          <b/>
          <sz val="11"/>
          <color theme="1"/>
          <name val="Calibri"/>
          <family val="2"/>
          <charset val="238"/>
          <scheme val="minor"/>
        </font>
      </dxf>
    </rfmt>
    <rfmt sheetId="1" sqref="AL411" start="0" length="0">
      <dxf>
        <font>
          <b/>
          <sz val="11"/>
          <color theme="1"/>
          <name val="Calibri"/>
          <family val="2"/>
          <charset val="238"/>
          <scheme val="minor"/>
        </font>
      </dxf>
    </rfmt>
    <rfmt sheetId="1" sqref="AL412" start="0" length="0">
      <dxf>
        <font>
          <b/>
          <sz val="11"/>
          <color theme="1"/>
          <name val="Calibri"/>
          <family val="2"/>
          <charset val="238"/>
          <scheme val="minor"/>
        </font>
      </dxf>
    </rfmt>
    <rfmt sheetId="1" sqref="AL413" start="0" length="0">
      <dxf>
        <font>
          <b/>
          <sz val="11"/>
          <color theme="1"/>
          <name val="Calibri"/>
          <family val="2"/>
          <charset val="238"/>
          <scheme val="minor"/>
        </font>
      </dxf>
    </rfmt>
    <rfmt sheetId="1" sqref="AL414" start="0" length="0">
      <dxf>
        <font>
          <b/>
          <sz val="11"/>
          <color theme="1"/>
          <name val="Calibri"/>
          <family val="2"/>
          <charset val="238"/>
          <scheme val="minor"/>
        </font>
      </dxf>
    </rfmt>
    <rfmt sheetId="1" sqref="AL415" start="0" length="0">
      <dxf>
        <font>
          <b/>
          <sz val="11"/>
          <color theme="1"/>
          <name val="Calibri"/>
          <family val="2"/>
          <charset val="238"/>
          <scheme val="minor"/>
        </font>
      </dxf>
    </rfmt>
    <rfmt sheetId="1" sqref="AL416" start="0" length="0">
      <dxf>
        <font>
          <b/>
          <sz val="11"/>
          <color theme="1"/>
          <name val="Calibri"/>
          <family val="2"/>
          <charset val="238"/>
          <scheme val="minor"/>
        </font>
      </dxf>
    </rfmt>
    <rfmt sheetId="1" sqref="AL417" start="0" length="0">
      <dxf>
        <font>
          <b/>
          <sz val="11"/>
          <color theme="1"/>
          <name val="Calibri"/>
          <family val="2"/>
          <charset val="238"/>
          <scheme val="minor"/>
        </font>
      </dxf>
    </rfmt>
    <rfmt sheetId="1" sqref="AL418" start="0" length="0">
      <dxf>
        <font>
          <b/>
          <sz val="11"/>
          <color theme="1"/>
          <name val="Calibri"/>
          <family val="2"/>
          <charset val="238"/>
          <scheme val="minor"/>
        </font>
      </dxf>
    </rfmt>
    <rfmt sheetId="1" sqref="AL419" start="0" length="0">
      <dxf>
        <font>
          <b/>
          <sz val="11"/>
          <color theme="1"/>
          <name val="Calibri"/>
          <family val="2"/>
          <charset val="238"/>
          <scheme val="minor"/>
        </font>
      </dxf>
    </rfmt>
    <rfmt sheetId="1" sqref="AL420" start="0" length="0">
      <dxf>
        <font>
          <b/>
          <sz val="11"/>
          <color theme="1"/>
          <name val="Calibri"/>
          <family val="2"/>
          <charset val="238"/>
          <scheme val="minor"/>
        </font>
      </dxf>
    </rfmt>
    <rfmt sheetId="1" sqref="AL421" start="0" length="0">
      <dxf>
        <font>
          <b/>
          <sz val="11"/>
          <color theme="1"/>
          <name val="Calibri"/>
          <family val="2"/>
          <charset val="238"/>
          <scheme val="minor"/>
        </font>
      </dxf>
    </rfmt>
    <rfmt sheetId="1" sqref="AL422" start="0" length="0">
      <dxf>
        <font>
          <b/>
          <sz val="11"/>
          <color theme="1"/>
          <name val="Calibri"/>
          <family val="2"/>
          <charset val="238"/>
          <scheme val="minor"/>
        </font>
      </dxf>
    </rfmt>
    <rfmt sheetId="1" sqref="AL423" start="0" length="0">
      <dxf>
        <font>
          <b/>
          <sz val="11"/>
          <color theme="1"/>
          <name val="Calibri"/>
          <family val="2"/>
          <charset val="238"/>
          <scheme val="minor"/>
        </font>
      </dxf>
    </rfmt>
    <rfmt sheetId="1" sqref="AL424" start="0" length="0">
      <dxf>
        <font>
          <b/>
          <sz val="11"/>
          <color theme="1"/>
          <name val="Calibri"/>
          <family val="2"/>
          <charset val="238"/>
          <scheme val="minor"/>
        </font>
      </dxf>
    </rfmt>
    <rfmt sheetId="1" sqref="AL425" start="0" length="0">
      <dxf>
        <font>
          <b/>
          <sz val="11"/>
          <color theme="1"/>
          <name val="Calibri"/>
          <family val="2"/>
          <charset val="238"/>
          <scheme val="minor"/>
        </font>
      </dxf>
    </rfmt>
    <rfmt sheetId="1" sqref="AL426" start="0" length="0">
      <dxf>
        <font>
          <b/>
          <sz val="11"/>
          <color theme="1"/>
          <name val="Calibri"/>
          <family val="2"/>
          <charset val="238"/>
          <scheme val="minor"/>
        </font>
      </dxf>
    </rfmt>
    <rfmt sheetId="1" sqref="AL427" start="0" length="0">
      <dxf>
        <font>
          <b/>
          <sz val="11"/>
          <color theme="1"/>
          <name val="Calibri"/>
          <family val="2"/>
          <charset val="238"/>
          <scheme val="minor"/>
        </font>
      </dxf>
    </rfmt>
    <rfmt sheetId="1" sqref="AL433" start="0" length="0">
      <dxf>
        <numFmt numFmtId="4" formatCode="#,##0.00"/>
      </dxf>
    </rfmt>
  </rrc>
  <rdn rId="0" localSheetId="1" customView="1" name="Z_D1B5461B_B040_4BC9_AF67_A8F429825375_.wvu.PrintArea" hidden="1" oldHidden="1">
    <formula>Sheet1!$A$1:$AK$427</formula>
  </rdn>
  <rdn rId="0" localSheetId="1" customView="1" name="Z_D1B5461B_B040_4BC9_AF67_A8F429825375_.wvu.FilterData" hidden="1" oldHidden="1">
    <formula>Sheet1!$A$1:$AK$399</formula>
  </rdn>
  <rcv guid="{D1B5461B-B040-4BC9-AF67-A8F429825375}" action="add"/>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XFD1048576">
    <dxf>
      <fill>
        <patternFill patternType="none">
          <bgColor auto="1"/>
        </patternFill>
      </fill>
    </dxf>
  </rfmt>
  <rfmt sheetId="1" sqref="A1:A5" start="0" length="0">
    <dxf>
      <border>
        <left style="thin">
          <color indexed="64"/>
        </left>
      </border>
    </dxf>
  </rfmt>
  <rfmt sheetId="1" sqref="A1:AK1" start="0" length="0">
    <dxf>
      <border>
        <top style="thin">
          <color indexed="64"/>
        </top>
      </border>
    </dxf>
  </rfmt>
  <rfmt sheetId="1" sqref="AK1:AK5" start="0" length="0">
    <dxf>
      <border>
        <right style="thin">
          <color indexed="64"/>
        </right>
      </border>
    </dxf>
  </rfmt>
  <rfmt sheetId="1" sqref="A1:AK5">
    <dxf>
      <border>
        <top style="thin">
          <color indexed="64"/>
        </top>
        <bottom style="thin">
          <color indexed="64"/>
        </bottom>
        <horizontal style="thin">
          <color indexed="64"/>
        </horizontal>
      </border>
    </dxf>
  </rfmt>
  <rfmt sheetId="1" sqref="A1:AK3">
    <dxf>
      <fill>
        <patternFill patternType="solid">
          <bgColor theme="7" tint="0.59999389629810485"/>
        </patternFill>
      </fill>
    </dxf>
  </rfmt>
  <rfmt sheetId="1" sqref="A4:AK5">
    <dxf>
      <fill>
        <patternFill patternType="solid">
          <bgColor theme="9" tint="0.59999389629810485"/>
        </patternFill>
      </fill>
    </dxf>
  </rfmt>
  <rrc rId="351" sId="1" ref="A17:XFD17" action="deleteRow">
    <undo index="65535" exp="area" ref3D="1" dr="$H$1:$N$1048576" dn="Z_65B035E3_87FA_46C5_996E_864F2C8D0EBC_.wvu.Cols" sId="1"/>
    <rfmt sheetId="1" xfDxf="1" sqref="A17:XFD17" start="0" length="0"/>
    <rfmt sheetId="1" sqref="A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7" t="inlineStr">
        <is>
          <t>TOTAL ALBA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7"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7">
        <f>SUM(S7:S12)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17">
        <f>SUM(T7:T14)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17">
        <f>SUM(U7:U14)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17">
        <f>SUM(V7:V12)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17">
        <f>SUM(W7:W14)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17">
        <f>SUM(X7:X13)</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17">
        <f>SUM(Y7:Y12)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17">
        <f>SUM(Z7:Z14)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17">
        <f>SUM(AA7:AA14)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17">
        <f>SUM(AB7:AB12)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17">
        <f>SUM(AC7:AC12)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7">
        <f>SUM(AD7:AD12)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7">
        <f>SUM(AE7:AE12)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17">
        <f>SUM(AF7:AF12)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17">
        <f>SUM(AG7:AG12)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H17">
        <f>SUM(AH7:AH12)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I17">
        <f>SUM(AI7:AI12)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17">
        <f>SUM(AJ7:AJ12)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17">
        <f>SUM(AK7:AK12)</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352" sId="1" ref="A26:XFD26" action="deleteRow">
    <undo index="65535" exp="area" dr="AK26:AK29" r="AK30" sId="1"/>
    <undo index="65535" exp="area" dr="AJ26:AJ29" r="AJ30" sId="1"/>
    <undo index="65535" exp="area" dr="AI26:AI29" r="AI30" sId="1"/>
    <undo index="65535" exp="area" dr="AG26:AG29" r="AG30" sId="1"/>
    <undo index="65535" exp="area" dr="AF26:AF29" r="AF30" sId="1"/>
    <undo index="65535" exp="area" dr="AE26:AE29" r="AE30" sId="1"/>
    <undo index="65535" exp="area" dr="AD26:AD29" r="AD30" sId="1"/>
    <undo index="65535" exp="area" dr="AC26:AC29" r="AC30" sId="1"/>
    <undo index="65535" exp="area" dr="AB26:AB29" r="AB30" sId="1"/>
    <undo index="65535" exp="area" dr="AA26:AA29" r="AA30" sId="1"/>
    <undo index="65535" exp="area" dr="Z26:Z29" r="Z30" sId="1"/>
    <undo index="65535" exp="area" dr="Y26:Y29" r="Y30" sId="1"/>
    <undo index="65535" exp="area" dr="X26:X29" r="X30" sId="1"/>
    <undo index="65535" exp="area" dr="W26:W29" r="W30" sId="1"/>
    <undo index="65535" exp="area" dr="V26:V29" r="V30" sId="1"/>
    <undo index="65535" exp="area" dr="U26:U29" r="U30" sId="1"/>
    <undo index="65535" exp="area" dr="T26:T29" r="T30" sId="1"/>
    <undo index="65535" exp="area" dr="S26:S29" r="S30" sId="1"/>
    <undo index="65535" exp="area" ref3D="1" dr="$H$1:$N$1048576" dn="Z_65B035E3_87FA_46C5_996E_864F2C8D0EBC_.wvu.Cols" sId="1"/>
    <rfmt sheetId="1" xfDxf="1" sqref="A26:XFD26" start="0" length="0"/>
    <rfmt sheetId="1" sqref="A2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C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D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E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cc rId="0" sId="1" dxf="1">
      <nc r="G26" t="inlineStr">
        <is>
          <t>TOTAL ARGES</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2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6">
        <f>SUM(S22:S24)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6">
        <f>SUM(T22:T25)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6">
        <f>SUM(U22:U25)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6">
        <f>SUM(V22:V24)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6">
        <f>SUM(W22:W25)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6">
        <f>SUM(X22:X25)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6">
        <f>SUM(Y22:Y24)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6">
        <f>SUM(Z22:Z25)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6">
        <f>SUM(AA22:AA25)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6">
        <f>SUM(AB22:AB25)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6">
        <f>SUM(AC22:AC24)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6">
        <f>SUM(AD22:AD24)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6">
        <f>AE23+AE24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6">
        <f>SUM(AF22:AF24)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6">
        <f>SUM(AG22:AG25)</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6"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6">
        <f>SUM(AI22:AI24)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6">
        <f>SUM(AJ22:AJ24)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6">
        <f>SUM(AK22:AK24)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353" sId="1" ref="A29:XFD29" action="deleteRow">
    <undo index="65535" exp="area" ref3D="1" dr="$H$1:$N$1048576" dn="Z_65B035E3_87FA_46C5_996E_864F2C8D0EBC_.wvu.Cols" sId="1"/>
    <rfmt sheetId="1" xfDxf="1" sqref="A29:XFD29" start="0" length="0"/>
    <rfmt sheetId="1" sqref="A2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29" t="inlineStr">
        <is>
          <t>TOTAL BACĂU</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9">
        <f>SUM(S26:S28)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9">
        <f>SUM(T26:T28)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9">
        <f>SUM(U26:U28)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9">
        <f>SUM(V26:V28)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9">
        <f>SUM(W26:W28)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9">
        <f>SUM(X26:X28)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9">
        <f>SUM(Y26:Y28)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9">
        <f>SUM(Z26:Z28)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9">
        <f>SUM(AA26:AA28)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9">
        <f>SUM(AB26:AB28)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9">
        <f>SUM(AC26:AC28)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9">
        <f>SUM(AD26:AD28)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9">
        <f>SUM(AE26:AE28)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9">
        <f>SUM(AF26:AF28)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9">
        <f>SUM(AG26:AG28)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9"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9">
        <f>SUM(AI26:AI28)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9">
        <f>SUM(AJ26:AJ28)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9">
        <f>SUM(AK26:AK28)</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354" sId="1" ref="A31:XFD31" action="deleteRow">
    <undo index="65535" exp="area" ref3D="1" dr="$H$1:$N$1048576" dn="Z_65B035E3_87FA_46C5_996E_864F2C8D0EBC_.wvu.Cols" sId="1"/>
    <rfmt sheetId="1" xfDxf="1" sqref="A31:XFD31" start="0" length="0"/>
    <rfmt sheetId="1" sqref="A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31" t="inlineStr">
        <is>
          <t>TOTAL BIHOR</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1">
        <f>SUM(S29:S30)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31">
        <f>SUM(T29:T30)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31">
        <f>SUM(U29:U30)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31">
        <f>SUM(V29:V30)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31">
        <f>SUM(W29:W30)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31">
        <f>SUM(X29:X30)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31">
        <f>SUM(Y29:Y30)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31">
        <f>SUM(Z29:Z30)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31">
        <f>SUM(AA29:AA30)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31">
        <f>SUM(AB29:AB30)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31">
        <f>SUM(AC29:AC30)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31">
        <f>SUM(AD29:AD30)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31">
        <f>SUM(AE29:AE30)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31">
        <f>SUM(AF29:AF30)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31">
        <f>SUM(AG29:AG30)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1"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31">
        <f>SUM(AI29:AI30)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31">
        <f>SUM(AJ29:AJ30)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31">
        <f>SUM(AK29:AK30)</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355" sId="1" ref="A32:XFD32" action="deleteRow">
    <undo index="65535" exp="area" ref3D="1" dr="$H$1:$N$1048576" dn="Z_65B035E3_87FA_46C5_996E_864F2C8D0EBC_.wvu.Cols" sId="1"/>
    <rfmt sheetId="1" xfDxf="1" sqref="A32:XFD32" start="0" length="0"/>
    <rfmt sheetId="1" sqref="A32"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2"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2"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2"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32" t="inlineStr">
        <is>
          <t>TOTAL BISTRIȚA NĂSĂUD</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32"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2"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2">
        <f>SUM(S31:S31)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2">
        <f>SUM(T31:T31)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2">
        <f>SUM(U31:U31)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2">
        <f>SUM(V31:V31)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2">
        <f>SUM(W31:W31)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2">
        <f>SUM(X31:X31)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2">
        <f>SUM(Y31:Y31)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2">
        <f>SUM(Z31:Z31)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2">
        <f>SUM(AA31:AA31)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2">
        <f>SUM(AB31:AB31)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2">
        <f>SUM(AC31:AC31)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2">
        <f>SUM(AD31:AD31)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2">
        <f>SUM(AE31:AE31)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2">
        <f>SUM(AF31:AF31)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2">
        <f>SUM(AG31:AG31)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32"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32">
        <f>SUM(AI31:AI31)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2">
        <f>SUM(AJ31:AJ31)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2">
        <f>SUM(AK31:AK31)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56" sId="1" ref="A35:XFD35" action="deleteRow">
    <undo index="65535" exp="area" ref3D="1" dr="$H$1:$N$1048576" dn="Z_65B035E3_87FA_46C5_996E_864F2C8D0EBC_.wvu.Cols" sId="1"/>
    <rfmt sheetId="1" xfDxf="1" sqref="A35:XFD35" start="0" length="0"/>
    <rfmt sheetId="1" sqref="A3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C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D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E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F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G35" t="inlineStr">
        <is>
          <t>TOTAL BOTOȘANI</t>
        </is>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H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I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K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5">
        <f>SUM(S33:S34)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35">
        <f>SUM(T32:T34)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35">
        <f>SUM(U32:U34)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35">
        <f>SUM(V32:V34)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35">
        <f>SUM(W32:W34)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35">
        <f>SUM(X32:X34)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35">
        <f>SUM(Y32:Y34)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35">
        <f>SUM(Z32:Z34)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35">
        <f>SUM(AA32:AA34)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35">
        <f>SUM(AB32:AB34)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35">
        <f>SUM(AC32:AC34)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35">
        <f>SUM(AD32:AD34)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35">
        <f>SUM(AE32:AE34)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35">
        <f>SUM(AF32:AF34)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35">
        <f>SUM(AG32:AG34)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35" start="0" length="0">
      <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35">
        <f>SUM(AI32:AI34)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35">
        <f>SUM(AJ32:AJ34)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35">
        <f>SUM(AK32:AK34)</f>
      </nc>
      <ndxf>
        <font>
          <b/>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rc rId="357" sId="1" ref="A38:XFD38" action="deleteRow">
    <undo index="65535" exp="area" ref3D="1" dr="$H$1:$N$1048576" dn="Z_65B035E3_87FA_46C5_996E_864F2C8D0EBC_.wvu.Cols" sId="1"/>
    <rfmt sheetId="1" xfDxf="1" sqref="A38:XFD38" start="0" length="0"/>
    <rfmt sheetId="1" sqref="A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38" t="inlineStr">
        <is>
          <t>TOTAL BRĂILA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8">
        <f>SUM(S35:S37)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8">
        <f>SUM(T35:T153)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8">
        <f>SUM(U35:U153)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8">
        <f>SUM(V35:V37)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8">
        <f>SUM(W35:W153)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8">
        <f>SUM(X35:X153)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8">
        <f>SUM(Y35:Y37)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8">
        <f>SUM(Z35:Z153)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8">
        <f>SUM(AA35:AA37)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8">
        <f>SUM(AB35:AB37)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8">
        <f>SUM(AC35:AC37)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8">
        <f>SUM(AD35:AD37)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8">
        <f>SUM(AE35:AE37)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8">
        <f>SUM(AF35:AF37)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8">
        <f>SUM(AG35:AG37)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3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38">
        <f>SUM(AI35:AI37)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8">
        <f>SUM(AJ35:AJ37)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8">
        <f>SUM(AK35:AK37)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58" sId="1" ref="A44:XFD44" action="deleteRow">
    <undo index="65535" exp="area" ref3D="1" dr="$H$1:$N$1048576" dn="Z_65B035E3_87FA_46C5_996E_864F2C8D0EBC_.wvu.Cols" sId="1"/>
    <rfmt sheetId="1" xfDxf="1" sqref="A44:XFD44" start="0" length="0"/>
    <rfmt sheetId="1" sqref="A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C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D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E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F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G44" t="inlineStr">
        <is>
          <t>TOTAL BRAȘOV</t>
        </is>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H4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44">
        <f>SUM(S38:S41)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44">
        <f>SUM(T38:T41)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44">
        <f>SUM(U38:U43)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44">
        <f>SUM(V38:V41)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44">
        <f>SUM(W38:W41)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44">
        <f>SUM(X38:X42)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44">
        <f>SUM(Y38:Y41)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44">
        <f>SUM(Z38:Z43)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44">
        <f>SUM(AA38:AA43)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44">
        <f>SUM(AB38:AB41)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44">
        <f>SUM(AC38:AC43)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44">
        <f>SUM(AD38:AD43)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44">
        <f>SUM(AE38:AE41)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44">
        <f>SUM(AF38:AF42)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44">
        <f>SUM(AG38:AG42)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44">
        <f>SUM(AI38:AI41)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44">
        <f>SUM(AJ38:AJ42)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K44"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59" sId="1" ref="A50:XFD50" action="deleteRow">
    <undo index="65535" exp="area" ref3D="1" dr="$H$1:$N$1048576" dn="Z_65B035E3_87FA_46C5_996E_864F2C8D0EBC_.wvu.Cols" sId="1"/>
    <rfmt sheetId="1" xfDxf="1" sqref="A50:XFD50" start="0" length="0"/>
    <rfmt sheetId="1" sqref="A5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50" t="inlineStr">
        <is>
          <t>TOTAL BUCUREȘTI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0">
        <f>SUM(S44:S49)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50">
        <f>SUM(T44:T49)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50">
        <f>SUM(U44:U49)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50">
        <f>SUM(V44:V49)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50">
        <f>SUM(W44:W49)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50">
        <f>SUM(X44:X49)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50">
        <f>SUM(Y44:Y49)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50">
        <f>SUM(Z44:Z49)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50">
        <f>SUM(AA44:AA49)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50">
        <f>SUM(AB44:AB49)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50">
        <f>SUM(AC44:AC49)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50">
        <f>SUM(AD44:AD49)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50">
        <f>SUM(AE44:AE49)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50">
        <f>SUM(AF44:AF49)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50">
        <f>SUM(AG44:AG49)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5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50">
        <f>SUM(AI44:AI49)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50">
        <f>SUM(AJ44:AJ49)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50">
        <f>SUM(AK44:AK49)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0" sId="1" ref="A60:XFD60" action="deleteRow">
    <undo index="65535" exp="area" ref3D="1" dr="$H$1:$N$1048576" dn="Z_65B035E3_87FA_46C5_996E_864F2C8D0EBC_.wvu.Cols" sId="1"/>
    <rfmt sheetId="1" xfDxf="1" sqref="A60:XFD60" start="0" length="0"/>
    <rfmt sheetId="1" sqref="A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C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D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G60" t="inlineStr">
        <is>
          <t>TOTAL CĂLĂRAȘI</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6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0">
        <f>SUM(S57:S59)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T60">
        <f>SUM(T57:T59)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U60">
        <f>SUM(U57:U59)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V60">
        <f>SUM(V57:V59)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W60">
        <f>SUM(W57:W59)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X60">
        <f>SUM(X57:X59)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Y60">
        <f>SUM(Y57:Y59)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Z60">
        <f>SUM(Z57:Z59)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A60">
        <f>SUM(AA57:AA59)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B60">
        <f>SUM(AB57:AB59)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C60">
        <f>SUM(AC57:AC59)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D60">
        <f>SUM(AD57:AD59)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E60">
        <f>SUM(AE57:AE59)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F60">
        <f>SUM(AF57:AF59)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G60">
        <f>SUM(AG57:AG59)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fmt sheetId="1" sqref="AH6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dxf="1">
      <nc r="AI60">
        <f>SUM(AI57:AI59)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J60">
        <f>SUM(AJ57:AJ59)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cc rId="0" sId="1" dxf="1">
      <nc r="AK60">
        <f>SUM(AK57:AK59)</f>
      </nc>
      <n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ndxf>
    </rcc>
  </rrc>
  <rrc rId="361" sId="1" ref="A61:XFD61" action="deleteRow">
    <undo index="65535" exp="area" ref3D="1" dr="$H$1:$N$1048576" dn="Z_65B035E3_87FA_46C5_996E_864F2C8D0EBC_.wvu.Cols" sId="1"/>
    <rfmt sheetId="1" xfDxf="1" sqref="A61:XFD61" start="0" length="0"/>
    <rfmt sheetId="1" sqref="A61"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61"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E61" start="0" length="0">
      <dxf>
        <font>
          <b/>
          <sz val="12"/>
          <color auto="1"/>
          <name val="Calibri"/>
          <family val="2"/>
          <charset val="238"/>
          <scheme val="minor"/>
        </font>
        <alignment horizontal="center" vertical="center" wrapText="1"/>
        <border outline="0">
          <left style="thin">
            <color indexed="64"/>
          </left>
          <top style="thin">
            <color indexed="64"/>
          </top>
          <bottom style="thin">
            <color indexed="64"/>
          </bottom>
        </border>
      </dxf>
    </rfmt>
    <rfmt sheetId="1" sqref="F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1" t="inlineStr">
        <is>
          <t>TOTAL CARAȘ SEVERIN</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6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I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1">
        <f>SUM(S60:S60)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1">
        <f>SUM(T60:T60)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1">
        <f>SUM(U60:U60)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1">
        <f>SUM(V60:V60)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1">
        <f>SUM(W60:W60)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1">
        <f>SUM(X60:X60)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1">
        <f>SUM(Y60:Y60)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1">
        <f>SUM(Z60:Z60)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1">
        <f>SUM(AA60:AA60)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1">
        <f>SUM(AB60:AB60)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1">
        <f>SUM(AC60:AC60)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1">
        <f>SUM(AD60:AD60)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1">
        <f>SUM(AE60:AE60)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1">
        <f>SUM(AF60:AF60)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1">
        <f>SUM(AG60:AG60)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6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61">
        <f>SUM(AI60:AI60)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1">
        <f>SUM(AJ60:AJ60)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1">
        <f>SUM(AK60:AK60)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2" sId="1" ref="A66:XFD66" action="deleteRow">
    <undo index="65535" exp="area" ref3D="1" dr="$H$1:$N$1048576" dn="Z_65B035E3_87FA_46C5_996E_864F2C8D0EBC_.wvu.Cols" sId="1"/>
    <rfmt sheetId="1" xfDxf="1" sqref="A66:XFD66" start="0" length="0"/>
    <rfmt sheetId="1" sqref="A66" start="0" length="0">
      <dxf>
        <font>
          <b/>
          <sz val="12"/>
          <color auto="1"/>
          <name val="Calibri"/>
          <family val="2"/>
          <charset val="238"/>
          <scheme val="minor"/>
        </font>
        <alignment horizontal="center" vertical="center" wrapText="1"/>
        <border outline="0">
          <left style="medium">
            <color indexed="64"/>
          </left>
          <top style="thin">
            <color indexed="64"/>
          </top>
          <bottom style="thin">
            <color indexed="64"/>
          </bottom>
        </border>
      </dxf>
    </rfmt>
    <rfmt sheetId="1" sqref="B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66" start="0" length="0">
      <dxf>
        <font>
          <b/>
          <sz val="12"/>
          <color auto="1"/>
          <name val="Calibri"/>
          <family val="2"/>
          <charset val="238"/>
          <scheme val="minor"/>
        </font>
        <alignment horizontal="center" vertical="center" wrapText="1"/>
        <border outline="0">
          <top style="thin">
            <color indexed="64"/>
          </top>
          <bottom style="thin">
            <color indexed="64"/>
          </bottom>
        </border>
      </dxf>
    </rfmt>
    <rfmt sheetId="1" sqref="D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66" t="inlineStr">
        <is>
          <t>TOTAL CLUJ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6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66">
        <f>SUM(S61:S65)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66">
        <f>SUM(T61:T65)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66">
        <f>SUM(U61:U65)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66">
        <f>SUM(V61:V65)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66">
        <f>SUM(W61:W65)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66">
        <f>SUM(X61:X65)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66">
        <f>SUM(Y61:Y65)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66">
        <f>SUM(Z61:Z65)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66">
        <f>SUM(AA61:AA65)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66">
        <f>SUM(AB61:AB65)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66">
        <f>SUM(AC61:AC65)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66">
        <f>SUM(AD61:AD65)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66">
        <f>SUM(AE61:AE65)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66">
        <f>SUM(AF61:AF65)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66">
        <f>SUM(AG61:AG65)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6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66">
        <f>SUM(AI61:AI65)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66">
        <f>SUM(AJ61:AJ65)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66">
        <f>SUM(AK61:AK65)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3" sId="1" ref="A70:XFD70" action="deleteRow">
    <undo index="65535" exp="area" ref3D="1" dr="$H$1:$N$1048576" dn="Z_65B035E3_87FA_46C5_996E_864F2C8D0EBC_.wvu.Cols" sId="1"/>
    <rfmt sheetId="1" xfDxf="1" sqref="A70:XFD70" start="0" length="0"/>
    <rfmt sheetId="1" sqref="A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0" t="inlineStr">
        <is>
          <t>TOTAL CONSTANȚA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7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I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0">
        <f>SUM(S66:S68)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0">
        <f>SUM(T66:T68)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0">
        <f>SUM(U66:U68)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0">
        <f>SUM(V66:V68)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0">
        <f>SUM(W66:W68)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0">
        <f>SUM(X66:X68)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0">
        <f>SUM(Y66:Y68)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0">
        <f>SUM(Z66:Z68)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0">
        <f>SUM(AA66:AA68)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0">
        <f>SUM(AB66:AB68)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0">
        <f>SUM(AC66:AC68)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0">
        <f>SUM(AD66:AD68)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0">
        <f>SUM(AE66:AE68)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0">
        <f>SUM(AF66:AF68)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0">
        <f>SUM(AG66:AG68)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0">
        <f>SUM(AI66:AI68)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0">
        <f>SUM(AJ66:AJ68)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0">
        <f>SUM(AK66:AK68)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4" sId="1" ref="A71:XFD71" action="deleteRow">
    <undo index="65535" exp="area" ref3D="1" dr="$H$1:$N$1048576" dn="Z_65B035E3_87FA_46C5_996E_864F2C8D0EBC_.wvu.Cols" sId="1"/>
    <rfmt sheetId="1" xfDxf="1" sqref="A71:XFD71" start="0" length="0"/>
    <rfmt sheetId="1" sqref="A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1" t="inlineStr">
        <is>
          <t>TOTAL COVASNA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1">
        <f>SUM(S70:S70)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1">
        <f>SUM(T70:T70)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1">
        <f>SUM(U70:U70)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1">
        <f>SUM(V70:V70)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1">
        <f>SUM(W70:W70)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1">
        <f>SUM(X70:X70)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1">
        <f>SUM(Y70:Y70)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1">
        <f>SUM(Z70:Z70)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1">
        <f>SUM(AA70:AA70)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1">
        <f>SUM(AB70:AB70)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1">
        <f>SUM(AC70:AC70)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1">
        <f>SUM(AD70:AD70)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1">
        <f>SUM(AE70:AE70)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1">
        <f>SUM(AF70:AF70)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1">
        <f>SUM(AG70:AG70)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1">
        <f>SUM(AI70:AI70)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1">
        <f>SUM(AJ70:AJ70)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1">
        <f>SUM(AK70:AK70)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5" sId="1" ref="A73:XFD73" action="deleteRow">
    <undo index="65535" exp="area" ref3D="1" dr="$H$1:$N$1048576" dn="Z_65B035E3_87FA_46C5_996E_864F2C8D0EBC_.wvu.Cols" sId="1"/>
    <rfmt sheetId="1" xfDxf="1" sqref="A73:XFD73" start="0" length="0"/>
    <rfmt sheetId="1" sqref="A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73" t="inlineStr">
        <is>
          <t>TOTAL DÂMBOVIȚA</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7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73">
        <f>SUM(S71:S72)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73">
        <f>SUM(T71:T72)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73">
        <f>SUM(U71:U72)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73">
        <f>SUM(V71:V72)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73">
        <f>SUM(W71:W72)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73">
        <f>SUM(X71:X72)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73">
        <f>SUM(Y71:Y72)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73">
        <f>SUM(Z71:Z72)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73">
        <f>SUM(AA71:AA72)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73">
        <f>SUM(AB71:AB72)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73">
        <f>SUM(AC71:AC72)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73">
        <f>SUM(AD71:AD72)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73">
        <f>SUM(AE71:AE72)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73">
        <f>SUM(AF71:AF72)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73">
        <f>SUM(AG71:AG72)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7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73">
        <f>SUM(AI71:AI72)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73">
        <f>SUM(AJ71:AJ72)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73">
        <f>SUM(AK71:AK72)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6" sId="1" ref="A80:XFD80" action="deleteRow">
    <undo index="65535" exp="area" ref3D="1" dr="$H$1:$N$1048576" dn="Z_65B035E3_87FA_46C5_996E_864F2C8D0EBC_.wvu.Cols" sId="1"/>
    <rfmt sheetId="1" xfDxf="1" sqref="A80:XFD80" start="0" length="0"/>
    <rfmt sheetId="1" sqref="A8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0" t="inlineStr">
        <is>
          <t>TOTAL DOLJ</t>
        </is>
      </nc>
      <ndxf>
        <font>
          <b/>
          <sz val="12"/>
          <color auto="1"/>
          <name val="Calibri"/>
          <family val="2"/>
          <charset val="238"/>
          <scheme val="minor"/>
        </font>
        <alignment horizontal="center" vertical="center" wrapText="1"/>
        <border outline="0">
          <top style="thin">
            <color indexed="64"/>
          </top>
          <bottom style="thin">
            <color indexed="64"/>
          </bottom>
        </border>
      </ndxf>
    </rcc>
    <rfmt sheetId="1" sqref="H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0">
        <f>SUM(S73:S77)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0">
        <f>SUM(T73:T77)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0">
        <f>SUM(U73:U77)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0">
        <f>SUM(V73:V77)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0">
        <f>SUM(W73:W77)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0">
        <f>SUM(X73:X77)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0">
        <f>SUM(Y73:Y77)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0">
        <f>SUM(Z73:Z78)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0">
        <f>SUM(AA73:AA78)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0">
        <f>SUM(AB73:AB77)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0">
        <f>SUM(AC73:AC77)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0">
        <f>SUM(AD73:AD77)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0">
        <f>SUM(AE73:AE77)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0">
        <f>SUM(AF73:AF77)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0">
        <f>SUM(AG73:AG77)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8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80">
        <f>SUM(AI73:AI77)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0">
        <f>SUM(AJ73:AJ77)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0">
        <f>SUM(AK73:AK78)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fmt sheetId="1" sqref="G79" start="0" length="2147483647">
    <dxf>
      <font>
        <b val="0"/>
      </font>
    </dxf>
  </rfmt>
  <rrc rId="367" sId="1" ref="A85:XFD85" action="deleteRow">
    <undo index="65535" exp="area" ref3D="1" dr="$H$1:$N$1048576" dn="Z_65B035E3_87FA_46C5_996E_864F2C8D0EBC_.wvu.Cols" sId="1"/>
    <rfmt sheetId="1" xfDxf="1" sqref="A85:XFD85" start="0" length="0"/>
    <rfmt sheetId="1" sqref="A85"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5" t="inlineStr">
        <is>
          <t>TOTAL GALAȚI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8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5"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5"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5">
        <f>SUM(S80:S84)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5">
        <f>SUM(T80:T84)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5">
        <f>SUM(U80:U84)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5">
        <f>SUM(V80:V84)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5">
        <f>SUM(W80:W84)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5">
        <f>SUM(X80:X84)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5">
        <f>SUM(Y80:Y84)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5">
        <f>SUM(Z80:Z84)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5">
        <f>SUM(AA80:AA84)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5">
        <f>SUM(AB80:AB84)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5">
        <f>SUM(AC80:AC84)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5">
        <f>SUM(AD80:AD84)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5">
        <f>SUM(AE80:AE84)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5">
        <f>SUM(AF80:AF84)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5">
        <f>SUM(AG80:AG84)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85"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85">
        <f>SUM(AI80:AI84)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5">
        <f>SUM(AJ80:AJ84)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5">
        <f>SUM(AK80:AK84)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8" sId="1" ref="A89:XFD89" action="deleteRow">
    <undo index="65535" exp="area" ref3D="1" dr="$H$1:$N$1048576" dn="Z_65B035E3_87FA_46C5_996E_864F2C8D0EBC_.wvu.Cols" sId="1"/>
    <rfmt sheetId="1" xfDxf="1" sqref="A89:XFD89" start="0" length="0"/>
    <rfmt sheetId="1" sqref="A8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89" t="inlineStr">
        <is>
          <t>TOTAL GIURGIU</t>
        </is>
      </nc>
      <n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8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8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8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89"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8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89">
        <f>SUM(S85:S87)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89">
        <f>SUM(T85:T87)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89">
        <f>SUM(U85:U88)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89">
        <f>SUM(V85:V87)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89">
        <f>SUM(W85:W88)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89">
        <f>SUM(X85:X87)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89">
        <f>SUM(Y85:Y87)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89">
        <f>SUM(Z85:Z88)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89">
        <f>SUM(AA85:AA88)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89">
        <f>SUM(AB85:AB87)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89">
        <f>SUM(AC85:AC87)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89">
        <f>SUM(AD85:AD87)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89">
        <f>SUM(AE85:AE87)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89">
        <f>SUM(AF85:AF87)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89">
        <f>SUM(AG85:AG87)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8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89">
        <f>SUM(AI85:AI87)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89">
        <f>SUM(AJ85:AJ87)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89">
        <f>SUM(AK85:AK87)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69" sId="1" ref="A96:XFD96" action="deleteRow">
    <undo index="65535" exp="area" ref3D="1" dr="$H$1:$N$1048576" dn="Z_65B035E3_87FA_46C5_996E_864F2C8D0EBC_.wvu.Cols" sId="1"/>
    <rfmt sheetId="1" xfDxf="1" sqref="A96:XFD96" start="0" length="0"/>
    <rfmt sheetId="1" sqref="A9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6" t="inlineStr">
        <is>
          <t>TOTAL GORJ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6">
        <f>SUM(S89:S93)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6">
        <f>SUM(T89:T95)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6">
        <f>SUM(U89:U94)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6">
        <f>SUM(V89:V93)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6">
        <f>SUM(W89:W95)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6">
        <f>SUM(X89:X94)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6">
        <f>SUM(Y89:Y93)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6">
        <f>SUM(Z89:Z95)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6">
        <f>SUM(AA89:AA94)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6">
        <f>SUM(AB89:AB93)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6">
        <f>SUM(AC89:AC93)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6">
        <f>SUM(AD89:AD93)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6">
        <f>SUM(AE89:AE93)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6">
        <f>SUM(AF89:AF94)</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6">
        <f>SUM(AG89:AG93)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6">
        <f>SUM(AI89:AI93)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6">
        <f>SUM(AJ89:AJ93)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6">
        <f>SUM(AK89:AK93)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0" sId="1" ref="A98:XFD98" action="deleteRow">
    <undo index="65535" exp="area" ref3D="1" dr="$H$1:$N$1048576" dn="Z_65B035E3_87FA_46C5_996E_864F2C8D0EBC_.wvu.Cols" sId="1"/>
    <rfmt sheetId="1" xfDxf="1" sqref="A98:XFD98" start="0" length="0"/>
    <rfmt sheetId="1" sqref="A9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98" t="inlineStr">
        <is>
          <t>TOTAL HARGHITA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9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98">
        <f>SUM(S96:S97)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98">
        <f>SUM(T96:T97)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98">
        <f>SUM(U96:U97)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98">
        <f>SUM(V96:V97)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98">
        <f>SUM(W96:W97)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98">
        <f>SUM(X96:X97)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98">
        <f>SUM(Y96:Y97)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98">
        <f>SUM(Z96:Z97)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98">
        <f>SUM(AA96:AA97)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98">
        <f>SUM(AB96:AB97)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98">
        <f>SUM(AC96:AC97)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98">
        <f>SUM(AD96:AD97)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98">
        <f>SUM(AE96:AE97)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98">
        <f>SUM(AF96:AF97)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98">
        <f>SUM(AG96:AG97)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9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98">
        <f>SUM(AI96:AI97)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98">
        <f>SUM(AJ96:AJ97)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98">
        <f>SUM(AK96:AK97)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1" sId="1" ref="A103:XFD103" action="deleteRow">
    <undo index="65535" exp="area" ref3D="1" dr="$H$1:$N$1048576" dn="Z_65B035E3_87FA_46C5_996E_864F2C8D0EBC_.wvu.Cols" sId="1"/>
    <rfmt sheetId="1" xfDxf="1" sqref="A103:XFD103" start="0" length="0"/>
    <rfmt sheetId="1" sqref="A10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3" t="inlineStr">
        <is>
          <t>TOTAL HUNEDOARA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3">
        <f>SUM(S98:S100)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3">
        <f>SUM(T98:T100)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3">
        <f>SUM(U98:U100)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3">
        <f>SUM(V98:V100)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3">
        <f>SUM(W98:W100)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3">
        <f>SUM(X98:X100)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3">
        <f>SUM(Y98:Y100)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3">
        <f>SUM(Z98:Z100)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3">
        <f>SUM(AA98:AA100)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3">
        <f>SUM(AB98:AB100)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3">
        <f>SUM(AC98:AC101)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3">
        <f>SUM(AD98:AD101)</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3">
        <f>SUM(AE98:AE100)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3">
        <f>SUM(AF98:AF100)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3">
        <f>SUM(AG98:AG100)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3">
        <f>SUM(AI98:AI100)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3">
        <f>SUM(AJ98:AJ100)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3">
        <f>SUM(AK98:AK100)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2" sId="1" ref="A107:XFD107" action="deleteRow">
    <undo index="65535" exp="area" ref3D="1" dr="$H$1:$N$1048576" dn="Z_65B035E3_87FA_46C5_996E_864F2C8D0EBC_.wvu.Cols" sId="1"/>
    <rfmt sheetId="1" xfDxf="1" sqref="A107:XFD107" start="0" length="0"/>
    <rfmt sheetId="1" sqref="A10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7" t="inlineStr">
        <is>
          <t>TOTAL IALOMIȚA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7">
        <f>SUM(S103:S105)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7">
        <f>SUM(T103:T105)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7">
        <f>SUM(U103:U105)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7">
        <f>SUM(V103:V105)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7">
        <f>SUM(W103:W105)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7">
        <f>SUM(X103:X105)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7">
        <f>SUM(Y103:Y105)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7">
        <f>SUM(Z103:Z105)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7">
        <f>SUM(AA103:AA105)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7">
        <f>SUM(AB103:AB105)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7">
        <f>SUM(AC103:AC105)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7">
        <f>SUM(AD103:AD105)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7">
        <f>SUM(AE103:AE105)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7">
        <f>SUM(AF103:AF105)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7">
        <f>SUM(AG103:AG105)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7">
        <f>SUM(AI103:AI105)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7">
        <f>SUM(AJ103:AJ105)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7">
        <f>SUM(AK103:AK105)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3" sId="1" ref="A107:XFD107" action="deleteRow">
    <undo index="65535" exp="area" ref3D="1" dr="$H$1:$N$1048576" dn="Z_65B035E3_87FA_46C5_996E_864F2C8D0EBC_.wvu.Cols" sId="1"/>
    <rfmt sheetId="1" xfDxf="1" sqref="A107:XFD107" start="0" length="0"/>
    <rfmt sheetId="1" sqref="A10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7" t="inlineStr">
        <is>
          <t>TOTAL IAȘI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7">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4" sId="1" ref="A109:XFD109" action="deleteRow">
    <undo index="65535" exp="area" ref3D="1" dr="$H$1:$N$1048576" dn="Z_65B035E3_87FA_46C5_996E_864F2C8D0EBC_.wvu.Cols" sId="1"/>
    <rfmt sheetId="1" xfDxf="1" sqref="A109:XFD109" start="0" length="0"/>
    <rfmt sheetId="1" sqref="A10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09" t="inlineStr">
        <is>
          <t>TOTAL ILFOV</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0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0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09">
        <f>SUM(S107:S108)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09">
        <f>SUM(T107:T108)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09">
        <f>SUM(U107:U108)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09">
        <f>SUM(V107:V108)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09">
        <f>SUM(W107:W108)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09">
        <f>SUM(X107:X108)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09">
        <f>SUM(Y107:Y108)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09">
        <f>SUM(Z107:Z108)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09">
        <f>SUM(AA107:AA108)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09">
        <f>SUM(AB107:AB108)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09">
        <f>SUM(AC107:AC108)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09">
        <f>SUM(AD107:AD108)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09">
        <f>SUM(AE107:AE108)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09">
        <f>SUM(AF107:AF108)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09">
        <f>SUM(AG107:AG108)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0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09">
        <f>SUM(AI107:AI108)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09">
        <f>SUM(AJ107:AJ108)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09">
        <f>SUM(AK107:AK108)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5" sId="1" ref="A111:XFD111" action="deleteRow">
    <undo index="65535" exp="area" ref3D="1" dr="$H$1:$N$1048576" dn="Z_65B035E3_87FA_46C5_996E_864F2C8D0EBC_.wvu.Cols" sId="1"/>
    <rfmt sheetId="1" xfDxf="1" sqref="A111:XFD111" start="0" length="0"/>
    <rfmt sheetId="1" sqref="A11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1" t="inlineStr">
        <is>
          <t>TOTAL MARAMUREȘ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1"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1">
        <f>SUM(S109:S110)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1">
        <f>SUM(T109:T110)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1">
        <f>SUM(U109:U110)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1">
        <f>SUM(V109:V110)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1">
        <f>SUM(W109:W110)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1">
        <f>SUM(X109:X110)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1">
        <f>SUM(Y109:Y110)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1">
        <f>SUM(Z109:Z110)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1">
        <f>SUM(AA109:AA110)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1">
        <f>SUM(AB109:AB110)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1">
        <f>SUM(AC109:AC110)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1">
        <f>SUM(AD109:AD110)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1">
        <f>SUM(AE109:AE110)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1">
        <f>SUM(AF109:AF110)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1">
        <f>SUM(AG109:AG110)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1">
        <f>SUM(AI109:AI110)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1">
        <f>SUM(AJ109:AJ110)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1">
        <f>SUM(AK109:AK110)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6" sId="1" ref="A114:XFD114" action="deleteRow">
    <undo index="65535" exp="area" ref3D="1" dr="$H$1:$N$1048576" dn="Z_65B035E3_87FA_46C5_996E_864F2C8D0EBC_.wvu.Cols" sId="1"/>
    <rfmt sheetId="1" xfDxf="1" sqref="A114:XFD114" start="0" length="0"/>
    <rfmt sheetId="1" sqref="A11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4" t="inlineStr">
        <is>
          <t>TOTAL MEHEDINȚI</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J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L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4">
        <f>SUM(S111:S113)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4">
        <f>SUM(T111:T113)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4">
        <f>SUM(U111:U113)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4">
        <f>SUM(V111:V113)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4">
        <f>SUM(W111:W113)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4">
        <f>SUM(X111:X113)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4">
        <f>SUM(Y111:Y113)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4">
        <f>SUM(Z111:Z113)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4">
        <f>SUM(AA111:AA113)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4">
        <f>SUM(AB111:AB113)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4">
        <f>SUM(AC111:AC113)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4">
        <f>SUM(AD111:AD113)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4">
        <f>SUM(AE111:AE113)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4">
        <f>SUM(AF111:AF113)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4">
        <f>SUM(AG111:AG113)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4">
        <f>SUM(AI111:AI113)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4">
        <f>SUM(AJ111:AJ113)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4">
        <f>SUM(AK111:AK113)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7" sId="1" ref="A118:XFD118" action="deleteRow">
    <undo index="65535" exp="area" ref3D="1" dr="$H$1:$N$1048576" dn="Z_65B035E3_87FA_46C5_996E_864F2C8D0EBC_.wvu.Cols" sId="1"/>
    <rfmt sheetId="1" xfDxf="1" sqref="A118:XFD118" start="0" length="0"/>
    <rfmt sheetId="1" sqref="A11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18" t="inlineStr">
        <is>
          <t>TOTAL MUREȘ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1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18">
        <f>SUM(S114:S116)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18">
        <f>SUM(T114:T116)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18">
        <f>SUM(U114:U116)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18">
        <f>SUM(V114:V116)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18">
        <f>SUM(W114:W116)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18">
        <f>SUM(X114:X116)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18">
        <f>SUM(Y114:Y116)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18">
        <f>SUM(Z114:Z116)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18">
        <f>SUM(AA114:AA116)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18">
        <f>SUM(AB114:AB116)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18">
        <f>SUM(AC114:AC116)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18">
        <f>SUM(AD114:AD116)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18">
        <f>SUM(AE114:AE116)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18">
        <f>SUM(AF114:AF116)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18">
        <f>SUM(AG114:AG116)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1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18">
        <f>SUM(AI114:AI116)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18">
        <f>SUM(AJ114:AJ116)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18">
        <f>SUM(AK114:AK116)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8" sId="1" ref="A121:XFD121" action="deleteRow">
    <undo index="65535" exp="area" ref3D="1" dr="$H$1:$N$1048576" dn="Z_65B035E3_87FA_46C5_996E_864F2C8D0EBC_.wvu.Cols" sId="1"/>
    <rfmt sheetId="1" xfDxf="1" sqref="A121:XFD121" start="0" length="0"/>
    <rfmt sheetId="1" sqref="A12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1" t="inlineStr">
        <is>
          <t>TOTAL NEAMȚ</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1">
        <f>SUM(S118:S120)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1">
        <f>SUM(T118:T120)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1">
        <f>SUM(U118:U120)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1">
        <f>SUM(V118:V120)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1">
        <f>SUM(W118:W120)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1">
        <f>SUM(X118:X120)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1">
        <f>SUM(Y118:Y120)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1">
        <f>SUM(Z118:Z120)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1">
        <f>SUM(AA118:AA120)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1">
        <f>SUM(AB118:AB120)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1">
        <f>SUM(AC118:AC120)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1">
        <f>SUM(AD118:AD120)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1">
        <f>SUM(AE118:AE120)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1">
        <f>SUM(AF118:AF120)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1">
        <f>SUM(AG118:AG120)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21">
        <f>SUM(AH118:AH120)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21">
        <f>SUM(AI118:AI120)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1">
        <f>SUM(AJ118:AJ120)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1">
        <f>SUM(AK118:AK120)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79" sId="1" ref="A124:XFD124" action="deleteRow">
    <undo index="65535" exp="area" ref3D="1" dr="$H$1:$N$1048576" dn="Z_65B035E3_87FA_46C5_996E_864F2C8D0EBC_.wvu.Cols" sId="1"/>
    <rfmt sheetId="1" xfDxf="1" sqref="A124:XFD124" start="0" length="0"/>
    <rfmt sheetId="1" sqref="A12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4" t="inlineStr">
        <is>
          <t>TOTAL OLT</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4">
        <f>SUM(S121:S123)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4">
        <f>SUM(T121:T123)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4">
        <f>SUM(U121:U123)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4">
        <f>SUM(V121:V123)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4">
        <f>SUM(W121:W123)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4">
        <f>SUM(X121:X123)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4">
        <f>SUM(Y121:Y123)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4">
        <f>SUM(Z121:Z123)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4">
        <f>SUM(AA121:AA123)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4">
        <f>SUM(AB121:AB123)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4">
        <f>SUM(AC121:AC123)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24">
        <f>SUM(AD121:AD123)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24">
        <f>SUM(AE121:AE123)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4">
        <f>SUM(AF121:AF123)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4">
        <f>SUM(AG121:AG123)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4">
        <f>SUM(AI121:AI123)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4">
        <f>SUM(AJ121:AJ123)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4">
        <f>SUM(AK121:AK123)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0" sId="1" ref="A128:XFD128" action="deleteRow">
    <undo index="65535" exp="area" ref3D="1" dr="$H$1:$N$1048576" dn="Z_65B035E3_87FA_46C5_996E_864F2C8D0EBC_.wvu.Cols" sId="1"/>
    <rfmt sheetId="1" xfDxf="1" sqref="A128:XFD128" start="0" length="0"/>
    <rfmt sheetId="1" sqref="A12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28" t="inlineStr">
        <is>
          <t>TOTAL PRAHOVA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28"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2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28">
        <f>SUM(S124:S127)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28">
        <f>SUM(T124:T127)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28">
        <f>SUM(U124:U127)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28">
        <f>SUM(V124:V127)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28">
        <f>SUM(W124:W127)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28">
        <f>SUM(X124:X127)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28">
        <f>SUM(Y124:Y127)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28">
        <f>SUM(Z124:Z127)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28">
        <f>SUM(AA124:AA127)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28">
        <f>SUM(AB124:AB127)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28">
        <f>SUM(AC124:AC127)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128">
        <f>SUM(AD124:AD127)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128">
        <f>SUM(AE124:AE127)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28">
        <f>SUM(AF124:AF127)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28">
        <f>SUM(AG124:AG127)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2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28">
        <f>SUM(AI124:AI127)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28">
        <f>SUM(AJ124:AJ127)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28">
        <f>SUM(AK124:AK127)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1" sId="1" ref="A131:XFD131" action="deleteRow">
    <undo index="65535" exp="area" ref3D="1" dr="$H$1:$N$1048576" dn="Z_65B035E3_87FA_46C5_996E_864F2C8D0EBC_.wvu.Cols" sId="1"/>
    <rfmt sheetId="1" xfDxf="1" sqref="A131:XFD131" start="0" length="0"/>
    <rfmt sheetId="1" sqref="A131"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1" t="inlineStr">
        <is>
          <t>TOTAL SĂLAJ</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1"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1">
        <f>SUM(S128:S130)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1">
        <f>SUM(T128:T130)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1">
        <f>SUM(U128:U130)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1">
        <f>SUM(V128:V130)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1">
        <f>SUM(W128:W130)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1">
        <f>SUM(X128:X130)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1">
        <f>SUM(Y128:Y130)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1">
        <f>SUM(Z128:Z130)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1">
        <f>SUM(AA128:AA130)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1">
        <f>SUM(AB128:AB130)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1">
        <f>SUM(AC128:AC130)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1">
        <f>SUM(AD128:AD130)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1">
        <f>SUM(AE128:AE130)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1">
        <f>SUM(AF128:AF130)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1">
        <f>SUM(AG128:AG130)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1"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1">
        <f>SUM(AI128:AI130)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1">
        <f>SUM(AJ128:AJ130)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1">
        <f>SUM(AK128:AK130)</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2" sId="1" ref="A133:XFD133" action="deleteRow">
    <undo index="65535" exp="area" ref3D="1" dr="$H$1:$N$1048576" dn="Z_65B035E3_87FA_46C5_996E_864F2C8D0EBC_.wvu.Cols" sId="1"/>
    <rfmt sheetId="1" xfDxf="1" sqref="A133:XFD133" start="0" length="0"/>
    <rfmt sheetId="1" sqref="A133"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3" t="inlineStr">
        <is>
          <t>TOTAL SATU MARE</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3"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3">
        <f>SUM(S131:S132)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3">
        <f>SUM(T131:T132)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3">
        <f>SUM(U131:U132)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3">
        <f>SUM(V131:V132)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3">
        <f>SUM(W131:W132)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3">
        <f>SUM(X131:X132)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3">
        <f>SUM(Y131:Y132)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3">
        <f>SUM(Z131:Z132)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3">
        <f>SUM(AA131:AA132)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3">
        <f>SUM(AB131:AB132)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3">
        <f>SUM(AC131:AC132)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3">
        <f>SUM(AD131:AD132)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3">
        <f>SUM(AE131:AE132)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3">
        <f>SUM(AF131:AF132)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3">
        <f>SUM(AG131:AG132)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3"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3">
        <f>SUM(AI131:AI132)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3">
        <f>SUM(AJ131:AJ132)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3">
        <f>SUM(AK131:AK132)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3" sId="1" ref="A137:XFD137" action="deleteRow">
    <undo index="65535" exp="area" ref3D="1" dr="$H$1:$N$1048576" dn="Z_65B035E3_87FA_46C5_996E_864F2C8D0EBC_.wvu.Cols" sId="1"/>
    <rfmt sheetId="1" xfDxf="1" sqref="A137:XFD137" start="0" length="0"/>
    <rfmt sheetId="1" sqref="A13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7" t="inlineStr">
        <is>
          <t>TOTAL SIBIU</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7">
        <f>SUM(S133:S136)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7">
        <f>SUM(T133:T136)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7">
        <f>SUM(U133:U136)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7">
        <f>SUM(V133:V136)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7">
        <f>SUM(W133:W136)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7">
        <f>SUM(X133:X136)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7">
        <f>SUM(Y133:Y136)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7">
        <f>SUM(Z133:Z136)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7">
        <f>SUM(AA133:AA136)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7">
        <f>SUM(AB133:AB136)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7">
        <f>SUM(AC133:AC136)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7">
        <f>SUM(AD133:AD136)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7">
        <f>SUM(AE133:AE136)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7">
        <f>SUM(AF133:AF136)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7">
        <f>SUM(AG133:AG136)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7">
        <f>SUM(AI133:AI136)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7">
        <f>SUM(AJ133:AJ136)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7">
        <f>SUM(AK133:AK136)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4" sId="1" ref="A138:XFD138" action="deleteRow">
    <undo index="65535" exp="area" ref3D="1" dr="$H$1:$N$1048576" dn="Z_65B035E3_87FA_46C5_996E_864F2C8D0EBC_.wvu.Cols" sId="1"/>
    <rfmt sheetId="1" xfDxf="1" sqref="A138:XFD138" start="0" length="0"/>
    <rfmt sheetId="1" sqref="A138"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38" t="inlineStr">
        <is>
          <t>TOTAL SUCEAVA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38"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38">
        <f>SUM(S137:S137)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38">
        <f>SUM(T137:T137)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38">
        <f>SUM(U137:U137)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38">
        <f>SUM(V137:V137)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38">
        <f>SUM(W137:W137)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38">
        <f>SUM(X137:X137)</f>
      </nc>
      <ndxf>
        <font>
          <sz val="12"/>
          <color theme="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38">
        <f>SUM(Y137:Y137)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38">
        <f>SUM(Z137:Z137)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38">
        <f>SUM(AA137:AA137)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38">
        <f>SUM(AB137:AB137)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38">
        <f>SUM(AC137:AC137)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38">
        <f>SUM(AD137:AD137)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38">
        <f>SUM(AE137:AE137)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38">
        <f>SUM(AF137:AF137)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38">
        <f>SUM(AG137:AG137)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38"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38">
        <f>SUM(AI137:AI137)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38">
        <f>SUM(AJ137:AJ137)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38">
        <f>SUM(AK137:AK137)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5" sId="1" ref="A140:XFD140" action="deleteRow">
    <undo index="65535" exp="area" ref3D="1" dr="$H$1:$N$1048576" dn="Z_65B035E3_87FA_46C5_996E_864F2C8D0EBC_.wvu.Cols" sId="1"/>
    <rfmt sheetId="1" xfDxf="1" sqref="A140:XFD140" start="0" length="0"/>
    <rfmt sheetId="1" sqref="A14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0" t="inlineStr">
        <is>
          <t>TOTAL TELEORMAN</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0">
        <f>SUM(S138:S139)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40">
        <f>SUM(T138:T139)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40">
        <f>SUM(U138:U139)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40">
        <f>SUM(V138:V139)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40">
        <f>SUM(W138:W139)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40">
        <f>SUM(X138:X139)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40">
        <f>SUM(Y138:Y139)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40">
        <f>SUM(Z138:Z139)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40">
        <f>SUM(AA138:AA139)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40">
        <f>SUM(AB138:AB139)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40">
        <f>SUM(AC138:AC139)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40">
        <f>SUM(AD138:AD139)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40">
        <f>SUM(AE138:AE139)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40">
        <f>SUM(AF138:AF139)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40">
        <f>SUM(AG138:AG139)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4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40">
        <f>SUM(AI138:AI139)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40">
        <f>SUM(AJ138:AJ139)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40">
        <f>SUM(AK138:AK139)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6" sId="1" ref="A144:XFD144" action="deleteRow">
    <undo index="65535" exp="area" ref3D="1" dr="$H$1:$N$1048576" dn="Z_65B035E3_87FA_46C5_996E_864F2C8D0EBC_.wvu.Cols" sId="1"/>
    <rfmt sheetId="1" xfDxf="1" sqref="A144:XFD144" start="0" length="0"/>
    <rfmt sheetId="1" sqref="A14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4" t="inlineStr">
        <is>
          <t>TOTAL TIMIȘ</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4">
        <f>SUM(S140:S142)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44">
        <f>SUM(T140:T142)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44">
        <f>SUM(U140:U143)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44">
        <f>SUM(V140:V142)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44">
        <f>SUM(W140:W142)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44">
        <f>SUM(X140:X143)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44">
        <f>SUM(Y140:Y142)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44">
        <f>SUM(Z140:Z142)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44">
        <f>SUM(AA140:AA143)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44">
        <f>SUM(AB140:AB142)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44">
        <f>SUM(AC140:AC142)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44">
        <f>SUM(AD140:AD142)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44">
        <f>SUM(AE140:AE142)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44">
        <f>SUM(AF140:AF142)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44">
        <f>SUM(AG140:AG142)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44"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44">
        <f>SUM(AI140:AI142)</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44">
        <f>SUM(AJ140:AJ143)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44">
        <f>SUM(AK140:AK143)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7" sId="1" ref="A146:XFD146" action="deleteRow">
    <undo index="65535" exp="area" dr="AK144:AK146" r="AK147" sId="1"/>
    <undo index="65535" exp="area" dr="AJ144:AJ146" r="AJ147" sId="1"/>
    <undo index="65535" exp="area" dr="AI144:AI146" r="AI147" sId="1"/>
    <undo index="65535" exp="area" dr="AG144:AG146" r="AG147" sId="1"/>
    <undo index="65535" exp="area" dr="AF144:AF146" r="AF147" sId="1"/>
    <undo index="65535" exp="area" dr="AE144:AE146" r="AE147" sId="1"/>
    <undo index="65535" exp="area" dr="AD144:AD146" r="AD147" sId="1"/>
    <undo index="65535" exp="area" dr="AC144:AC146" r="AC147" sId="1"/>
    <undo index="65535" exp="area" dr="AB144:AB146" r="AB147" sId="1"/>
    <undo index="65535" exp="area" dr="AA144:AA146" r="AA147" sId="1"/>
    <undo index="65535" exp="area" dr="Z144:Z146" r="Z147" sId="1"/>
    <undo index="65535" exp="area" dr="Y144:Y146" r="Y147" sId="1"/>
    <undo index="65535" exp="area" dr="X144:X146" r="X147" sId="1"/>
    <undo index="65535" exp="area" dr="W144:W146" r="W147" sId="1"/>
    <undo index="65535" exp="area" dr="V144:V146" r="V147" sId="1"/>
    <undo index="65535" exp="area" dr="U144:U146" r="U147" sId="1"/>
    <undo index="65535" exp="area" dr="T144:T146" r="T147" sId="1"/>
    <undo index="65535" exp="area" dr="S144:S146" r="S147" sId="1"/>
    <undo index="65535" exp="area" ref3D="1" dr="$H$1:$N$1048576" dn="Z_65B035E3_87FA_46C5_996E_864F2C8D0EBC_.wvu.Cols" sId="1"/>
    <rfmt sheetId="1" xfDxf="1" sqref="A146:XFD146" start="0" length="0"/>
    <rfmt sheetId="1" sqref="A1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6"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6" t="inlineStr">
        <is>
          <t>PUBLICE LOCALE</t>
        </is>
      </nc>
      <n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ndxf>
    </rcc>
    <rfmt sheetId="1" sqref="H1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46">
        <f>S146/AE146*100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s="1" dxf="1">
      <nc r="S146">
        <f>T146+U146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T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V146">
        <f>W146+X146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W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Y146">
        <f>Z146+AA146</f>
      </nc>
      <n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Z14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4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46">
        <f>AC146+AD146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46">
        <f>S146+V146+Y146+AB146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46">
        <f>AE146+AF146</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88" sId="1" ref="A146:XFD146" action="deleteRow">
    <undo index="65535" exp="area" ref3D="1" dr="$H$1:$N$1048576" dn="Z_65B035E3_87FA_46C5_996E_864F2C8D0EBC_.wvu.Cols" sId="1"/>
    <rfmt sheetId="1" xfDxf="1" sqref="A146:XFD146" start="0" length="0"/>
    <rfmt sheetId="1" sqref="A14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46" t="inlineStr">
        <is>
          <t>TOTAL TULCEA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46">
        <f>SUM(S144:S145)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46">
        <f>SUM(T144:T145)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46">
        <f>SUM(U144:U145)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46">
        <f>SUM(V144:V145)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46">
        <f>SUM(W144:W145)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46">
        <f>SUM(X144:X145)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46">
        <f>SUM(Y144:Y145)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46">
        <f>SUM(Z144:Z145)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46">
        <f>SUM(AA144:AA145)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46">
        <f>SUM(AB144:AB145)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46">
        <f>SUM(AC144:AC145)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46">
        <f>SUM(AD144:AD145)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46">
        <f>SUM(AE144:AE145)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46">
        <f>SUM(AF144:AF145)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46">
        <f>SUM(AG144:AG145)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4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46">
        <f>SUM(AI144:AI145)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46">
        <f>SUM(AJ144:AJ145)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46">
        <f>SUM(AK144:AK145)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89" sId="1" ref="A146:XFD146" action="deleteRow">
    <undo index="65535" exp="area" ref3D="1" dr="$H$1:$N$1048576" dn="Z_65B035E3_87FA_46C5_996E_864F2C8D0EBC_.wvu.Cols" sId="1"/>
    <rfmt sheetId="1" xfDxf="1" sqref="A146:XFD146" start="0" length="0"/>
    <rfmt sheetId="1" sqref="A146"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46"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4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46"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46" t="inlineStr">
        <is>
          <t>VÂLCEA</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4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1" sqref="S1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T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46"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4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46"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1" sqref="AB14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C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46"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AE14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F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1" sqref="AG146"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H146"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46"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90" sId="1" ref="A150:XFD150" action="deleteRow">
    <undo index="65535" exp="area" ref3D="1" dr="$H$1:$N$1048576" dn="Z_65B035E3_87FA_46C5_996E_864F2C8D0EBC_.wvu.Cols" sId="1"/>
    <rfmt sheetId="1" xfDxf="1" sqref="A150:XFD150" start="0" length="0"/>
    <rfmt sheetId="1" sqref="A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0" t="inlineStr">
        <is>
          <t>TOTAL VÂLCEA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0">
        <f>SUM(S146:S149)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0">
        <f>SUM(T146:T149)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0">
        <f>SUM(U146:U149)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0">
        <f>SUM(V146:V149)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0">
        <f>SUM(W146:W149)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0">
        <f>SUM(X146:X149)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0">
        <f>SUM(Y146:Y149)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0">
        <f>SUM(Z146:Z149)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0">
        <f>SUM(AA146:AA149)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0">
        <f>SUM(AB146:AB149)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0">
        <f>SUM(AC146:AC149)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0">
        <f>SUM(AD146:AD149)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0">
        <f>SUM(AE146:AE149)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0">
        <f>SUM(AF146:AF149)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0">
        <f>SUM(AG146:AG149)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5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50">
        <f>SUM(AI146:AI149)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0">
        <f>SUM(AJ146:AJ149)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0">
        <f>SUM(AK146:AK149)</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91" sId="1" ref="A150:XFD150" action="deleteRow">
    <undo index="65535" exp="area" ref3D="1" dr="$H$1:$N$1048576" dn="Z_65B035E3_87FA_46C5_996E_864F2C8D0EBC_.wvu.Cols" sId="1"/>
    <rfmt sheetId="1" xfDxf="1" sqref="A150:XFD150" start="0" length="0"/>
    <rfmt sheetId="1" sqref="A150"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0" start="0" length="0">
      <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G1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0"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50"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O150" t="inlineStr">
        <is>
          <t>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P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0"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S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T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U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1" sqref="V150"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W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X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Y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Z15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A150"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s="1" dxf="1">
      <nc r="AB150">
        <f>AC150+AD150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fmt sheetId="1" sqref="AD150" start="0" length="0">
      <dxf>
        <font>
          <b/>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s="1" dxf="1">
      <nc r="AE150">
        <f>S150+V150+Y150+AB150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cc rId="0" sId="1" s="1" dxf="1">
      <nc r="AG150">
        <f>AE150+AF150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50"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J1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bottom style="thin">
            <color indexed="64"/>
          </bottom>
        </border>
      </dxf>
    </rfmt>
    <rfmt sheetId="1" sqref="AK150" start="0" length="0">
      <dxf>
        <font>
          <b/>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rc>
  <rrc rId="392" sId="1" ref="A157:XFD157" action="deleteRow">
    <undo index="65535" exp="area" dr="AK150:AK157" r="AK158" sId="1"/>
    <undo index="65535" exp="area" dr="AJ150:AJ157" r="AJ158" sId="1"/>
    <undo index="65535" exp="area" dr="AI150:AI157" r="AI158" sId="1"/>
    <undo index="65535" exp="area" dr="AG150:AG157" r="AG158" sId="1"/>
    <undo index="65535" exp="area" dr="AF150:AF157" r="AF158" sId="1"/>
    <undo index="65535" exp="area" dr="AE150:AE157" r="AE158" sId="1"/>
    <undo index="65535" exp="area" dr="AD150:AD157" r="AD158" sId="1"/>
    <undo index="65535" exp="area" dr="AC150:AC157" r="AC158" sId="1"/>
    <undo index="65535" exp="area" dr="AB150:AB157" r="AB158" sId="1"/>
    <undo index="65535" exp="area" dr="AA150:AA157" r="AA158" sId="1"/>
    <undo index="65535" exp="area" dr="Z150:Z157" r="Z158" sId="1"/>
    <undo index="65535" exp="area" dr="Y150:Y157" r="Y158" sId="1"/>
    <undo index="65535" exp="area" dr="X150:X157" r="X158" sId="1"/>
    <undo index="65535" exp="area" dr="W150:W157" r="W158" sId="1"/>
    <undo index="65535" exp="area" dr="V150:V157" r="V158" sId="1"/>
    <undo index="65535" exp="area" dr="U150:U157" r="U158" sId="1"/>
    <undo index="65535" exp="area" dr="T150:T157" r="T158" sId="1"/>
    <undo index="65535" exp="area" dr="S150:S157" r="S158" sId="1"/>
    <undo index="65535" exp="area" ref3D="1" dr="$H$1:$N$1048576" dn="Z_65B035E3_87FA_46C5_996E_864F2C8D0EBC_.wvu.Cols" sId="1"/>
    <rfmt sheetId="1" xfDxf="1" sqref="A157:XFD157" start="0" length="0"/>
    <rfmt sheetId="1" sqref="A157"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7" start="0" length="0">
      <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dxf>
    </rfmt>
    <rfmt sheetId="1" sqref="C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F157" start="0" length="0">
      <dxf>
        <font>
          <sz val="12"/>
          <color theme="1"/>
          <name val="Calibri"/>
          <family val="2"/>
          <charset val="238"/>
          <scheme val="minor"/>
        </font>
        <alignment vertical="center" wrapText="1"/>
        <border outline="0">
          <left style="thin">
            <color indexed="64"/>
          </left>
          <right style="thin">
            <color indexed="64"/>
          </right>
          <top style="thin">
            <color indexed="64"/>
          </top>
          <bottom style="thin">
            <color indexed="64"/>
          </bottom>
        </border>
      </dxf>
    </rfmt>
    <rfmt sheetId="1" sqref="G15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H157"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7" start="0" length="0">
      <dxf>
        <font>
          <sz val="12"/>
          <color auto="1"/>
          <name val="Calibri"/>
          <family val="2"/>
          <charset val="238"/>
          <scheme val="minor"/>
        </font>
        <alignment horizontal="justify" vertical="top" wrapText="1"/>
        <border outline="0">
          <left style="thin">
            <color indexed="64"/>
          </left>
          <right style="thin">
            <color indexed="64"/>
          </right>
          <top style="thin">
            <color indexed="64"/>
          </top>
          <bottom style="thin">
            <color indexed="64"/>
          </bottom>
        </border>
      </dxf>
    </rfmt>
    <rfmt sheetId="1" sqref="K15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157" start="0" length="0">
      <dxf>
        <font>
          <sz val="12"/>
          <color auto="1"/>
          <name val="Calibri"/>
          <family val="2"/>
          <charset val="238"/>
          <scheme val="minor"/>
        </font>
        <numFmt numFmtId="19" formatCode="dd/mm/yyyy"/>
        <alignment horizontal="center" vertical="center" wrapText="1"/>
        <border outline="0">
          <left style="thin">
            <color indexed="64"/>
          </left>
          <right style="thin">
            <color indexed="64"/>
          </right>
          <top style="thin">
            <color indexed="64"/>
          </top>
          <bottom style="thin">
            <color indexed="64"/>
          </bottom>
        </border>
      </dxf>
    </rfmt>
    <rcc rId="0" sId="1" dxf="1">
      <nc r="M157">
        <f>S157/AE157*100</f>
      </nc>
      <ndxf>
        <font>
          <sz val="12"/>
          <color auto="1"/>
          <name val="Calibri"/>
          <family val="2"/>
          <charset val="238"/>
          <scheme val="minor"/>
        </font>
        <numFmt numFmtId="165" formatCode="0.000000000"/>
        <alignment horizontal="center" vertical="center" wrapText="1"/>
        <border outline="0">
          <left style="thin">
            <color indexed="64"/>
          </left>
          <right style="thin">
            <color indexed="64"/>
          </right>
          <top style="thin">
            <color indexed="64"/>
          </top>
          <bottom style="thin">
            <color indexed="64"/>
          </bottom>
        </border>
      </ndxf>
    </rcc>
    <rfmt sheetId="1" sqref="N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7" start="0" length="0">
      <dxf>
        <font>
          <sz val="12"/>
          <color theme="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7"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7">
        <f>T157+U157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T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U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V157">
        <f>W157+X157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W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X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Y157">
        <f>Z157+AA157</f>
      </nc>
      <ndxf>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Z157" start="0" length="0">
      <dxf>
        <numFmt numFmtId="166" formatCode="#,##0.00_ ;\-#,##0.00\ "/>
        <border outline="0">
          <left style="thin">
            <color indexed="64"/>
          </left>
          <right style="thin">
            <color indexed="64"/>
          </right>
          <top style="thin">
            <color indexed="64"/>
          </top>
          <bottom style="thin">
            <color indexed="64"/>
          </bottom>
        </border>
      </dxf>
    </rfmt>
    <rfmt sheetId="1" sqref="AA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B157">
        <f>AC157+AD157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C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fmt sheetId="1" sqref="AD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E157">
        <f>S157+V157+Y157+AB157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F157"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s="1" dxf="1">
      <nc r="AG157">
        <f>AE157+AF157</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157" start="0" length="0">
      <dxf>
        <font>
          <sz val="12"/>
          <color auto="1"/>
          <name val="Calibri"/>
          <family val="2"/>
          <charset val="238"/>
          <scheme val="minor"/>
        </font>
        <numFmt numFmtId="3" formatCode="#,##0"/>
        <alignment horizontal="right" vertical="center" wrapText="1"/>
        <border outline="0">
          <left style="thin">
            <color indexed="64"/>
          </left>
          <right style="thin">
            <color indexed="64"/>
          </right>
          <top style="thin">
            <color indexed="64"/>
          </top>
          <bottom style="thin">
            <color indexed="64"/>
          </bottom>
        </border>
      </dxf>
    </rfmt>
    <rfmt sheetId="1" sqref="AI157" start="0" length="0">
      <dxf>
        <font>
          <sz val="12"/>
          <color theme="1"/>
          <name val="Trebuchet MS"/>
          <family val="2"/>
          <charset val="238"/>
          <scheme val="none"/>
        </font>
        <numFmt numFmtId="19" formatCode="dd/mm/yyyy"/>
        <alignment horizontal="right" vertical="center" wrapText="1"/>
        <border outline="0">
          <left style="thin">
            <color indexed="64"/>
          </left>
          <right style="thin">
            <color indexed="64"/>
          </right>
          <top style="thin">
            <color indexed="64"/>
          </top>
          <bottom style="thin">
            <color indexed="64"/>
          </bottom>
        </border>
      </dxf>
    </rfmt>
    <rfmt sheetId="1" sqref="AJ15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fmt sheetId="1" sqref="AK157" start="0" length="0">
      <dxf>
        <font>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rc>
  <rrc rId="393" sId="1" ref="A157:XFD157" action="deleteRow">
    <undo index="65535" exp="area" ref3D="1" dr="$H$1:$N$1048576" dn="Z_65B035E3_87FA_46C5_996E_864F2C8D0EBC_.wvu.Cols" sId="1"/>
    <rfmt sheetId="1" xfDxf="1" sqref="A157:XFD157" start="0" length="0"/>
    <rfmt sheetId="1" sqref="A157"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7" t="inlineStr">
        <is>
          <t>TOTAL VASLUI</t>
        </is>
      </nc>
      <n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ndxf>
    </rcc>
    <rfmt sheetId="1" sqref="H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I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7"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7">
        <f>SUM(S150:S156)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7">
        <f>SUM(T150:T156)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7">
        <f>SUM(U150:U156)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7">
        <f>SUM(V150:V156)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7">
        <f>SUM(W150:W156)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7">
        <f>SUM(X150:X156)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7">
        <f>SUM(Y150:Y156)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7">
        <f>SUM(Z150:Z156)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7">
        <f>SUM(AA150:AA156)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7">
        <f>SUM(AB150:AB156)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7">
        <f>SUM(AC150:AC156)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7">
        <f>SUM(AD150:AD156)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7">
        <f>SUM(AE150:AE156)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7">
        <f>SUM(AF150:AF156)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7">
        <f>SUM(AG150:AG156)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57"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57">
        <f>SUM(AI150:AI156)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7">
        <f>SUM(AJ150:AJ156)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7">
        <f>SUM(AK150:AK156)</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94" sId="1" ref="A159:XFD159" action="deleteRow">
    <undo index="65535" exp="area" ref3D="1" dr="$H$1:$N$1048576" dn="Z_65B035E3_87FA_46C5_996E_864F2C8D0EBC_.wvu.Cols" sId="1"/>
    <rfmt sheetId="1" xfDxf="1" sqref="A159:XFD159" start="0" length="0"/>
    <rfmt sheetId="1" sqref="A159"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59" t="inlineStr">
        <is>
          <t>TOTAL VRANCEA</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59"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59"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59">
        <f>SUM(S157:S158)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59">
        <f>SUM(T157:T158)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59">
        <f>SUM(U157:U158)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59">
        <f>SUM(V157:V158)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59">
        <f>SUM(W157:W158)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59">
        <f>SUM(X157:X158)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59">
        <f>SUM(Y157:Y158)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59">
        <f>SUM(Z157:Z158)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59">
        <f>SUM(AA157:AA158)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59">
        <f>SUM(AB157:AB158)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59">
        <f>SUM(AC157:AC158)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59">
        <f>SUM(AD157:AD158)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59">
        <f>SUM(AE157:AE158)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59">
        <f>SUM(AF157:AF158)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59">
        <f>SUM(AG157:AG158)</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fmt sheetId="1" sqref="AH159" start="0" length="0">
      <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dxf>
    </rfmt>
    <rcc rId="0" sId="1" dxf="1">
      <nc r="AI159">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59">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59">
        <f>SUM(#REF!)</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95" sId="1" ref="A166:XFD166" action="deleteRow">
    <undo index="65535" exp="area" ref3D="1" dr="$H$1:$N$1048576" dn="Z_65B035E3_87FA_46C5_996E_864F2C8D0EBC_.wvu.Cols" sId="1"/>
    <rfmt sheetId="1" xfDxf="1" sqref="A166:XFD166" start="0" length="0"/>
    <rfmt sheetId="1" sqref="A166"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166" t="inlineStr">
        <is>
          <t>TOTAL CP 8 less</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166"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166"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166">
        <f>SUM(S159:S165)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166">
        <f>SUM(T159:T165)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166">
        <f>SUM(U159:U165)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166">
        <f>SUM(V159:V165)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166">
        <f>SUM(W159:W165)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166">
        <f>SUM(X159:X165)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166">
        <f>SUM(Y159:Y165)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166">
        <f>SUM(Z159:Z165)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166">
        <f>SUM(AA159:AA165)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166">
        <f>SUM(AB159:AB165)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166">
        <f>SUM(AC159:AC165)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166">
        <f>SUM(AD159:AD165)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166">
        <f>SUM(AE159:AE165)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166">
        <f>SUM(AF159:AF165)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166">
        <f>SUM(AG159:AG165)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166">
        <f>SUM(AH159:AH165)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166">
        <f>SUM(AI159:AI165)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166">
        <f>SUM(AJ159:AJ165)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166">
        <f>SUM(AK159:AK165)</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fmt sheetId="1" sqref="G284:H284">
    <dxf>
      <alignment horizontal="center"/>
    </dxf>
  </rfmt>
  <rfmt sheetId="1" sqref="G284:H284">
    <dxf>
      <alignment vertical="center"/>
    </dxf>
  </rfmt>
  <rfmt sheetId="1" sqref="G283">
    <dxf>
      <alignment vertical="center"/>
    </dxf>
  </rfmt>
  <rfmt sheetId="1" sqref="G319:H319" start="0" length="0">
    <dxf>
      <border>
        <bottom style="thin">
          <color indexed="64"/>
        </bottom>
      </border>
    </dxf>
  </rfmt>
  <rfmt sheetId="1" sqref="G319:H31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1" sqref="G319:H319">
    <dxf>
      <alignment vertical="center"/>
    </dxf>
  </rfmt>
  <rrc rId="396" sId="1" ref="A354:XFD354" action="deleteRow">
    <undo index="65535" exp="area" ref3D="1" dr="$A$1:$AK$354" dn="Z_D1B5461B_B040_4BC9_AF67_A8F429825375_.wvu.FilterData" sId="1"/>
    <undo index="65535" exp="area" ref3D="1" dr="$A$7:$AK$354" dn="Z_2A657C48_B241_4C19_9A74_98ECFC665F2A_.wvu.FilterData" sId="1"/>
    <undo index="65535" exp="area" ref3D="1" dr="$A$1:$AK$354" dn="Z_0781B6C2_B440_4971_9809_BD16245A70FD_.wvu.FilterData" sId="1"/>
    <undo index="65535" exp="area" ref3D="1" dr="$A$6:$AK$354" dn="Z_280C391A_EEDA_43A4_BCD2_EE017A1C1AE2_.wvu.FilterData" sId="1"/>
    <undo index="65535" exp="area" ref3D="1" dr="$A$1:$AK$354" dn="_FilterDatabase" sId="1"/>
    <undo index="65535" exp="area" ref3D="1" dr="$A$3:$AK$354" dn="Z_250231BB_5F02_4B46_B1CA_B904A9B40BA2_.wvu.FilterData" sId="1"/>
    <undo index="65535" exp="area" ref3D="1" dr="$A$7:$AK$354" dn="Z_340EDCDE_FAE5_4319_AEAD_F8264DCA5D27_.wvu.FilterData" sId="1"/>
    <undo index="65535" exp="area" ref3D="1" dr="$A$1:$AK$354" dn="Z_36624B2D_80F9_4F79_AC4A_B3547C36F23F_.wvu.FilterData" sId="1"/>
    <undo index="65535" exp="area" ref3D="1" dr="$A$1:$AK$354" dn="Z_471339A8_E0FA_4CA1_8194_04936068CF02_.wvu.FilterData" sId="1"/>
    <undo index="65535" exp="area" ref3D="1" dr="$A$1:$AK$354" dn="Z_5AAA4DFE_88B1_4674_95ED_5FCD7A50BC22_.wvu.FilterData" sId="1"/>
    <undo index="65535" exp="area" ref3D="1" dr="$A$7:$AK$354" dn="Z_E53ADB69_E454_408C_8AAF_7FDA9FEDF6D0_.wvu.FilterData" sId="1"/>
    <undo index="65535" exp="area" ref3D="1" dr="$A$1:$AK$354" dn="Z_DB51BB9F_5710_40B0_80E7_39B059BFD11D_.wvu.FilterData" sId="1"/>
    <undo index="65535" exp="area" ref3D="1" dr="$A$7:$AK$354" dn="Z_E875C76B_3648_4C9A_A6B2_C3654837AAAC_.wvu.FilterData" sId="1"/>
    <undo index="65535" exp="area" ref3D="1" dr="$A$1:$AK$354" dn="Z_FE50EAC0_52A5_4C33_B973_65E93D03D3EA_.wvu.FilterData" sId="1"/>
    <undo index="65535" exp="area" ref3D="1" dr="$A$6:$AK$354" dn="Z_EEA37434_2D22_478B_B49F_C3E8CD4AC2E1_.wvu.FilterData" sId="1"/>
    <undo index="65535" exp="area" ref3D="1" dr="$A$6:$AK$354" dn="Z_89EE8E7D_C811_4C16_975A_830983580DAD_.wvu.FilterData" sId="1"/>
    <undo index="65535" exp="area" ref3D="1" dr="$A$1:$AK$354" dn="Z_C408A2F1_296F_4EAD_B15B_336D73846FDD_.wvu.FilterData" sId="1"/>
    <undo index="65535" exp="area" ref3D="1" dr="$A$6:$AK$354" dn="Z_A5B1481C_EF26_486A_984F_85CDDC2FD94F_.wvu.FilterData" sId="1"/>
    <undo index="65535" exp="area" ref3D="1" dr="$A$6:$AK$354" dn="Z_D56F5ED6_74F2_4AA3_9A98_EE5750FE63AF_.wvu.FilterData" sId="1"/>
    <undo index="65535" exp="area" ref3D="1" dr="$A$7:$AK$354" dn="Z_B5BED753_4D8C_498E_8AE1_A08F7C0956F7_.wvu.FilterData" sId="1"/>
    <undo index="65535" exp="area" ref3D="1" dr="$A$7:$AK$354" dn="Z_D1981FDB_7063_4FCF_8DD5_A549E616E6FF_.wvu.FilterData" sId="1"/>
    <undo index="65535" exp="area" ref3D="1" dr="$A$6:$AK$354" dn="Z_DB41C7D7_14F0_4834_A7BD_0F1115A89C8E_.wvu.FilterData" sId="1"/>
    <undo index="65535" exp="area" ref3D="1" dr="$A$7:$AK$354" dn="Z_DAD27C7B_8B8A_46CB_98B5_59B1D1EFC319_.wvu.FilterData" sId="1"/>
    <undo index="65535" exp="area" ref3D="1" dr="$A$6:$AK$354" dn="Z_9552AAE6_9279_4387_9199_64D0E8A50A87_.wvu.FilterData" sId="1"/>
    <undo index="65535" exp="area" ref3D="1" dr="$A$1:$AK$354" dn="Z_9980B309_0131_4577_BF29_212714399FDF_.wvu.FilterData" sId="1"/>
    <undo index="65535" exp="area" ref3D="1" dr="$A$6:$AK$354" dn="Z_7C1B4D6D_D666_48DD_AB17_E00791B6F0B6_.wvu.FilterData" sId="1"/>
    <undo index="65535" exp="area" ref3D="1" dr="$A$6:$AK$354" dn="Z_B31B819C_CFEB_4B80_9AED_AC603C39BE78_.wvu.FilterData" sId="1"/>
    <undo index="65535" exp="area" ref3D="1" dr="$H$1:$N$1048576" dn="Z_65B035E3_87FA_46C5_996E_864F2C8D0EBC_.wvu.Cols" sId="1"/>
    <undo index="65535" exp="area" ref3D="1" dr="$A$6:$AK$354" dn="Z_65B035E3_87FA_46C5_996E_864F2C8D0EBC_.wvu.FilterData" sId="1"/>
    <undo index="65535" exp="area" ref3D="1" dr="$A$1:$AK$354" dn="Z_65C35D6D_934F_4431_BA92_90255FC17BA4_.wvu.FilterData" sId="1"/>
    <rfmt sheetId="1" xfDxf="1" sqref="A354:XFD354" start="0" length="0"/>
    <rfmt sheetId="1" sqref="A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C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D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E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F354" start="0" length="0">
      <dxf>
        <font>
          <b/>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cc rId="0" sId="1" dxf="1">
      <nc r="G354" t="inlineStr">
        <is>
          <t>TOTAL - ACOPERIRE NAȚIONALĂ</t>
        </is>
      </nc>
      <ndxf>
        <font>
          <b/>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354" start="0" length="0">
      <dxf>
        <font>
          <b/>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b/>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354">
        <f>SUM(S166:S353)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T354">
        <f>SUM(T166:T353)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U354">
        <f>SUM(U166:U353)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V354">
        <f>SUM(V166:V353)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W354">
        <f>SUM(W166:W353)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X354">
        <f>SUM(X166:X353)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Y354">
        <f>SUM(Y166:Y353)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Z354">
        <f>SUM(Z166:Z353)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A354">
        <f>SUM(AA166:AA353)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B354">
        <f>SUM(AB166:AB353)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C354">
        <f>SUM(AC166:AC353)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D354">
        <f>SUM(AD166:AD353)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E354">
        <f>SUM(AE166:AE353)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F354">
        <f>SUM(AF166:AF353)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G354">
        <f>SUM(AG166:AG353)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H354">
        <f>SUM(AH166:AH333)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I354">
        <f>SUM(AI166:AI333)</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J354">
        <f>SUM(AJ166:AJ337)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cc rId="0" sId="1" dxf="1">
      <nc r="AK354">
        <f>SUM(AK166:AK337)</f>
      </nc>
      <ndxf>
        <font>
          <b/>
          <sz val="12"/>
          <color auto="1"/>
          <name val="Calibri"/>
          <family val="2"/>
          <charset val="238"/>
          <scheme val="minor"/>
        </font>
        <numFmt numFmtId="4" formatCode="#,##0.00"/>
        <alignment horizontal="right" vertical="center" wrapText="1"/>
        <border outline="0">
          <left style="thin">
            <color indexed="64"/>
          </left>
          <right style="thin">
            <color indexed="64"/>
          </right>
          <top style="thin">
            <color indexed="64"/>
          </top>
          <bottom style="thin">
            <color indexed="64"/>
          </bottom>
        </border>
      </ndxf>
    </rcc>
  </rrc>
  <rrc rId="397" sId="1" ref="A354:XFD354" action="deleteRow">
    <undo index="65535" exp="area" dr="$F$7:$F$354" r="AK380" sId="1"/>
    <undo index="0" exp="area" dr="AK$7:AK$354" r="AK380" sId="1"/>
    <undo index="65535" exp="area" dr="$F$7:$F$354" r="AJ380" sId="1"/>
    <undo index="0" exp="area" dr="AJ$7:AJ$354" r="AJ380" sId="1"/>
    <undo index="65535" exp="area" dr="$F$7:$F$354" r="AG380" sId="1"/>
    <undo index="0" exp="area" dr="AG$7:AG$354" r="AG380" sId="1"/>
    <undo index="65535" exp="area" dr="$F$7:$F$354" r="AF380" sId="1"/>
    <undo index="0" exp="area" dr="AF$7:AF$354" r="AF380" sId="1"/>
    <undo index="65535" exp="area" dr="$F$7:$F$354" r="AE380" sId="1"/>
    <undo index="0" exp="area" dr="AE$7:AE$354" r="AE380" sId="1"/>
    <undo index="65535" exp="area" dr="$F$7:$F$354" r="AD380" sId="1"/>
    <undo index="0" exp="area" dr="AD$7:AD$354" r="AD380" sId="1"/>
    <undo index="65535" exp="area" dr="$F$7:$F$354" r="AC380" sId="1"/>
    <undo index="0" exp="area" dr="AC$7:AC$354" r="AC380" sId="1"/>
    <undo index="65535" exp="area" dr="$F$7:$F$354" r="AB380" sId="1"/>
    <undo index="0" exp="area" dr="AB$7:AB$354" r="AB380" sId="1"/>
    <undo index="65535" exp="area" dr="$F$166:$F$354" r="AA380" sId="1"/>
    <undo index="0" exp="area" dr="AA$166:AA$354" r="AA380" sId="1"/>
    <undo index="65535" exp="area" dr="$F$166:$F$354" r="Z380" sId="1"/>
    <undo index="0" exp="area" dr="Z$166:Z$354" r="Z380" sId="1"/>
    <undo index="65535" exp="area" dr="$F$166:$F$354" r="Y380" sId="1"/>
    <undo index="0" exp="area" dr="Y$166:Y$354" r="Y380" sId="1"/>
    <undo index="65535" exp="area" dr="$F$7:$F$354" r="X380" sId="1"/>
    <undo index="0" exp="area" dr="X$7:X$354" r="X380" sId="1"/>
    <undo index="65535" exp="area" dr="$F$7:$F$354" r="W380" sId="1"/>
    <undo index="0" exp="area" dr="W$7:W$354" r="W380" sId="1"/>
    <undo index="65535" exp="area" dr="$F$7:$F$354" r="V380" sId="1"/>
    <undo index="0" exp="area" dr="V$7:V$354" r="V380" sId="1"/>
    <undo index="65535" exp="area" dr="$F$7:$F$354" r="U380" sId="1"/>
    <undo index="0" exp="area" dr="U$7:U$354" r="U380" sId="1"/>
    <undo index="65535" exp="area" dr="$F$7:$F$354" r="T380" sId="1"/>
    <undo index="0" exp="area" dr="T$7:T$354" r="T380" sId="1"/>
    <undo index="65535" exp="area" dr="$F$7:$F$354" r="S380" sId="1"/>
    <undo index="0" exp="area" dr="S$7:S$354" r="S380" sId="1"/>
    <undo index="65535" exp="area" dr="$F$7:$F$354" r="AK378" sId="1"/>
    <undo index="0" exp="area" dr="AK$7:AK$354" r="AK378" sId="1"/>
    <undo index="65535" exp="area" dr="$F$7:$F$354" r="AJ378" sId="1"/>
    <undo index="0" exp="area" dr="AJ$7:AJ$354" r="AJ378" sId="1"/>
    <undo index="65535" exp="area" dr="$F$7:$F$354" r="AG378" sId="1"/>
    <undo index="0" exp="area" dr="AG$7:AG$354" r="AG378" sId="1"/>
    <undo index="65535" exp="area" dr="$F$7:$F$354" r="AF378" sId="1"/>
    <undo index="0" exp="area" dr="AF$7:AF$354" r="AF378" sId="1"/>
    <undo index="65535" exp="area" dr="$F$7:$F$354" r="AE378" sId="1"/>
    <undo index="0" exp="area" dr="AE$7:AE$354" r="AE378" sId="1"/>
    <undo index="65535" exp="area" dr="$F$7:$F$354" r="AD378" sId="1"/>
    <undo index="0" exp="area" dr="AD$7:AD$354" r="AD378" sId="1"/>
    <undo index="65535" exp="area" dr="$F$7:$F$354" r="AC378" sId="1"/>
    <undo index="0" exp="area" dr="AC$7:AC$354" r="AC378" sId="1"/>
    <undo index="65535" exp="area" dr="$F$7:$F$354" r="AB378" sId="1"/>
    <undo index="0" exp="area" dr="AB$7:AB$354" r="AB378" sId="1"/>
    <undo index="65535" exp="area" dr="$F$7:$F$354" r="AA378" sId="1"/>
    <undo index="0" exp="area" dr="AA$7:AA$354" r="AA378" sId="1"/>
    <undo index="65535" exp="area" dr="$F$7:$F$354" r="Z378" sId="1"/>
    <undo index="0" exp="area" dr="Z$7:Z$354" r="Z378" sId="1"/>
    <undo index="65535" exp="area" dr="$F$7:$F$354" r="Y378" sId="1"/>
    <undo index="0" exp="area" dr="Y$7:Y$354" r="Y378" sId="1"/>
    <undo index="65535" exp="area" dr="$F$7:$F$354" r="X378" sId="1"/>
    <undo index="0" exp="area" dr="X$7:X$354" r="X378" sId="1"/>
    <undo index="65535" exp="area" dr="$F$7:$F$354" r="W378" sId="1"/>
    <undo index="0" exp="area" dr="W$7:W$354" r="W378" sId="1"/>
    <undo index="65535" exp="area" dr="$F$7:$F$354" r="V378" sId="1"/>
    <undo index="0" exp="area" dr="V$7:V$354" r="V378" sId="1"/>
    <undo index="65535" exp="area" dr="$F$7:$F$354" r="U378" sId="1"/>
    <undo index="0" exp="area" dr="U$7:U$354" r="U378" sId="1"/>
    <undo index="65535" exp="area" dr="$F$7:$F$354" r="T378" sId="1"/>
    <undo index="0" exp="area" dr="T$7:T$354" r="T378" sId="1"/>
    <undo index="65535" exp="area" dr="$F$7:$F$354" r="S378" sId="1"/>
    <undo index="0" exp="area" dr="S$7:S$354" r="S378" sId="1"/>
    <undo index="0" exp="area" dr="F$7:F$354" r="D378" sId="1"/>
    <undo index="65535" exp="area" dr="$F$7:$F$354" r="AK377" sId="1"/>
    <undo index="0" exp="area" dr="AK$7:AK$354" r="AK377" sId="1"/>
    <undo index="65535" exp="area" dr="$F$7:$F$354" r="AJ377" sId="1"/>
    <undo index="0" exp="area" dr="AJ$7:AJ$354" r="AJ377" sId="1"/>
    <undo index="65535" exp="area" dr="$F$7:$F$354" r="AG377" sId="1"/>
    <undo index="0" exp="area" dr="AG$7:AG$354" r="AG377" sId="1"/>
    <undo index="65535" exp="area" dr="$F$7:$F$354" r="AF377" sId="1"/>
    <undo index="0" exp="area" dr="AF$7:AF$354" r="AF377" sId="1"/>
    <undo index="65535" exp="area" dr="$F$7:$F$354" r="AE377" sId="1"/>
    <undo index="0" exp="area" dr="AE$7:AE$354" r="AE377" sId="1"/>
    <undo index="65535" exp="area" dr="$F$7:$F$354" r="AD377" sId="1"/>
    <undo index="0" exp="area" dr="AD$7:AD$354" r="AD377" sId="1"/>
    <undo index="65535" exp="area" dr="$F$7:$F$354" r="AC377" sId="1"/>
    <undo index="0" exp="area" dr="AC$7:AC$354" r="AC377" sId="1"/>
    <undo index="65535" exp="area" dr="$F$7:$F$354" r="AB377" sId="1"/>
    <undo index="0" exp="area" dr="AB$7:AB$354" r="AB377" sId="1"/>
    <undo index="65535" exp="area" dr="$F$7:$F$354" r="AA377" sId="1"/>
    <undo index="0" exp="area" dr="AA$7:AA$354" r="AA377" sId="1"/>
    <undo index="65535" exp="area" dr="$F$7:$F$354" r="Z377" sId="1"/>
    <undo index="0" exp="area" dr="Z$7:Z$354" r="Z377" sId="1"/>
    <undo index="65535" exp="area" dr="$F$7:$F$354" r="Y377" sId="1"/>
    <undo index="0" exp="area" dr="Y$7:Y$354" r="Y377" sId="1"/>
    <undo index="65535" exp="area" dr="$F$7:$F$354" r="X377" sId="1"/>
    <undo index="0" exp="area" dr="X$7:X$354" r="X377" sId="1"/>
    <undo index="65535" exp="area" dr="$F$7:$F$354" r="W377" sId="1"/>
    <undo index="0" exp="area" dr="W$7:W$354" r="W377" sId="1"/>
    <undo index="65535" exp="area" dr="$F$7:$F$354" r="V377" sId="1"/>
    <undo index="0" exp="area" dr="V$7:V$354" r="V377" sId="1"/>
    <undo index="65535" exp="area" dr="$F$7:$F$354" r="U377" sId="1"/>
    <undo index="0" exp="area" dr="U$7:U$354" r="U377" sId="1"/>
    <undo index="65535" exp="area" dr="$F$7:$F$354" r="T377" sId="1"/>
    <undo index="0" exp="area" dr="T$7:T$354" r="T377" sId="1"/>
    <undo index="65535" exp="area" dr="$F$7:$F$354" r="S377" sId="1"/>
    <undo index="0" exp="area" dr="S$7:S$354" r="S377" sId="1"/>
    <undo index="0" exp="area" dr="F$7:F$354" r="D377" sId="1"/>
    <undo index="65535" exp="area" dr="$F$7:$F$354" r="AK376" sId="1"/>
    <undo index="0" exp="area" dr="AK$7:AK$354" r="AK376" sId="1"/>
    <undo index="65535" exp="area" dr="$F$7:$F$354" r="AJ376" sId="1"/>
    <undo index="0" exp="area" dr="AJ$7:AJ$354" r="AJ376" sId="1"/>
    <undo index="65535" exp="area" dr="$F$7:$F$354" r="AG376" sId="1"/>
    <undo index="0" exp="area" dr="AG$7:AG$354" r="AG376" sId="1"/>
    <undo index="65535" exp="area" dr="$F$7:$F$354" r="AF376" sId="1"/>
    <undo index="0" exp="area" dr="AF$7:AF$354" r="AF376" sId="1"/>
    <undo index="65535" exp="area" dr="$F$7:$F$354" r="AE376" sId="1"/>
    <undo index="0" exp="area" dr="AE$7:AE$354" r="AE376" sId="1"/>
    <undo index="65535" exp="area" dr="$F$7:$F$354" r="AD376" sId="1"/>
    <undo index="0" exp="area" dr="AD$7:AD$354" r="AD376" sId="1"/>
    <undo index="65535" exp="area" dr="$F$7:$F$354" r="AC376" sId="1"/>
    <undo index="0" exp="area" dr="AC$7:AC$354" r="AC376" sId="1"/>
    <undo index="65535" exp="area" dr="$F$7:$F$354" r="AB376" sId="1"/>
    <undo index="0" exp="area" dr="AB$7:AB$354" r="AB376" sId="1"/>
    <undo index="65535" exp="area" dr="$F$7:$F$354" r="AA376" sId="1"/>
    <undo index="0" exp="area" dr="AA$7:AA$354" r="AA376" sId="1"/>
    <undo index="65535" exp="area" dr="$F$7:$F$354" r="Z376" sId="1"/>
    <undo index="0" exp="area" dr="Z$7:Z$354" r="Z376" sId="1"/>
    <undo index="65535" exp="area" dr="$F$7:$F$354" r="Y376" sId="1"/>
    <undo index="0" exp="area" dr="Y$7:Y$354" r="Y376" sId="1"/>
    <undo index="65535" exp="area" dr="$F$7:$F$354" r="X376" sId="1"/>
    <undo index="0" exp="area" dr="X$7:X$354" r="X376" sId="1"/>
    <undo index="65535" exp="area" dr="$F$7:$F$354" r="W376" sId="1"/>
    <undo index="0" exp="area" dr="W$7:W$354" r="W376" sId="1"/>
    <undo index="65535" exp="area" dr="$F$7:$F$354" r="V376" sId="1"/>
    <undo index="0" exp="area" dr="V$7:V$354" r="V376" sId="1"/>
    <undo index="65535" exp="area" dr="$F$7:$F$354" r="U376" sId="1"/>
    <undo index="0" exp="area" dr="U$7:U$354" r="U376" sId="1"/>
    <undo index="65535" exp="area" dr="$F$7:$F$354" r="T376" sId="1"/>
    <undo index="0" exp="area" dr="T$7:T$354" r="T376" sId="1"/>
    <undo index="65535" exp="area" dr="$F$7:$F$354" r="S376" sId="1"/>
    <undo index="0" exp="area" dr="S$7:S$354" r="S376" sId="1"/>
    <undo index="0" exp="area" dr="F$7:F$354" r="D376" sId="1"/>
    <undo index="65535" exp="area" dr="$F$7:$F$354" r="AK375" sId="1"/>
    <undo index="0" exp="area" dr="AK$7:AK$354" r="AK375" sId="1"/>
    <undo index="65535" exp="area" dr="$F$7:$F$354" r="AJ375" sId="1"/>
    <undo index="0" exp="area" dr="AJ$7:AJ$354" r="AJ375" sId="1"/>
    <undo index="65535" exp="area" dr="$F$7:$F$354" r="AG375" sId="1"/>
    <undo index="0" exp="area" dr="AG$7:AG$354" r="AG375" sId="1"/>
    <undo index="65535" exp="area" dr="$F$7:$F$354" r="AF375" sId="1"/>
    <undo index="0" exp="area" dr="AF$7:AF$354" r="AF375" sId="1"/>
    <undo index="65535" exp="area" dr="$F$7:$F$354" r="AE375" sId="1"/>
    <undo index="0" exp="area" dr="AE$7:AE$354" r="AE375" sId="1"/>
    <undo index="65535" exp="area" dr="$F$7:$F$354" r="AD375" sId="1"/>
    <undo index="0" exp="area" dr="AD$7:AD$354" r="AD375" sId="1"/>
    <undo index="65535" exp="area" dr="$F$7:$F$354" r="AC375" sId="1"/>
    <undo index="0" exp="area" dr="AC$7:AC$354" r="AC375" sId="1"/>
    <undo index="65535" exp="area" dr="$F$7:$F$354" r="AB375" sId="1"/>
    <undo index="0" exp="area" dr="AB$7:AB$354" r="AB375" sId="1"/>
    <undo index="65535" exp="area" dr="$F$7:$F$354" r="AA375" sId="1"/>
    <undo index="0" exp="area" dr="AA$7:AA$354" r="AA375" sId="1"/>
    <undo index="65535" exp="area" dr="$F$7:$F$354" r="Z375" sId="1"/>
    <undo index="0" exp="area" dr="Z$7:Z$354" r="Z375" sId="1"/>
    <undo index="65535" exp="area" dr="$F$7:$F$354" r="Y375" sId="1"/>
    <undo index="0" exp="area" dr="Y$7:Y$354" r="Y375" sId="1"/>
    <undo index="65535" exp="area" dr="$F$7:$F$354" r="X375" sId="1"/>
    <undo index="0" exp="area" dr="X$7:X$354" r="X375" sId="1"/>
    <undo index="65535" exp="area" dr="$F$7:$F$354" r="W375" sId="1"/>
    <undo index="0" exp="area" dr="W$7:W$354" r="W375" sId="1"/>
    <undo index="65535" exp="area" dr="$F$7:$F$354" r="V375" sId="1"/>
    <undo index="0" exp="area" dr="V$7:V$354" r="V375" sId="1"/>
    <undo index="65535" exp="area" dr="$F$7:$F$354" r="U375" sId="1"/>
    <undo index="0" exp="area" dr="U$7:U$354" r="U375" sId="1"/>
    <undo index="65535" exp="area" dr="$F$7:$F$354" r="T375" sId="1"/>
    <undo index="0" exp="area" dr="T$7:T$354" r="T375" sId="1"/>
    <undo index="65535" exp="area" dr="$F$7:$F$354" r="S375" sId="1"/>
    <undo index="0" exp="area" dr="S$7:S$354" r="S375" sId="1"/>
    <undo index="0" exp="area" dr="F$7:F$354" r="D375" sId="1"/>
    <undo index="65535" exp="area" dr="$F$7:$F$354" r="AK374" sId="1"/>
    <undo index="0" exp="area" dr="AK$7:AK$354" r="AK374" sId="1"/>
    <undo index="65535" exp="area" dr="$F$7:$F$354" r="AJ374" sId="1"/>
    <undo index="0" exp="area" dr="AJ$7:AJ$354" r="AJ374" sId="1"/>
    <undo index="65535" exp="area" dr="$F$7:$F$354" r="AG374" sId="1"/>
    <undo index="0" exp="area" dr="AG$7:AG$354" r="AG374" sId="1"/>
    <undo index="65535" exp="area" dr="$F$7:$F$354" r="AF374" sId="1"/>
    <undo index="0" exp="area" dr="AF$7:AF$354" r="AF374" sId="1"/>
    <undo index="65535" exp="area" dr="$F$7:$F$354" r="AE374" sId="1"/>
    <undo index="0" exp="area" dr="AE$7:AE$354" r="AE374" sId="1"/>
    <undo index="65535" exp="area" dr="$F$7:$F$354" r="AD374" sId="1"/>
    <undo index="0" exp="area" dr="AD$7:AD$354" r="AD374" sId="1"/>
    <undo index="65535" exp="area" dr="$F$7:$F$354" r="AC374" sId="1"/>
    <undo index="0" exp="area" dr="AC$7:AC$354" r="AC374" sId="1"/>
    <undo index="65535" exp="area" dr="$F$7:$F$354" r="AB374" sId="1"/>
    <undo index="0" exp="area" dr="AB$7:AB$354" r="AB374" sId="1"/>
    <undo index="65535" exp="area" dr="$F$7:$F$354" r="AA374" sId="1"/>
    <undo index="0" exp="area" dr="AA$7:AA$354" r="AA374" sId="1"/>
    <undo index="65535" exp="area" dr="$F$7:$F$354" r="Z374" sId="1"/>
    <undo index="0" exp="area" dr="Z$7:Z$354" r="Z374" sId="1"/>
    <undo index="65535" exp="area" dr="$F$7:$F$354" r="Y374" sId="1"/>
    <undo index="0" exp="area" dr="Y$7:Y$354" r="Y374" sId="1"/>
    <undo index="65535" exp="area" dr="$F$7:$F$354" r="X374" sId="1"/>
    <undo index="0" exp="area" dr="X$7:X$354" r="X374" sId="1"/>
    <undo index="65535" exp="area" dr="$F$7:$F$354" r="W374" sId="1"/>
    <undo index="0" exp="area" dr="W$7:W$354" r="W374" sId="1"/>
    <undo index="65535" exp="area" dr="$F$7:$F$354" r="V374" sId="1"/>
    <undo index="0" exp="area" dr="V$7:V$354" r="V374" sId="1"/>
    <undo index="65535" exp="area" dr="$F$7:$F$354" r="U374" sId="1"/>
    <undo index="0" exp="area" dr="U$7:U$354" r="U374" sId="1"/>
    <undo index="65535" exp="area" dr="$F$7:$F$354" r="T374" sId="1"/>
    <undo index="0" exp="area" dr="T$7:T$354" r="T374" sId="1"/>
    <undo index="65535" exp="area" dr="$F$7:$F$354" r="S374" sId="1"/>
    <undo index="0" exp="area" dr="S$7:S$354" r="S374" sId="1"/>
    <undo index="0" exp="area" dr="F$7:F$354" r="D374" sId="1"/>
    <undo index="65535" exp="area" dr="$F$7:$F$354" r="AK373" sId="1"/>
    <undo index="0" exp="area" dr="AK$7:AK$354" r="AK373" sId="1"/>
    <undo index="65535" exp="area" dr="$F$7:$F$354" r="AJ373" sId="1"/>
    <undo index="0" exp="area" dr="AJ$7:AJ$354" r="AJ373" sId="1"/>
    <undo index="65535" exp="area" dr="$F$7:$F$354" r="AG373" sId="1"/>
    <undo index="0" exp="area" dr="AG$7:AG$354" r="AG373" sId="1"/>
    <undo index="65535" exp="area" dr="$F$7:$F$354" r="AF373" sId="1"/>
    <undo index="0" exp="area" dr="AF$7:AF$354" r="AF373" sId="1"/>
    <undo index="65535" exp="area" dr="$F$7:$F$354" r="AE373" sId="1"/>
    <undo index="0" exp="area" dr="AE$7:AE$354" r="AE373" sId="1"/>
    <undo index="65535" exp="area" dr="$F$7:$F$354" r="AD373" sId="1"/>
    <undo index="0" exp="area" dr="AD$7:AD$354" r="AD373" sId="1"/>
    <undo index="65535" exp="area" dr="$F$7:$F$354" r="AC373" sId="1"/>
    <undo index="0" exp="area" dr="AC$7:AC$354" r="AC373" sId="1"/>
    <undo index="65535" exp="area" dr="$F$7:$F$354" r="AB373" sId="1"/>
    <undo index="0" exp="area" dr="AB$7:AB$354" r="AB373" sId="1"/>
    <undo index="65535" exp="area" dr="$F$7:$F$354" r="AA373" sId="1"/>
    <undo index="0" exp="area" dr="AA$7:AA$354" r="AA373" sId="1"/>
    <undo index="65535" exp="area" dr="$F$7:$F$354" r="Z373" sId="1"/>
    <undo index="0" exp="area" dr="Z$7:Z$354" r="Z373" sId="1"/>
    <undo index="65535" exp="area" dr="$F$7:$F$354" r="Y373" sId="1"/>
    <undo index="0" exp="area" dr="Y$7:Y$354" r="Y373" sId="1"/>
    <undo index="65535" exp="area" dr="$F$7:$F$354" r="X373" sId="1"/>
    <undo index="0" exp="area" dr="X$7:X$354" r="X373" sId="1"/>
    <undo index="65535" exp="area" dr="$F$7:$F$354" r="W373" sId="1"/>
    <undo index="0" exp="area" dr="W$7:W$354" r="W373" sId="1"/>
    <undo index="65535" exp="area" dr="$F$7:$F$354" r="V373" sId="1"/>
    <undo index="0" exp="area" dr="V$7:V$354" r="V373" sId="1"/>
    <undo index="65535" exp="area" dr="$F$7:$F$354" r="U373" sId="1"/>
    <undo index="0" exp="area" dr="U$7:U$354" r="U373" sId="1"/>
    <undo index="65535" exp="area" dr="$F$7:$F$354" r="T373" sId="1"/>
    <undo index="0" exp="area" dr="T$7:T$354" r="T373" sId="1"/>
    <undo index="65535" exp="area" dr="$F$7:$F$354" r="S373" sId="1"/>
    <undo index="0" exp="area" dr="S$7:S$354" r="S373" sId="1"/>
    <undo index="0" exp="area" dr="F$7:F$354" r="D373" sId="1"/>
    <undo index="65535" exp="area" dr="$F$7:$F$354" r="AK372" sId="1"/>
    <undo index="0" exp="area" dr="AK$7:AK$354" r="AK372" sId="1"/>
    <undo index="65535" exp="area" dr="$F$7:$F$354" r="AJ372" sId="1"/>
    <undo index="0" exp="area" dr="AJ$7:AJ$354" r="AJ372" sId="1"/>
    <undo index="65535" exp="area" dr="$F$7:$F$354" r="AG372" sId="1"/>
    <undo index="0" exp="area" dr="AG$7:AG$354" r="AG372" sId="1"/>
    <undo index="65535" exp="area" dr="$F$7:$F$354" r="AF372" sId="1"/>
    <undo index="0" exp="area" dr="AF$7:AF$354" r="AF372" sId="1"/>
    <undo index="65535" exp="area" dr="$F$7:$F$354" r="AE372" sId="1"/>
    <undo index="0" exp="area" dr="AE$7:AE$354" r="AE372" sId="1"/>
    <undo index="65535" exp="area" dr="$F$7:$F$354" r="AD372" sId="1"/>
    <undo index="0" exp="area" dr="AD$7:AD$354" r="AD372" sId="1"/>
    <undo index="65535" exp="area" dr="$F$7:$F$354" r="AC372" sId="1"/>
    <undo index="0" exp="area" dr="AC$7:AC$354" r="AC372" sId="1"/>
    <undo index="65535" exp="area" dr="$F$7:$F$354" r="AB372" sId="1"/>
    <undo index="0" exp="area" dr="AB$7:AB$354" r="AB372" sId="1"/>
    <undo index="65535" exp="area" dr="$F$7:$F$354" r="AA372" sId="1"/>
    <undo index="0" exp="area" dr="AA$7:AA$354" r="AA372" sId="1"/>
    <undo index="65535" exp="area" dr="$F$7:$F$354" r="Z372" sId="1"/>
    <undo index="0" exp="area" dr="Z$7:Z$354" r="Z372" sId="1"/>
    <undo index="65535" exp="area" dr="$F$7:$F$354" r="Y372" sId="1"/>
    <undo index="0" exp="area" dr="Y$7:Y$354" r="Y372" sId="1"/>
    <undo index="65535" exp="area" dr="$F$7:$F$354" r="X372" sId="1"/>
    <undo index="0" exp="area" dr="X$7:X$354" r="X372" sId="1"/>
    <undo index="65535" exp="area" dr="$F$7:$F$354" r="W372" sId="1"/>
    <undo index="0" exp="area" dr="W$7:W$354" r="W372" sId="1"/>
    <undo index="65535" exp="area" dr="$F$7:$F$354" r="V372" sId="1"/>
    <undo index="0" exp="area" dr="V$7:V$354" r="V372" sId="1"/>
    <undo index="65535" exp="area" dr="$F$7:$F$354" r="U372" sId="1"/>
    <undo index="0" exp="area" dr="U$7:U$354" r="U372" sId="1"/>
    <undo index="65535" exp="area" dr="$F$7:$F$354" r="T372" sId="1"/>
    <undo index="0" exp="area" dr="T$7:T$354" r="T372" sId="1"/>
    <undo index="65535" exp="area" dr="$F$7:$F$354" r="S372" sId="1"/>
    <undo index="0" exp="area" dr="S$7:S$354" r="S372" sId="1"/>
    <undo index="0" exp="area" dr="F$7:F$354" r="D372" sId="1"/>
    <undo index="65535" exp="area" dr="$F$7:$F$354" r="AK371" sId="1"/>
    <undo index="0" exp="area" dr="AK$7:AK$354" r="AK371" sId="1"/>
    <undo index="65535" exp="area" dr="$F$7:$F$354" r="AJ371" sId="1"/>
    <undo index="0" exp="area" dr="AJ$7:AJ$354" r="AJ371" sId="1"/>
    <undo index="65535" exp="area" dr="$F$7:$F$354" r="AG371" sId="1"/>
    <undo index="0" exp="area" dr="AG$7:AG$354" r="AG371" sId="1"/>
    <undo index="65535" exp="area" dr="$F$7:$F$354" r="AF371" sId="1"/>
    <undo index="0" exp="area" dr="AF$7:AF$354" r="AF371" sId="1"/>
    <undo index="65535" exp="area" dr="$F$7:$F$354" r="AE371" sId="1"/>
    <undo index="0" exp="area" dr="AE$7:AE$354" r="AE371" sId="1"/>
    <undo index="65535" exp="area" dr="$F$7:$F$354" r="AD371" sId="1"/>
    <undo index="0" exp="area" dr="AD$7:AD$354" r="AD371" sId="1"/>
    <undo index="65535" exp="area" dr="$F$7:$F$354" r="AC371" sId="1"/>
    <undo index="0" exp="area" dr="AC$7:AC$354" r="AC371" sId="1"/>
    <undo index="65535" exp="area" dr="$F$7:$F$354" r="AB371" sId="1"/>
    <undo index="0" exp="area" dr="AB$7:AB$354" r="AB371" sId="1"/>
    <undo index="65535" exp="area" dr="$F$7:$F$354" r="AA371" sId="1"/>
    <undo index="0" exp="area" dr="AA$7:AA$354" r="AA371" sId="1"/>
    <undo index="65535" exp="area" dr="$F$7:$F$354" r="Z371" sId="1"/>
    <undo index="0" exp="area" dr="Z$7:Z$354" r="Z371" sId="1"/>
    <undo index="65535" exp="area" dr="$F$7:$F$354" r="Y371" sId="1"/>
    <undo index="0" exp="area" dr="Y$7:Y$354" r="Y371" sId="1"/>
    <undo index="65535" exp="area" dr="$F$7:$F$354" r="X371" sId="1"/>
    <undo index="0" exp="area" dr="X$7:X$354" r="X371" sId="1"/>
    <undo index="65535" exp="area" dr="$F$7:$F$354" r="W371" sId="1"/>
    <undo index="0" exp="area" dr="W$7:W$354" r="W371" sId="1"/>
    <undo index="65535" exp="area" dr="$F$7:$F$354" r="V371" sId="1"/>
    <undo index="0" exp="area" dr="V$7:V$354" r="V371" sId="1"/>
    <undo index="65535" exp="area" dr="$F$7:$F$354" r="U371" sId="1"/>
    <undo index="0" exp="area" dr="U$7:U$354" r="U371" sId="1"/>
    <undo index="65535" exp="area" dr="$F$7:$F$354" r="T371" sId="1"/>
    <undo index="0" exp="area" dr="T$7:T$354" r="T371" sId="1"/>
    <undo index="65535" exp="area" dr="$F$7:$F$354" r="S371" sId="1"/>
    <undo index="0" exp="area" dr="S$7:S$354" r="S371" sId="1"/>
    <undo index="0" exp="area" dr="F$7:F$354" r="D371" sId="1"/>
    <undo index="65535" exp="area" dr="$F$7:$F$354" r="AK370" sId="1"/>
    <undo index="0" exp="area" dr="AK$7:AK$354" r="AK370" sId="1"/>
    <undo index="65535" exp="area" dr="$F$7:$F$354" r="AJ370" sId="1"/>
    <undo index="0" exp="area" dr="AJ$7:AJ$354" r="AJ370" sId="1"/>
    <undo index="65535" exp="area" dr="$F$7:$F$354" r="AG370" sId="1"/>
    <undo index="0" exp="area" dr="AG$7:AG$354" r="AG370" sId="1"/>
    <undo index="65535" exp="area" dr="$F$7:$F$354" r="AF370" sId="1"/>
    <undo index="0" exp="area" dr="AF$7:AF$354" r="AF370" sId="1"/>
    <undo index="65535" exp="area" dr="$F$7:$F$354" r="AE370" sId="1"/>
    <undo index="0" exp="area" dr="AE$7:AE$354" r="AE370" sId="1"/>
    <undo index="65535" exp="area" dr="$F$7:$F$354" r="AD370" sId="1"/>
    <undo index="0" exp="area" dr="AD$7:AD$354" r="AD370" sId="1"/>
    <undo index="65535" exp="area" dr="$F$7:$F$354" r="AC370" sId="1"/>
    <undo index="0" exp="area" dr="AC$7:AC$354" r="AC370" sId="1"/>
    <undo index="65535" exp="area" dr="$F$7:$F$354" r="AB370" sId="1"/>
    <undo index="0" exp="area" dr="AB$7:AB$354" r="AB370" sId="1"/>
    <undo index="65535" exp="area" dr="$F$7:$F$354" r="AA370" sId="1"/>
    <undo index="0" exp="area" dr="AA$7:AA$354" r="AA370" sId="1"/>
    <undo index="65535" exp="area" dr="$F$7:$F$354" r="Z370" sId="1"/>
    <undo index="0" exp="area" dr="Z$7:Z$354" r="Z370" sId="1"/>
    <undo index="65535" exp="area" dr="$F$7:$F$354" r="Y370" sId="1"/>
    <undo index="0" exp="area" dr="Y$7:Y$354" r="Y370" sId="1"/>
    <undo index="65535" exp="area" dr="$F$7:$F$354" r="X370" sId="1"/>
    <undo index="0" exp="area" dr="X$7:X$354" r="X370" sId="1"/>
    <undo index="65535" exp="area" dr="$F$7:$F$354" r="W370" sId="1"/>
    <undo index="0" exp="area" dr="W$7:W$354" r="W370" sId="1"/>
    <undo index="65535" exp="area" dr="$F$7:$F$354" r="V370" sId="1"/>
    <undo index="0" exp="area" dr="V$7:V$354" r="V370" sId="1"/>
    <undo index="65535" exp="area" dr="$F$7:$F$354" r="U370" sId="1"/>
    <undo index="0" exp="area" dr="U$7:U$354" r="U370" sId="1"/>
    <undo index="65535" exp="area" dr="$F$7:$F$354" r="T370" sId="1"/>
    <undo index="0" exp="area" dr="T$7:T$354" r="T370" sId="1"/>
    <undo index="65535" exp="area" dr="$F$7:$F$354" r="S370" sId="1"/>
    <undo index="0" exp="area" dr="S$7:S$354" r="S370" sId="1"/>
    <undo index="0" exp="area" dr="F$7:F$354" r="D370" sId="1"/>
    <undo index="65535" exp="area" dr="$F$7:$F$354" r="AK369" sId="1"/>
    <undo index="0" exp="area" dr="AK$7:AK$354" r="AK369" sId="1"/>
    <undo index="65535" exp="area" dr="$F$7:$F$354" r="AJ369" sId="1"/>
    <undo index="0" exp="area" dr="AJ$7:AJ$354" r="AJ369" sId="1"/>
    <undo index="65535" exp="area" dr="$F$7:$F$354" r="AG369" sId="1"/>
    <undo index="0" exp="area" dr="AG$7:AG$354" r="AG369" sId="1"/>
    <undo index="65535" exp="area" dr="$F$7:$F$354" r="AF369" sId="1"/>
    <undo index="0" exp="area" dr="AF$7:AF$354" r="AF369" sId="1"/>
    <undo index="65535" exp="area" dr="$F$7:$F$354" r="AE369" sId="1"/>
    <undo index="0" exp="area" dr="AE$7:AE$354" r="AE369" sId="1"/>
    <undo index="65535" exp="area" dr="$F$7:$F$354" r="AD369" sId="1"/>
    <undo index="0" exp="area" dr="AD$7:AD$354" r="AD369" sId="1"/>
    <undo index="65535" exp="area" dr="$F$7:$F$354" r="AC369" sId="1"/>
    <undo index="0" exp="area" dr="AC$7:AC$354" r="AC369" sId="1"/>
    <undo index="65535" exp="area" dr="$F$7:$F$354" r="AB369" sId="1"/>
    <undo index="0" exp="area" dr="AB$7:AB$354" r="AB369" sId="1"/>
    <undo index="65535" exp="area" dr="$F$7:$F$354" r="AA369" sId="1"/>
    <undo index="0" exp="area" dr="AA$7:AA$354" r="AA369" sId="1"/>
    <undo index="65535" exp="area" dr="$F$7:$F$354" r="Z369" sId="1"/>
    <undo index="0" exp="area" dr="Z$7:Z$354" r="Z369" sId="1"/>
    <undo index="65535" exp="area" dr="$F$7:$F$354" r="Y369" sId="1"/>
    <undo index="0" exp="area" dr="Y$7:Y$354" r="Y369" sId="1"/>
    <undo index="65535" exp="area" dr="$F$7:$F$354" r="X369" sId="1"/>
    <undo index="0" exp="area" dr="X$7:X$354" r="X369" sId="1"/>
    <undo index="65535" exp="area" dr="$F$7:$F$354" r="W369" sId="1"/>
    <undo index="0" exp="area" dr="W$7:W$354" r="W369" sId="1"/>
    <undo index="65535" exp="area" dr="$F$7:$F$354" r="V369" sId="1"/>
    <undo index="0" exp="area" dr="V$7:V$354" r="V369" sId="1"/>
    <undo index="65535" exp="area" dr="$F$7:$F$354" r="U369" sId="1"/>
    <undo index="0" exp="area" dr="U$7:U$354" r="U369" sId="1"/>
    <undo index="65535" exp="area" dr="$F$7:$F$354" r="T369" sId="1"/>
    <undo index="0" exp="area" dr="T$7:T$354" r="T369" sId="1"/>
    <undo index="65535" exp="area" dr="$F$7:$F$354" r="S369" sId="1"/>
    <undo index="0" exp="area" dr="S$7:S$354" r="S369" sId="1"/>
    <undo index="0" exp="area" dr="F$7:F$354" r="D369" sId="1"/>
    <undo index="65535" exp="area" dr="$F$7:$F$354" r="AK368" sId="1"/>
    <undo index="0" exp="area" dr="AK$7:AK$354" r="AK368" sId="1"/>
    <undo index="65535" exp="area" dr="$F$7:$F$354" r="AJ368" sId="1"/>
    <undo index="0" exp="area" dr="AJ$7:AJ$354" r="AJ368" sId="1"/>
    <undo index="65535" exp="area" dr="$F$7:$F$354" r="AG368" sId="1"/>
    <undo index="0" exp="area" dr="AG$7:AG$354" r="AG368" sId="1"/>
    <undo index="65535" exp="area" dr="$F$7:$F$354" r="AF368" sId="1"/>
    <undo index="0" exp="area" dr="AF$7:AF$354" r="AF368" sId="1"/>
    <undo index="65535" exp="area" dr="$F$7:$F$354" r="AE368" sId="1"/>
    <undo index="0" exp="area" dr="AE$7:AE$354" r="AE368" sId="1"/>
    <undo index="65535" exp="area" dr="$F$7:$F$354" r="AD368" sId="1"/>
    <undo index="0" exp="area" dr="AD$7:AD$354" r="AD368" sId="1"/>
    <undo index="65535" exp="area" dr="$F$7:$F$354" r="AC368" sId="1"/>
    <undo index="0" exp="area" dr="AC$7:AC$354" r="AC368" sId="1"/>
    <undo index="65535" exp="area" dr="$F$7:$F$354" r="AB368" sId="1"/>
    <undo index="0" exp="area" dr="AB$7:AB$354" r="AB368" sId="1"/>
    <undo index="65535" exp="area" dr="$F$7:$F$354" r="AA368" sId="1"/>
    <undo index="0" exp="area" dr="AA$7:AA$354" r="AA368" sId="1"/>
    <undo index="65535" exp="area" dr="$F$7:$F$354" r="Z368" sId="1"/>
    <undo index="0" exp="area" dr="Z$7:Z$354" r="Z368" sId="1"/>
    <undo index="65535" exp="area" dr="$F$7:$F$354" r="Y368" sId="1"/>
    <undo index="0" exp="area" dr="Y$7:Y$354" r="Y368" sId="1"/>
    <undo index="65535" exp="area" dr="$F$7:$F$354" r="X368" sId="1"/>
    <undo index="0" exp="area" dr="X$7:X$354" r="X368" sId="1"/>
    <undo index="65535" exp="area" dr="$F$7:$F$354" r="W368" sId="1"/>
    <undo index="0" exp="area" dr="W$7:W$354" r="W368" sId="1"/>
    <undo index="65535" exp="area" dr="$F$7:$F$354" r="V368" sId="1"/>
    <undo index="0" exp="area" dr="V$7:V$354" r="V368" sId="1"/>
    <undo index="65535" exp="area" dr="$F$7:$F$354" r="U368" sId="1"/>
    <undo index="0" exp="area" dr="U$7:U$354" r="U368" sId="1"/>
    <undo index="65535" exp="area" dr="$F$7:$F$354" r="T368" sId="1"/>
    <undo index="0" exp="area" dr="T$7:T$354" r="T368" sId="1"/>
    <undo index="65535" exp="area" dr="$F$7:$F$354" r="S368" sId="1"/>
    <undo index="0" exp="area" dr="S$7:S$354" r="S368" sId="1"/>
    <undo index="0" exp="area" dr="F$7:F$354" r="D368" sId="1"/>
    <undo index="65535" exp="area" dr="$F$7:$F$354" r="AK367" sId="1"/>
    <undo index="0" exp="area" dr="AK$7:AK$354" r="AK367" sId="1"/>
    <undo index="65535" exp="area" dr="$F$7:$F$354" r="AJ367" sId="1"/>
    <undo index="0" exp="area" dr="AJ$7:AJ$354" r="AJ367" sId="1"/>
    <undo index="65535" exp="area" dr="$F$7:$F$354" r="AG367" sId="1"/>
    <undo index="0" exp="area" dr="AG$7:AG$354" r="AG367" sId="1"/>
    <undo index="65535" exp="area" dr="$F$7:$F$354" r="AF367" sId="1"/>
    <undo index="0" exp="area" dr="AF$7:AF$354" r="AF367" sId="1"/>
    <undo index="65535" exp="area" dr="$F$7:$F$354" r="AE367" sId="1"/>
    <undo index="0" exp="area" dr="AE$7:AE$354" r="AE367" sId="1"/>
    <undo index="65535" exp="area" dr="$F$7:$F$354" r="AD367" sId="1"/>
    <undo index="0" exp="area" dr="AD$7:AD$354" r="AD367" sId="1"/>
    <undo index="65535" exp="area" dr="$F$7:$F$354" r="AC367" sId="1"/>
    <undo index="0" exp="area" dr="AC$7:AC$354" r="AC367" sId="1"/>
    <undo index="65535" exp="area" dr="$F$7:$F$354" r="AB367" sId="1"/>
    <undo index="0" exp="area" dr="AB$7:AB$354" r="AB367" sId="1"/>
    <undo index="65535" exp="area" dr="$F$7:$F$354" r="AA367" sId="1"/>
    <undo index="0" exp="area" dr="AA$7:AA$354" r="AA367" sId="1"/>
    <undo index="65535" exp="area" dr="$F$7:$F$354" r="Z367" sId="1"/>
    <undo index="0" exp="area" dr="Z$7:Z$354" r="Z367" sId="1"/>
    <undo index="65535" exp="area" dr="$F$7:$F$354" r="Y367" sId="1"/>
    <undo index="0" exp="area" dr="Y$7:Y$354" r="Y367" sId="1"/>
    <undo index="65535" exp="area" dr="$F$7:$F$354" r="X367" sId="1"/>
    <undo index="0" exp="area" dr="X$7:X$354" r="X367" sId="1"/>
    <undo index="65535" exp="area" dr="$F$7:$F$354" r="W367" sId="1"/>
    <undo index="0" exp="area" dr="W$7:W$354" r="W367" sId="1"/>
    <undo index="65535" exp="area" dr="$F$7:$F$354" r="V367" sId="1"/>
    <undo index="0" exp="area" dr="V$7:V$354" r="V367" sId="1"/>
    <undo index="65535" exp="area" dr="$F$7:$F$354" r="U367" sId="1"/>
    <undo index="0" exp="area" dr="U$7:U$354" r="U367" sId="1"/>
    <undo index="65535" exp="area" dr="$F$7:$F$354" r="T367" sId="1"/>
    <undo index="0" exp="area" dr="T$7:T$354" r="T367" sId="1"/>
    <undo index="65535" exp="area" dr="$F$7:$F$354" r="S367" sId="1"/>
    <undo index="0" exp="area" dr="S$7:S$354" r="S367" sId="1"/>
    <undo index="0" exp="area" dr="F$7:F$354" r="D367" sId="1"/>
    <undo index="65535" exp="area" dr="$F$7:$F$354" r="AK366" sId="1"/>
    <undo index="0" exp="area" dr="AK$7:AK$354" r="AK366" sId="1"/>
    <undo index="65535" exp="area" dr="$F$7:$F$354" r="AJ366" sId="1"/>
    <undo index="0" exp="area" dr="AJ$7:AJ$354" r="AJ366" sId="1"/>
    <undo index="65535" exp="area" dr="$F$7:$F$354" r="AG366" sId="1"/>
    <undo index="0" exp="area" dr="AG$7:AG$354" r="AG366" sId="1"/>
    <undo index="65535" exp="area" dr="$F$7:$F$354" r="AF366" sId="1"/>
    <undo index="0" exp="area" dr="AF$7:AF$354" r="AF366" sId="1"/>
    <undo index="65535" exp="area" dr="$F$7:$F$354" r="AE366" sId="1"/>
    <undo index="0" exp="area" dr="AE$7:AE$354" r="AE366" sId="1"/>
    <undo index="65535" exp="area" dr="$F$7:$F$354" r="AD366" sId="1"/>
    <undo index="0" exp="area" dr="AD$7:AD$354" r="AD366" sId="1"/>
    <undo index="65535" exp="area" dr="$F$7:$F$354" r="AC366" sId="1"/>
    <undo index="0" exp="area" dr="AC$7:AC$354" r="AC366" sId="1"/>
    <undo index="65535" exp="area" dr="$F$7:$F$354" r="AB366" sId="1"/>
    <undo index="0" exp="area" dr="AB$7:AB$354" r="AB366" sId="1"/>
    <undo index="65535" exp="area" dr="$F$7:$F$354" r="AA366" sId="1"/>
    <undo index="0" exp="area" dr="AA$7:AA$354" r="AA366" sId="1"/>
    <undo index="65535" exp="area" dr="$F$7:$F$354" r="Z366" sId="1"/>
    <undo index="0" exp="area" dr="Z$7:Z$354" r="Z366" sId="1"/>
    <undo index="65535" exp="area" dr="$F$7:$F$354" r="Y366" sId="1"/>
    <undo index="0" exp="area" dr="Y$7:Y$354" r="Y366" sId="1"/>
    <undo index="65535" exp="area" dr="$F$7:$F$354" r="X366" sId="1"/>
    <undo index="0" exp="area" dr="X$7:X$354" r="X366" sId="1"/>
    <undo index="65535" exp="area" dr="$F$7:$F$354" r="W366" sId="1"/>
    <undo index="0" exp="area" dr="W$7:W$354" r="W366" sId="1"/>
    <undo index="65535" exp="area" dr="$F$7:$F$354" r="V366" sId="1"/>
    <undo index="0" exp="area" dr="V$7:V$354" r="V366" sId="1"/>
    <undo index="65535" exp="area" dr="$F$7:$F$354" r="U366" sId="1"/>
    <undo index="0" exp="area" dr="U$7:U$354" r="U366" sId="1"/>
    <undo index="65535" exp="area" dr="$F$7:$F$354" r="T366" sId="1"/>
    <undo index="0" exp="area" dr="T$7:T$354" r="T366" sId="1"/>
    <undo index="65535" exp="area" dr="$F$7:$F$354" r="S366" sId="1"/>
    <undo index="0" exp="area" dr="S$7:S$354" r="S366" sId="1"/>
    <undo index="0" exp="area" dr="F$7:F$354" r="D366" sId="1"/>
    <undo index="65535" exp="area" dr="$F$7:$F$354" r="AJ365" sId="1"/>
    <undo index="0" exp="area" dr="AJ$7:AJ$354" r="AJ365" sId="1"/>
    <undo index="65535" exp="area" dr="$F$7:$F$354" r="AG365" sId="1"/>
    <undo index="0" exp="area" dr="AG$7:AG$354" r="AG365" sId="1"/>
    <undo index="65535" exp="area" dr="$F$7:$F$354" r="AF365" sId="1"/>
    <undo index="0" exp="area" dr="AF$7:AF$354" r="AF365" sId="1"/>
    <undo index="65535" exp="area" dr="$F$7:$F$354" r="AE365" sId="1"/>
    <undo index="0" exp="area" dr="AE$7:AE$354" r="AE365" sId="1"/>
    <undo index="65535" exp="area" dr="$F$7:$F$354" r="AD365" sId="1"/>
    <undo index="0" exp="area" dr="AD$7:AD$354" r="AD365" sId="1"/>
    <undo index="65535" exp="area" dr="$F$7:$F$354" r="AC365" sId="1"/>
    <undo index="0" exp="area" dr="AC$7:AC$354" r="AC365" sId="1"/>
    <undo index="65535" exp="area" dr="$F$7:$F$354" r="AB365" sId="1"/>
    <undo index="0" exp="area" dr="AB$7:AB$354" r="AB365" sId="1"/>
    <undo index="65535" exp="area" dr="$F$7:$F$354" r="AA365" sId="1"/>
    <undo index="0" exp="area" dr="AA$7:AA$354" r="AA365" sId="1"/>
    <undo index="65535" exp="area" dr="$F$7:$F$354" r="Z365" sId="1"/>
    <undo index="0" exp="area" dr="Z$7:Z$354" r="Z365" sId="1"/>
    <undo index="65535" exp="area" dr="$F$7:$F$354" r="Y365" sId="1"/>
    <undo index="0" exp="area" dr="Y$7:Y$354" r="Y365" sId="1"/>
    <undo index="65535" exp="area" dr="$F$7:$F$354" r="X365" sId="1"/>
    <undo index="0" exp="area" dr="X$7:X$354" r="X365" sId="1"/>
    <undo index="65535" exp="area" dr="$F$7:$F$354" r="W365" sId="1"/>
    <undo index="0" exp="area" dr="W$7:W$354" r="W365" sId="1"/>
    <undo index="65535" exp="area" dr="$F$7:$F$354" r="V365" sId="1"/>
    <undo index="0" exp="area" dr="V$7:V$354" r="V365" sId="1"/>
    <undo index="65535" exp="area" dr="$F$7:$F$354" r="U365" sId="1"/>
    <undo index="0" exp="area" dr="U$7:U$354" r="U365" sId="1"/>
    <undo index="65535" exp="area" dr="$F$7:$F$354" r="T365" sId="1"/>
    <undo index="0" exp="area" dr="T$7:T$354" r="T365" sId="1"/>
    <undo index="65535" exp="area" dr="$F$7:$F$354" r="S365" sId="1"/>
    <undo index="0" exp="area" dr="S$7:S$354" r="S365" sId="1"/>
    <undo index="0" exp="area" dr="F$7:F$354" r="D365" sId="1"/>
    <undo index="65535" exp="area" dr="$F$7:$F$354" r="AK364" sId="1"/>
    <undo index="0" exp="area" dr="AK$7:AK$354" r="AK364" sId="1"/>
    <undo index="65535" exp="area" dr="$F$7:$F$354" r="AJ364" sId="1"/>
    <undo index="0" exp="area" dr="AJ$7:AJ$354" r="AJ364" sId="1"/>
    <undo index="65535" exp="area" dr="$F$7:$F$354" r="AG364" sId="1"/>
    <undo index="0" exp="area" dr="AG$7:AG$354" r="AG364" sId="1"/>
    <undo index="65535" exp="area" dr="$F$7:$F$354" r="AF364" sId="1"/>
    <undo index="0" exp="area" dr="AF$7:AF$354" r="AF364" sId="1"/>
    <undo index="65535" exp="area" dr="$F$7:$F$354" r="AE364" sId="1"/>
    <undo index="0" exp="area" dr="AE$7:AE$354" r="AE364" sId="1"/>
    <undo index="65535" exp="area" dr="$F$7:$F$354" r="AD364" sId="1"/>
    <undo index="0" exp="area" dr="AD$7:AD$354" r="AD364" sId="1"/>
    <undo index="65535" exp="area" dr="$F$7:$F$354" r="AC364" sId="1"/>
    <undo index="0" exp="area" dr="AC$7:AC$354" r="AC364" sId="1"/>
    <undo index="65535" exp="area" dr="$F$7:$F$354" r="AB364" sId="1"/>
    <undo index="0" exp="area" dr="AB$7:AB$354" r="AB364" sId="1"/>
    <undo index="65535" exp="area" dr="$F$7:$F$354" r="AA364" sId="1"/>
    <undo index="0" exp="area" dr="AA$7:AA$354" r="AA364" sId="1"/>
    <undo index="65535" exp="area" dr="$F$7:$F$354" r="Z364" sId="1"/>
    <undo index="0" exp="area" dr="Z$7:Z$354" r="Z364" sId="1"/>
    <undo index="65535" exp="area" dr="$F$7:$F$354" r="Y364" sId="1"/>
    <undo index="0" exp="area" dr="Y$7:Y$354" r="Y364" sId="1"/>
    <undo index="65535" exp="area" dr="$F$7:$F$354" r="X364" sId="1"/>
    <undo index="0" exp="area" dr="X$7:X$354" r="X364" sId="1"/>
    <undo index="65535" exp="area" dr="$F$7:$F$354" r="W364" sId="1"/>
    <undo index="0" exp="area" dr="W$7:W$354" r="W364" sId="1"/>
    <undo index="65535" exp="area" dr="$F$7:$F$354" r="V364" sId="1"/>
    <undo index="0" exp="area" dr="V$7:V$354" r="V364" sId="1"/>
    <undo index="65535" exp="area" dr="$F$7:$F$354" r="U364" sId="1"/>
    <undo index="0" exp="area" dr="U$7:U$354" r="U364" sId="1"/>
    <undo index="65535" exp="area" dr="$F$7:$F$354" r="T364" sId="1"/>
    <undo index="0" exp="area" dr="T$7:T$354" r="T364" sId="1"/>
    <undo index="65535" exp="area" dr="$F$7:$F$354" r="S364" sId="1"/>
    <undo index="0" exp="area" dr="S$7:S$354" r="S364" sId="1"/>
    <undo index="0" exp="area" dr="F$7:F$354" r="D364" sId="1"/>
    <undo index="65535" exp="area" dr="$F$7:$F$354" r="AK362" sId="1"/>
    <undo index="0" exp="area" dr="AK$7:AK$354" r="AK362" sId="1"/>
    <undo index="65535" exp="area" dr="$F$7:$F$354" r="AJ362" sId="1"/>
    <undo index="0" exp="area" dr="AJ$7:AJ$354" r="AJ362" sId="1"/>
    <undo index="65535" exp="area" dr="$F$7:$F$354" r="AG362" sId="1"/>
    <undo index="0" exp="area" dr="AG$7:AG$354" r="AG362" sId="1"/>
    <undo index="65535" exp="area" dr="$F$7:$F$354" r="AF362" sId="1"/>
    <undo index="0" exp="area" dr="AF$7:AF$354" r="AF362" sId="1"/>
    <undo index="65535" exp="area" dr="$F$7:$F$354" r="AE362" sId="1"/>
    <undo index="0" exp="area" dr="AE$7:AE$354" r="AE362" sId="1"/>
    <undo index="65535" exp="area" dr="$F$7:$F$354" r="AD362" sId="1"/>
    <undo index="0" exp="area" dr="AD$7:AD$354" r="AD362" sId="1"/>
    <undo index="65535" exp="area" dr="$F$7:$F$354" r="AC362" sId="1"/>
    <undo index="0" exp="area" dr="AC$7:AC$354" r="AC362" sId="1"/>
    <undo index="65535" exp="area" dr="$F$7:$F$354" r="AB362" sId="1"/>
    <undo index="0" exp="area" dr="AB$7:AB$354" r="AB362" sId="1"/>
    <undo index="65535" exp="area" dr="$F$7:$F$354" r="AA362" sId="1"/>
    <undo index="0" exp="area" dr="AA$7:AA$354" r="AA362" sId="1"/>
    <undo index="65535" exp="area" dr="$F$7:$F$354" r="Z362" sId="1"/>
    <undo index="0" exp="area" dr="Z$7:Z$354" r="Z362" sId="1"/>
    <undo index="65535" exp="area" dr="$F$7:$F$354" r="Y362" sId="1"/>
    <undo index="0" exp="area" dr="Y$7:Y$354" r="Y362" sId="1"/>
    <undo index="65535" exp="area" dr="$F$7:$F$354" r="X362" sId="1"/>
    <undo index="0" exp="area" dr="X$7:X$354" r="X362" sId="1"/>
    <undo index="65535" exp="area" dr="$F$7:$F$354" r="W362" sId="1"/>
    <undo index="0" exp="area" dr="W$7:W$354" r="W362" sId="1"/>
    <undo index="65535" exp="area" dr="$F$7:$F$354" r="V362" sId="1"/>
    <undo index="0" exp="area" dr="V$7:V$354" r="V362" sId="1"/>
    <undo index="65535" exp="area" dr="$F$7:$F$354" r="U362" sId="1"/>
    <undo index="0" exp="area" dr="U$7:U$354" r="U362" sId="1"/>
    <undo index="65535" exp="area" dr="$F$7:$F$354" r="T362" sId="1"/>
    <undo index="0" exp="area" dr="T$7:T$354" r="T362" sId="1"/>
    <undo index="65535" exp="area" dr="$F$7:$F$354" r="S362" sId="1"/>
    <undo index="0" exp="area" dr="S$7:S$354" r="S362" sId="1"/>
    <undo index="0" exp="area" dr="F$7:F$354" r="D362" sId="1"/>
    <undo index="65535" exp="area" dr="$F$7:$F$354" r="AK361" sId="1"/>
    <undo index="0" exp="area" dr="AK$7:AK$354" r="AK361" sId="1"/>
    <undo index="65535" exp="area" dr="$F$7:$F$354" r="AJ361" sId="1"/>
    <undo index="0" exp="area" dr="AJ$7:AJ$354" r="AJ361" sId="1"/>
    <undo index="65535" exp="area" dr="$F$7:$F$354" r="AG361" sId="1"/>
    <undo index="0" exp="area" dr="AG$7:AG$354" r="AG361" sId="1"/>
    <undo index="65535" exp="area" dr="$F$7:$F$354" r="AF361" sId="1"/>
    <undo index="0" exp="area" dr="AF$7:AF$354" r="AF361" sId="1"/>
    <undo index="65535" exp="area" dr="$F$7:$F$354" r="AE361" sId="1"/>
    <undo index="0" exp="area" dr="AE$7:AE$354" r="AE361" sId="1"/>
    <undo index="65535" exp="area" dr="$F$7:$F$354" r="AD361" sId="1"/>
    <undo index="0" exp="area" dr="AD$7:AD$354" r="AD361" sId="1"/>
    <undo index="65535" exp="area" dr="$F$7:$F$354" r="AC361" sId="1"/>
    <undo index="0" exp="area" dr="AC$7:AC$354" r="AC361" sId="1"/>
    <undo index="65535" exp="area" dr="$F$7:$F$354" r="AB361" sId="1"/>
    <undo index="0" exp="area" dr="AB$7:AB$354" r="AB361" sId="1"/>
    <undo index="65535" exp="area" dr="$F$7:$F$354" r="AA361" sId="1"/>
    <undo index="0" exp="area" dr="AA$7:AA$354" r="AA361" sId="1"/>
    <undo index="65535" exp="area" dr="$F$7:$F$354" r="Z361" sId="1"/>
    <undo index="0" exp="area" dr="Z$7:Z$354" r="Z361" sId="1"/>
    <undo index="65535" exp="area" dr="$F$7:$F$354" r="Y361" sId="1"/>
    <undo index="0" exp="area" dr="Y$7:Y$354" r="Y361" sId="1"/>
    <undo index="65535" exp="area" dr="$F$7:$F$354" r="X361" sId="1"/>
    <undo index="0" exp="area" dr="X$7:X$354" r="X361" sId="1"/>
    <undo index="65535" exp="area" dr="$F$7:$F$354" r="W361" sId="1"/>
    <undo index="0" exp="area" dr="W$7:W$354" r="W361" sId="1"/>
    <undo index="65535" exp="area" dr="$F$7:$F$354" r="V361" sId="1"/>
    <undo index="0" exp="area" dr="V$7:V$354" r="V361" sId="1"/>
    <undo index="65535" exp="area" dr="$F$7:$F$354" r="U361" sId="1"/>
    <undo index="0" exp="area" dr="U$7:U$354" r="U361" sId="1"/>
    <undo index="65535" exp="area" dr="$F$7:$F$354" r="T361" sId="1"/>
    <undo index="0" exp="area" dr="T$7:T$354" r="T361" sId="1"/>
    <undo index="65535" exp="area" dr="$F$7:$F$354" r="S361" sId="1"/>
    <undo index="0" exp="area" dr="S$7:S$354" r="S361" sId="1"/>
    <undo index="0" exp="area" dr="F$7:F$354" r="D361" sId="1"/>
    <undo index="65535" exp="area" dr="$F$7:$F$354" r="AK360" sId="1"/>
    <undo index="0" exp="area" dr="AK$7:AK$354" r="AK360" sId="1"/>
    <undo index="65535" exp="area" dr="$F$7:$F$354" r="AJ360" sId="1"/>
    <undo index="0" exp="area" dr="AJ$7:AJ$354" r="AJ360" sId="1"/>
    <undo index="65535" exp="area" dr="$F$7:$F$354" r="AG360" sId="1"/>
    <undo index="0" exp="area" dr="AG$7:AG$354" r="AG360" sId="1"/>
    <undo index="65535" exp="area" dr="$F$7:$F$354" r="AF360" sId="1"/>
    <undo index="0" exp="area" dr="AF$7:AF$354" r="AF360" sId="1"/>
    <undo index="65535" exp="area" dr="$F$7:$F$354" r="AE360" sId="1"/>
    <undo index="0" exp="area" dr="AE$7:AE$354" r="AE360" sId="1"/>
    <undo index="65535" exp="area" dr="$F$7:$F$354" r="AD360" sId="1"/>
    <undo index="0" exp="area" dr="AD$7:AD$354" r="AD360" sId="1"/>
    <undo index="65535" exp="area" dr="$F$7:$F$354" r="AC360" sId="1"/>
    <undo index="0" exp="area" dr="AC$7:AC$354" r="AC360" sId="1"/>
    <undo index="65535" exp="area" dr="$F$7:$F$354" r="AB360" sId="1"/>
    <undo index="0" exp="area" dr="AB$7:AB$354" r="AB360" sId="1"/>
    <undo index="65535" exp="area" dr="$F$7:$F$354" r="AA360" sId="1"/>
    <undo index="0" exp="area" dr="AA$7:AA$354" r="AA360" sId="1"/>
    <undo index="65535" exp="area" dr="$F$7:$F$354" r="Z360" sId="1"/>
    <undo index="0" exp="area" dr="Z$7:Z$354" r="Z360" sId="1"/>
    <undo index="65535" exp="area" dr="$F$7:$F$354" r="Y360" sId="1"/>
    <undo index="0" exp="area" dr="Y$7:Y$354" r="Y360" sId="1"/>
    <undo index="65535" exp="area" dr="$F$7:$F$354" r="X360" sId="1"/>
    <undo index="0" exp="area" dr="X$7:X$354" r="X360" sId="1"/>
    <undo index="65535" exp="area" dr="$F$7:$F$354" r="W360" sId="1"/>
    <undo index="0" exp="area" dr="W$7:W$354" r="W360" sId="1"/>
    <undo index="65535" exp="area" dr="$F$7:$F$354" r="V360" sId="1"/>
    <undo index="0" exp="area" dr="V$7:V$354" r="V360" sId="1"/>
    <undo index="65535" exp="area" dr="$F$7:$F$354" r="U360" sId="1"/>
    <undo index="0" exp="area" dr="U$7:U$354" r="U360" sId="1"/>
    <undo index="65535" exp="area" dr="$F$7:$F$354" r="T360" sId="1"/>
    <undo index="0" exp="area" dr="T$7:T$354" r="T360" sId="1"/>
    <undo index="65535" exp="area" dr="$F$7:$F$354" r="S360" sId="1"/>
    <undo index="0" exp="area" dr="S$7:S$354" r="S360" sId="1"/>
    <undo index="0" exp="area" dr="F$7:F$354" r="D360" sId="1"/>
    <undo index="65535" exp="area" dr="$F$7:$F$354" r="AK359" sId="1"/>
    <undo index="0" exp="area" dr="AK$7:AK$354" r="AK359" sId="1"/>
    <undo index="65535" exp="area" dr="$F$7:$F$354" r="AJ359" sId="1"/>
    <undo index="0" exp="area" dr="AJ$7:AJ$354" r="AJ359" sId="1"/>
    <undo index="65535" exp="area" dr="$F$7:$F$354" r="AG359" sId="1"/>
    <undo index="0" exp="area" dr="AG$7:AG$354" r="AG359" sId="1"/>
    <undo index="65535" exp="area" dr="$F$7:$F$354" r="AF359" sId="1"/>
    <undo index="0" exp="area" dr="AF$7:AF$354" r="AF359" sId="1"/>
    <undo index="65535" exp="area" dr="$F$7:$F$354" r="AE359" sId="1"/>
    <undo index="0" exp="area" dr="AE$7:AE$354" r="AE359" sId="1"/>
    <undo index="65535" exp="area" dr="$F$7:$F$354" r="AD359" sId="1"/>
    <undo index="0" exp="area" dr="AD$7:AD$354" r="AD359" sId="1"/>
    <undo index="65535" exp="area" dr="$F$7:$F$354" r="AC359" sId="1"/>
    <undo index="0" exp="area" dr="AC$7:AC$354" r="AC359" sId="1"/>
    <undo index="65535" exp="area" dr="$F$7:$F$354" r="AB359" sId="1"/>
    <undo index="0" exp="area" dr="AB$7:AB$354" r="AB359" sId="1"/>
    <undo index="65535" exp="area" dr="$F$7:$F$354" r="AA359" sId="1"/>
    <undo index="0" exp="area" dr="AA$7:AA$354" r="AA359" sId="1"/>
    <undo index="65535" exp="area" dr="$F$7:$F$354" r="Z359" sId="1"/>
    <undo index="0" exp="area" dr="Z$7:Z$354" r="Z359" sId="1"/>
    <undo index="65535" exp="area" dr="$F$7:$F$354" r="Y359" sId="1"/>
    <undo index="0" exp="area" dr="Y$7:Y$354" r="Y359" sId="1"/>
    <undo index="65535" exp="area" dr="$F$7:$F$354" r="X359" sId="1"/>
    <undo index="0" exp="area" dr="X$7:X$354" r="X359" sId="1"/>
    <undo index="65535" exp="area" dr="$F$7:$F$354" r="W359" sId="1"/>
    <undo index="0" exp="area" dr="W$7:W$354" r="W359" sId="1"/>
    <undo index="65535" exp="area" dr="$F$7:$F$354" r="V359" sId="1"/>
    <undo index="0" exp="area" dr="V$7:V$354" r="V359" sId="1"/>
    <undo index="65535" exp="area" dr="$F$7:$F$354" r="U359" sId="1"/>
    <undo index="0" exp="area" dr="U$7:U$354" r="U359" sId="1"/>
    <undo index="65535" exp="area" dr="$F$7:$F$354" r="T359" sId="1"/>
    <undo index="0" exp="area" dr="T$7:T$354" r="T359" sId="1"/>
    <undo index="65535" exp="area" dr="$F$7:$F$354" r="S359" sId="1"/>
    <undo index="0" exp="area" dr="S$7:S$354" r="S359" sId="1"/>
    <undo index="0" exp="area" dr="F$7:F$354" r="D359" sId="1"/>
    <undo index="65535" exp="area" dr="$F$7:$F$354" r="AK358" sId="1"/>
    <undo index="0" exp="area" dr="AK$7:AK$354" r="AK358" sId="1"/>
    <undo index="65535" exp="area" dr="$F$7:$F$354" r="AJ358" sId="1"/>
    <undo index="0" exp="area" dr="AJ$7:AJ$354" r="AJ358" sId="1"/>
    <undo index="65535" exp="area" dr="$F$7:$F$354" r="AG358" sId="1"/>
    <undo index="0" exp="area" dr="AG$7:AG$354" r="AG358" sId="1"/>
    <undo index="65535" exp="area" dr="$F$7:$F$354" r="AF358" sId="1"/>
    <undo index="0" exp="area" dr="AF$7:AF$354" r="AF358" sId="1"/>
    <undo index="65535" exp="area" dr="$F$7:$F$354" r="AE358" sId="1"/>
    <undo index="0" exp="area" dr="AE$7:AE$354" r="AE358" sId="1"/>
    <undo index="65535" exp="area" dr="$F$7:$F$354" r="AD358" sId="1"/>
    <undo index="0" exp="area" dr="AD$7:AD$354" r="AD358" sId="1"/>
    <undo index="65535" exp="area" dr="$F$7:$F$354" r="AC358" sId="1"/>
    <undo index="0" exp="area" dr="AC$7:AC$354" r="AC358" sId="1"/>
    <undo index="65535" exp="area" dr="$F$7:$F$354" r="AB358" sId="1"/>
    <undo index="0" exp="area" dr="AB$7:AB$354" r="AB358" sId="1"/>
    <undo index="65535" exp="area" dr="$F$7:$F$354" r="AA358" sId="1"/>
    <undo index="0" exp="area" dr="AA$7:AA$354" r="AA358" sId="1"/>
    <undo index="65535" exp="area" dr="$F$7:$F$354" r="Z358" sId="1"/>
    <undo index="0" exp="area" dr="Z$7:Z$354" r="Z358" sId="1"/>
    <undo index="65535" exp="area" dr="$F$7:$F$354" r="Y358" sId="1"/>
    <undo index="0" exp="area" dr="Y$7:Y$354" r="Y358" sId="1"/>
    <undo index="65535" exp="area" dr="$F$7:$F$354" r="X358" sId="1"/>
    <undo index="0" exp="area" dr="X$7:X$354" r="X358" sId="1"/>
    <undo index="65535" exp="area" dr="$F$7:$F$354" r="W358" sId="1"/>
    <undo index="0" exp="area" dr="W$7:W$354" r="W358" sId="1"/>
    <undo index="65535" exp="area" dr="$F$7:$F$354" r="V358" sId="1"/>
    <undo index="0" exp="area" dr="V$7:V$354" r="V358" sId="1"/>
    <undo index="65535" exp="area" dr="$F$7:$F$354" r="U358" sId="1"/>
    <undo index="0" exp="area" dr="U$7:U$354" r="U358" sId="1"/>
    <undo index="65535" exp="area" dr="$F$7:$F$354" r="T358" sId="1"/>
    <undo index="0" exp="area" dr="T$7:T$354" r="T358" sId="1"/>
    <undo index="65535" exp="area" dr="$F$7:$F$354" r="S358" sId="1"/>
    <undo index="0" exp="area" dr="S$7:S$354" r="S358" sId="1"/>
    <undo index="0" exp="area" dr="F$166:F$354" r="D358" sId="1"/>
    <undo index="65535" exp="area" dr="$F$7:$F$354" r="AK357" sId="1"/>
    <undo index="0" exp="area" dr="AK$7:AK$354" r="AK357" sId="1"/>
    <undo index="65535" exp="area" dr="$F$7:$F$354" r="AJ357" sId="1"/>
    <undo index="0" exp="area" dr="AJ$7:AJ$354" r="AJ357" sId="1"/>
    <undo index="65535" exp="area" dr="$F$7:$F$354" r="AG357" sId="1"/>
    <undo index="0" exp="area" dr="AG$7:AG$354" r="AG357" sId="1"/>
    <undo index="65535" exp="area" dr="$F$7:$F$354" r="AF357" sId="1"/>
    <undo index="0" exp="area" dr="AF$7:AF$354" r="AF357" sId="1"/>
    <undo index="65535" exp="area" dr="$F$7:$F$354" r="AE357" sId="1"/>
    <undo index="0" exp="area" dr="AE$7:AE$354" r="AE357" sId="1"/>
    <undo index="65535" exp="area" dr="$F$7:$F$354" r="AD357" sId="1"/>
    <undo index="0" exp="area" dr="AD$7:AD$354" r="AD357" sId="1"/>
    <undo index="65535" exp="area" dr="$F$7:$F$354" r="AC357" sId="1"/>
    <undo index="0" exp="area" dr="AC$7:AC$354" r="AC357" sId="1"/>
    <undo index="65535" exp="area" dr="$F$7:$F$354" r="AB357" sId="1"/>
    <undo index="0" exp="area" dr="AB$7:AB$354" r="AB357" sId="1"/>
    <undo index="65535" exp="area" dr="$F$7:$F$354" r="AA357" sId="1"/>
    <undo index="0" exp="area" dr="AA$7:AA$354" r="AA357" sId="1"/>
    <undo index="65535" exp="area" dr="$F$7:$F$354" r="Z357" sId="1"/>
    <undo index="0" exp="area" dr="Z$7:Z$354" r="Z357" sId="1"/>
    <undo index="65535" exp="area" dr="$F$7:$F$354" r="Y357" sId="1"/>
    <undo index="0" exp="area" dr="Y$7:Y$354" r="Y357" sId="1"/>
    <undo index="65535" exp="area" dr="$F$7:$F$354" r="X357" sId="1"/>
    <undo index="0" exp="area" dr="X$7:X$354" r="X357" sId="1"/>
    <undo index="65535" exp="area" dr="$F$7:$F$354" r="W357" sId="1"/>
    <undo index="0" exp="area" dr="W$7:W$354" r="W357" sId="1"/>
    <undo index="65535" exp="area" dr="$F$7:$F$354" r="V357" sId="1"/>
    <undo index="0" exp="area" dr="V$7:V$354" r="V357" sId="1"/>
    <undo index="65535" exp="area" dr="$F$7:$F$354" r="U357" sId="1"/>
    <undo index="0" exp="area" dr="U$7:U$354" r="U357" sId="1"/>
    <undo index="65535" exp="area" dr="$F$7:$F$354" r="T357" sId="1"/>
    <undo index="0" exp="area" dr="T$7:T$354" r="T357" sId="1"/>
    <undo index="65535" exp="area" dr="$F$7:$F$354" r="S357" sId="1"/>
    <undo index="0" exp="area" dr="S$7:S$354" r="S357" sId="1"/>
    <undo index="0" exp="area" dr="F$7:F$354" r="D357" sId="1"/>
    <undo index="65535" exp="area" dr="$F$7:$F$354" r="AK356" sId="1"/>
    <undo index="0" exp="area" dr="AK$7:AK$354" r="AK356" sId="1"/>
    <undo index="65535" exp="area" dr="$F$7:$F$354" r="AJ356" sId="1"/>
    <undo index="0" exp="area" dr="AJ$7:AJ$354" r="AJ356" sId="1"/>
    <undo index="65535" exp="area" dr="$F$7:$F$354" r="AG356" sId="1"/>
    <undo index="0" exp="area" dr="AG$7:AG$354" r="AG356" sId="1"/>
    <undo index="65535" exp="area" dr="$F$7:$F$354" r="AF356" sId="1"/>
    <undo index="0" exp="area" dr="AF$7:AF$354" r="AF356" sId="1"/>
    <undo index="65535" exp="area" dr="$F$7:$F$354" r="AE356" sId="1"/>
    <undo index="0" exp="area" dr="AE$7:AE$354" r="AE356" sId="1"/>
    <undo index="65535" exp="area" dr="$F$7:$F$354" r="AD356" sId="1"/>
    <undo index="0" exp="area" dr="AD$7:AD$354" r="AD356" sId="1"/>
    <undo index="65535" exp="area" dr="$F$7:$F$354" r="AC356" sId="1"/>
    <undo index="0" exp="area" dr="AC$7:AC$354" r="AC356" sId="1"/>
    <undo index="65535" exp="area" dr="$F$7:$F$354" r="AB356" sId="1"/>
    <undo index="0" exp="area" dr="AB$7:AB$354" r="AB356" sId="1"/>
    <undo index="65535" exp="area" dr="$F$7:$F$354" r="AA356" sId="1"/>
    <undo index="0" exp="area" dr="AA$7:AA$354" r="AA356" sId="1"/>
    <undo index="65535" exp="area" dr="$F$7:$F$354" r="Z356" sId="1"/>
    <undo index="0" exp="area" dr="Z$7:Z$354" r="Z356" sId="1"/>
    <undo index="65535" exp="area" dr="$F$7:$F$354" r="Y356" sId="1"/>
    <undo index="0" exp="area" dr="Y$7:Y$354" r="Y356" sId="1"/>
    <undo index="65535" exp="area" dr="$F$7:$F$354" r="X356" sId="1"/>
    <undo index="0" exp="area" dr="X$7:X$354" r="X356" sId="1"/>
    <undo index="65535" exp="area" dr="$F$7:$F$354" r="W356" sId="1"/>
    <undo index="0" exp="area" dr="W$7:W$354" r="W356" sId="1"/>
    <undo index="65535" exp="area" dr="$F$7:$F$354" r="V356" sId="1"/>
    <undo index="0" exp="area" dr="V$7:V$354" r="V356" sId="1"/>
    <undo index="65535" exp="area" dr="$F$7:$F$354" r="U356" sId="1"/>
    <undo index="0" exp="area" dr="U$7:U$354" r="U356" sId="1"/>
    <undo index="65535" exp="area" dr="$F$7:$F$354" r="T356" sId="1"/>
    <undo index="0" exp="area" dr="T$7:T$354" r="T356" sId="1"/>
    <undo index="65535" exp="area" dr="$F$7:$F$354" r="S356" sId="1"/>
    <undo index="0" exp="area" dr="S$7:S$354" r="S356" sId="1"/>
    <undo index="0" exp="area" dr="F$7:F$354" r="D356" sId="1"/>
    <undo index="65535" exp="area" dr="$F$7:$F$354" r="AK355" sId="1"/>
    <undo index="0" exp="area" dr="AK$7:AK$354" r="AK355" sId="1"/>
    <undo index="65535" exp="area" dr="$F$7:$F$354" r="AJ355" sId="1"/>
    <undo index="0" exp="area" dr="AJ$7:AJ$354" r="AJ355" sId="1"/>
    <undo index="65535" exp="area" dr="$F$7:$F$354" r="AG355" sId="1"/>
    <undo index="0" exp="area" dr="AG$7:AG$354" r="AG355" sId="1"/>
    <undo index="65535" exp="area" dr="$F$7:$F$354" r="AF355" sId="1"/>
    <undo index="0" exp="area" dr="AF$7:AF$354" r="AF355" sId="1"/>
    <undo index="65535" exp="area" dr="$F$7:$F$354" r="AE355" sId="1"/>
    <undo index="0" exp="area" dr="AE$7:AE$354" r="AE355" sId="1"/>
    <undo index="65535" exp="area" dr="$F$7:$F$354" r="AD355" sId="1"/>
    <undo index="0" exp="area" dr="AD$7:AD$354" r="AD355" sId="1"/>
    <undo index="65535" exp="area" dr="$F$7:$F$354" r="AC355" sId="1"/>
    <undo index="0" exp="area" dr="AC$7:AC$354" r="AC355" sId="1"/>
    <undo index="65535" exp="area" dr="$F$7:$F$354" r="AB355" sId="1"/>
    <undo index="0" exp="area" dr="AB$7:AB$354" r="AB355" sId="1"/>
    <undo index="65535" exp="area" dr="$F$7:$F$354" r="AA355" sId="1"/>
    <undo index="0" exp="area" dr="AA$7:AA$354" r="AA355" sId="1"/>
    <undo index="65535" exp="area" dr="$F$7:$F$354" r="Z355" sId="1"/>
    <undo index="0" exp="area" dr="Z$7:Z$354" r="Z355" sId="1"/>
    <undo index="65535" exp="area" dr="$F$7:$F$354" r="Y355" sId="1"/>
    <undo index="0" exp="area" dr="Y$7:Y$354" r="Y355" sId="1"/>
    <undo index="65535" exp="area" dr="$F$7:$F$354" r="X355" sId="1"/>
    <undo index="0" exp="area" dr="X$7:X$354" r="X355" sId="1"/>
    <undo index="65535" exp="area" dr="$F$7:$F$354" r="W355" sId="1"/>
    <undo index="0" exp="area" dr="W$7:W$354" r="W355" sId="1"/>
    <undo index="65535" exp="area" dr="$F$7:$F$354" r="V355" sId="1"/>
    <undo index="0" exp="area" dr="V$7:V$354" r="V355" sId="1"/>
    <undo index="65535" exp="area" dr="$F$7:$F$354" r="U355" sId="1"/>
    <undo index="0" exp="area" dr="U$7:U$354" r="U355" sId="1"/>
    <undo index="65535" exp="area" dr="$F$7:$F$354" r="T355" sId="1"/>
    <undo index="0" exp="area" dr="T$7:T$354" r="T355" sId="1"/>
    <undo index="65535" exp="area" dr="$F$7:$F$354" r="S355" sId="1"/>
    <undo index="0" exp="area" dr="S$7:S$354" r="S355" sId="1"/>
    <undo index="0" exp="area" dr="F$7:F$354" r="D355" sId="1"/>
    <undo index="65535" exp="area" ref3D="1" dr="$A$1:$AK$354" dn="Z_2C296388_EDB5_4F1F_B0F4_90EC07CCD947_.wvu.FilterData" sId="1"/>
    <undo index="65535" exp="area" ref3D="1" dr="$A$1:$AK$354" dn="Z_EA64E7D7_BA48_4965_B650_778AE412FE0C_.wvu.FilterData" sId="1"/>
    <undo index="65535" exp="area" ref3D="1" dr="$A$1:$AK$354" dn="Z_AD1D8E66_18A9_4CB7_BBE4_02F7E757257F_.wvu.FilterData" sId="1"/>
    <undo index="65535" exp="area" ref3D="1" dr="$A$1:$AK$354" dn="Z_A9B3B58E_F12B_4916_890B_7D88AA745B81_.wvu.FilterData" sId="1"/>
    <undo index="65535" exp="area" ref3D="1" dr="$A$1:$AK$354" dn="Z_747340EB_2B31_46D2_ACDE_4FA91E2B50F6_.wvu.FilterData" sId="1"/>
    <undo index="65535" exp="area" ref3D="1" dr="$A$1:$AK$354" dn="Z_8EDB8BF9_8BBB_4EEE_B4F0_C5928D0746DD_.wvu.FilterData" sId="1"/>
    <undo index="65535" exp="area" ref3D="1" dr="$A$1:$AK$354" dn="Z_BBF2EF6C_D4AD_46E1_803F_582F4D45F852_.wvu.FilterData" sId="1"/>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1" sqref="S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T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U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V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W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X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Y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Z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A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B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C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D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E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F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1" sqref="AG354"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border>
      </dxf>
    </rfmt>
    <rfmt sheetId="1" sqref="AH354" start="0" length="0">
      <dxf>
        <numFmt numFmtId="2" formatCode="0.00"/>
      </dxf>
    </rfmt>
    <rfmt sheetId="1" sqref="AI354" start="0" length="0">
      <dxf>
        <alignment vertical="top" wrapText="1"/>
      </dxf>
    </rfmt>
  </rrc>
  <rrc rId="398" sId="1" ref="A354:XFD354" action="deleteRow">
    <undo index="65535" exp="area" dr="AK354:AK361" r="AK362" sId="1"/>
    <undo index="65535" exp="area" dr="AJ354:AJ361" r="AJ362" sId="1"/>
    <undo index="65535" exp="area" dr="AI354:AI361" r="AI362" sId="1"/>
    <undo index="65535" exp="area" dr="AH354:AH361" r="AH362" sId="1"/>
    <undo index="65535" exp="area" dr="AG354:AG361" r="AG362" sId="1"/>
    <undo index="65535" exp="area" dr="AF354:AF361" r="AF362" sId="1"/>
    <undo index="65535" exp="area" dr="AE354:AE361" r="AE362" sId="1"/>
    <undo index="65535" exp="area" dr="AD354:AD361" r="AD362" sId="1"/>
    <undo index="65535" exp="area" dr="AC354:AC361" r="AC362" sId="1"/>
    <undo index="65535" exp="area" dr="AB354:AB361" r="AB362" sId="1"/>
    <undo index="65535" exp="area" dr="AA354:AA361" r="AA362" sId="1"/>
    <undo index="65535" exp="area" dr="Z354:Z361" r="Z362" sId="1"/>
    <undo index="65535" exp="area" dr="Y354:Y361" r="Y362" sId="1"/>
    <undo index="65535" exp="area" dr="X354:X361" r="X362" sId="1"/>
    <undo index="65535" exp="area" dr="W354:W361" r="W362" sId="1"/>
    <undo index="65535" exp="area" dr="V354:V361" r="V362" sId="1"/>
    <undo index="65535" exp="area" dr="U354:U361" r="U362" sId="1"/>
    <undo index="65535" exp="area" dr="T354:T361" r="T362" sId="1"/>
    <undo index="65535" exp="area" dr="S354:S361" r="S362" sId="1"/>
    <undo index="65535" exp="area" dr="D354:D361" r="D362" sId="1"/>
    <undo index="65535" exp="area" ref3D="1" dr="$H$1:$N$1048576" dn="Z_65B035E3_87FA_46C5_996E_864F2C8D0EBC_.wvu.Cols" sId="1"/>
    <rfmt sheetId="1" xfDxf="1" sqref="A354:XFD354" start="0" length="0">
      <dxf>
        <font>
          <b/>
        </font>
      </dxf>
    </rfmt>
    <rfmt sheetId="1" sqref="A354" start="0" length="0">
      <dxf>
        <font>
          <b val="0"/>
          <sz val="12"/>
        </font>
        <border outline="0">
          <left style="thin">
            <color indexed="64"/>
          </left>
          <right style="thin">
            <color indexed="64"/>
          </right>
          <top style="thin">
            <color indexed="64"/>
          </top>
          <bottom style="thin">
            <color indexed="64"/>
          </bottom>
        </border>
      </dxf>
    </rfmt>
    <rfmt sheetId="1" sqref="B354" start="0" length="0">
      <dxf>
        <font>
          <b val="0"/>
          <sz val="12"/>
        </font>
        <border outline="0">
          <left style="thin">
            <color indexed="64"/>
          </left>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IP1/2015</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399" sId="1" ref="A354:XFD354" action="deleteRow">
    <undo index="65535" exp="area" dr="AK354:AK360" r="AK361" sId="1"/>
    <undo index="65535" exp="area" dr="AJ354:AJ360" r="AJ361" sId="1"/>
    <undo index="65535" exp="area" dr="AI354:AI360" r="AI361" sId="1"/>
    <undo index="65535" exp="area" dr="AH354:AH360" r="AH361" sId="1"/>
    <undo index="65535" exp="area" dr="AG354:AG360" r="AG361" sId="1"/>
    <undo index="65535" exp="area" dr="AF354:AF360" r="AF361" sId="1"/>
    <undo index="65535" exp="area" dr="AE354:AE360" r="AE361" sId="1"/>
    <undo index="65535" exp="area" dr="AD354:AD360" r="AD361" sId="1"/>
    <undo index="65535" exp="area" dr="AC354:AC360" r="AC361" sId="1"/>
    <undo index="65535" exp="area" dr="AB354:AB360" r="AB361" sId="1"/>
    <undo index="65535" exp="area" dr="AA354:AA360" r="AA361" sId="1"/>
    <undo index="65535" exp="area" dr="Z354:Z360" r="Z361" sId="1"/>
    <undo index="65535" exp="area" dr="Y354:Y360" r="Y361" sId="1"/>
    <undo index="65535" exp="area" dr="X354:X360" r="X361" sId="1"/>
    <undo index="65535" exp="area" dr="W354:W360" r="W361" sId="1"/>
    <undo index="65535" exp="area" dr="V354:V360" r="V361" sId="1"/>
    <undo index="65535" exp="area" dr="U354:U360" r="U361" sId="1"/>
    <undo index="65535" exp="area" dr="T354:T360" r="T361" sId="1"/>
    <undo index="65535" exp="area" dr="S354:S360" r="S361" sId="1"/>
    <undo index="65535" exp="area" dr="D354:D360" r="D361" sId="1"/>
    <undo index="65535" exp="area" ref3D="1" dr="$H$1:$N$1048576" dn="Z_65B035E3_87FA_46C5_996E_864F2C8D0EBC_.wvu.Cols" sId="1"/>
    <rfmt sheetId="1" xfDxf="1" sqref="A354:XFD354" start="0" length="0">
      <dxf>
        <font>
          <b/>
          <sz val="12"/>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IP3/2016</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0" sId="1" ref="A354:XFD354" action="deleteRow">
    <undo index="65535" exp="area" dr="AK354:AK359" r="AK360" sId="1"/>
    <undo index="65535" exp="area" dr="AJ354:AJ359" r="AJ360" sId="1"/>
    <undo index="65535" exp="area" dr="AI354:AI359" r="AI360" sId="1"/>
    <undo index="65535" exp="area" dr="AH354:AH359" r="AH360" sId="1"/>
    <undo index="65535" exp="area" dr="AG354:AG359" r="AG360" sId="1"/>
    <undo index="65535" exp="area" dr="AF354:AF359" r="AF360" sId="1"/>
    <undo index="65535" exp="area" dr="AE354:AE359" r="AE360" sId="1"/>
    <undo index="65535" exp="area" dr="AD354:AD359" r="AD360" sId="1"/>
    <undo index="65535" exp="area" dr="AC354:AC359" r="AC360" sId="1"/>
    <undo index="65535" exp="area" dr="AB354:AB359" r="AB360" sId="1"/>
    <undo index="65535" exp="area" dr="AA354:AA359" r="AA360" sId="1"/>
    <undo index="65535" exp="area" dr="Z354:Z359" r="Z360" sId="1"/>
    <undo index="65535" exp="area" dr="Y354:Y359" r="Y360" sId="1"/>
    <undo index="65535" exp="area" dr="X354:X359" r="X360" sId="1"/>
    <undo index="65535" exp="area" dr="W354:W359" r="W360" sId="1"/>
    <undo index="65535" exp="area" dr="V354:V359" r="V360" sId="1"/>
    <undo index="65535" exp="area" dr="U354:U359" r="U360" sId="1"/>
    <undo index="65535" exp="area" dr="T354:T359" r="T360" sId="1"/>
    <undo index="65535" exp="area" dr="S354:S359" r="S360" sId="1"/>
    <undo index="65535" exp="area" dr="D354:D359" r="D360" sId="1"/>
    <undo index="65535" exp="area" ref3D="1" dr="$H$1:$N$1048576" dn="Z_65B035E3_87FA_46C5_996E_864F2C8D0EBC_.wvu.Cols" sId="1"/>
    <rfmt sheetId="1" xfDxf="1" sqref="A354:XFD354" start="0" length="0">
      <dxf>
        <font>
          <b/>
          <sz val="12"/>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IP5/2016</t>
        </is>
      </nc>
      <ndxf>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1" sId="1" ref="A354:XFD354" action="deleteRow">
    <undo index="65535" exp="area" dr="AK354:AK358" r="AK359" sId="1"/>
    <undo index="65535" exp="area" dr="AJ354:AJ358" r="AJ359" sId="1"/>
    <undo index="65535" exp="area" dr="AI354:AI358" r="AI359" sId="1"/>
    <undo index="65535" exp="area" dr="AH354:AH358" r="AH359" sId="1"/>
    <undo index="65535" exp="area" dr="AG354:AG358" r="AG359" sId="1"/>
    <undo index="65535" exp="area" dr="AF354:AF358" r="AF359" sId="1"/>
    <undo index="65535" exp="area" dr="AE354:AE358" r="AE359" sId="1"/>
    <undo index="65535" exp="area" dr="AD354:AD358" r="AD359" sId="1"/>
    <undo index="65535" exp="area" dr="AC354:AC358" r="AC359" sId="1"/>
    <undo index="65535" exp="area" dr="AB354:AB358" r="AB359" sId="1"/>
    <undo index="65535" exp="area" dr="AA354:AA358" r="AA359" sId="1"/>
    <undo index="65535" exp="area" dr="Z354:Z358" r="Z359" sId="1"/>
    <undo index="65535" exp="area" dr="Y354:Y358" r="Y359" sId="1"/>
    <undo index="65535" exp="area" dr="X354:X358" r="X359" sId="1"/>
    <undo index="65535" exp="area" dr="W354:W358" r="W359" sId="1"/>
    <undo index="65535" exp="area" dr="V354:V358" r="V359" sId="1"/>
    <undo index="65535" exp="area" dr="U354:U358" r="U359" sId="1"/>
    <undo index="65535" exp="area" dr="T354:T358" r="T359" sId="1"/>
    <undo index="65535" exp="area" dr="S354:S358" r="S359" sId="1"/>
    <undo index="65535" exp="area" dr="D354:D358" r="D359"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COUNTIFS(F$166:F$353,$F354)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IP4/2016</t>
        </is>
      </nc>
      <ndxf>
        <font>
          <sz val="12"/>
        </font>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2" sId="1" ref="A354:XFD354" action="deleteRow">
    <undo index="65535" exp="area" dr="AK354:AK357" r="AK358" sId="1"/>
    <undo index="65535" exp="area" dr="AJ354:AJ357" r="AJ358" sId="1"/>
    <undo index="65535" exp="area" dr="AI354:AI357" r="AI358" sId="1"/>
    <undo index="65535" exp="area" dr="AH354:AH357" r="AH358" sId="1"/>
    <undo index="65535" exp="area" dr="AG354:AG357" r="AG358" sId="1"/>
    <undo index="65535" exp="area" dr="AF354:AF357" r="AF358" sId="1"/>
    <undo index="65535" exp="area" dr="AE354:AE357" r="AE358" sId="1"/>
    <undo index="65535" exp="area" dr="AD354:AD357" r="AD358" sId="1"/>
    <undo index="65535" exp="area" dr="AC354:AC357" r="AC358" sId="1"/>
    <undo index="65535" exp="area" dr="AB354:AB357" r="AB358" sId="1"/>
    <undo index="65535" exp="area" dr="AA354:AA357" r="AA358" sId="1"/>
    <undo index="65535" exp="area" dr="Z354:Z357" r="Z358" sId="1"/>
    <undo index="65535" exp="area" dr="Y354:Y357" r="Y358" sId="1"/>
    <undo index="65535" exp="area" dr="X354:X357" r="X358" sId="1"/>
    <undo index="65535" exp="area" dr="W354:W357" r="W358" sId="1"/>
    <undo index="65535" exp="area" dr="V354:V357" r="V358" sId="1"/>
    <undo index="65535" exp="area" dr="U354:U357" r="U358" sId="1"/>
    <undo index="65535" exp="area" dr="T354:T357" r="T358" sId="1"/>
    <undo index="65535" exp="area" dr="S354:S357" r="S358" sId="1"/>
    <undo index="65535" exp="area" dr="D354:D357" r="D358"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IP6/2016</t>
        </is>
      </nc>
      <ndxf>
        <font>
          <sz val="12"/>
        </font>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3" sId="1" ref="A354:XFD354" action="deleteRow">
    <undo index="65535" exp="area" dr="AK354:AK356" r="AK357" sId="1"/>
    <undo index="65535" exp="area" dr="AJ354:AJ356" r="AJ357" sId="1"/>
    <undo index="65535" exp="area" dr="AI354:AI356" r="AI357" sId="1"/>
    <undo index="65535" exp="area" dr="AH354:AH356" r="AH357" sId="1"/>
    <undo index="65535" exp="area" dr="AG354:AG356" r="AG357" sId="1"/>
    <undo index="65535" exp="area" dr="AF354:AF356" r="AF357" sId="1"/>
    <undo index="65535" exp="area" dr="AE354:AE356" r="AE357" sId="1"/>
    <undo index="65535" exp="area" dr="AD354:AD356" r="AD357" sId="1"/>
    <undo index="65535" exp="area" dr="AC354:AC356" r="AC357" sId="1"/>
    <undo index="65535" exp="area" dr="AB354:AB356" r="AB357" sId="1"/>
    <undo index="65535" exp="area" dr="AA354:AA356" r="AA357" sId="1"/>
    <undo index="65535" exp="area" dr="Z354:Z356" r="Z357" sId="1"/>
    <undo index="65535" exp="area" dr="Y354:Y356" r="Y357" sId="1"/>
    <undo index="65535" exp="area" dr="X354:X356" r="X357" sId="1"/>
    <undo index="65535" exp="area" dr="W354:W356" r="W357" sId="1"/>
    <undo index="65535" exp="area" dr="V354:V356" r="V357" sId="1"/>
    <undo index="65535" exp="area" dr="U354:U356" r="U357" sId="1"/>
    <undo index="65535" exp="area" dr="T354:T356" r="T357" sId="1"/>
    <undo index="65535" exp="area" dr="S354:S356" r="S357" sId="1"/>
    <undo index="65535" exp="area" dr="D354:D356" r="D357"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 2/2017 (MySMIS: POCA/111/1/1)</t>
        </is>
      </nc>
      <ndxf>
        <font>
          <sz val="12"/>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4" sId="1" ref="A354:XFD354" action="deleteRow">
    <undo index="65535" exp="area" dr="AK354:AK355" r="AK356" sId="1"/>
    <undo index="65535" exp="area" dr="AJ354:AJ355" r="AJ356" sId="1"/>
    <undo index="65535" exp="area" dr="AI354:AI355" r="AI356" sId="1"/>
    <undo index="65535" exp="area" dr="AH354:AH355" r="AH356" sId="1"/>
    <undo index="65535" exp="area" dr="AG354:AG355" r="AG356" sId="1"/>
    <undo index="65535" exp="area" dr="AF354:AF355" r="AF356" sId="1"/>
    <undo index="65535" exp="area" dr="AE354:AE355" r="AE356" sId="1"/>
    <undo index="65535" exp="area" dr="AD354:AD355" r="AD356" sId="1"/>
    <undo index="65535" exp="area" dr="AC354:AC355" r="AC356" sId="1"/>
    <undo index="65535" exp="area" dr="AB354:AB355" r="AB356" sId="1"/>
    <undo index="65535" exp="area" dr="AA354:AA355" r="AA356" sId="1"/>
    <undo index="65535" exp="area" dr="Z354:Z355" r="Z356" sId="1"/>
    <undo index="65535" exp="area" dr="Y354:Y355" r="Y356" sId="1"/>
    <undo index="65535" exp="area" dr="X354:X355" r="X356" sId="1"/>
    <undo index="65535" exp="area" dr="W354:W355" r="W356" sId="1"/>
    <undo index="65535" exp="area" dr="V354:V355" r="V356" sId="1"/>
    <undo index="65535" exp="area" dr="U354:U355" r="U356" sId="1"/>
    <undo index="65535" exp="area" dr="T354:T355" r="T356" sId="1"/>
    <undo index="65535" exp="area" dr="S354:S355" r="S356" sId="1"/>
    <undo index="65535" exp="area" dr="D354:D355" r="D356"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IP8/2017 (MySMIS:
POCA/129/1/1)</t>
        </is>
      </nc>
      <ndxf>
        <font>
          <sz val="12"/>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5" sId="1" ref="A354:XFD354" action="deleteRow">
    <undo index="65535" exp="area" dr="AK354" r="AK355" sId="1"/>
    <undo index="65535" exp="area" dr="AJ354" r="AJ355" sId="1"/>
    <undo index="65535" exp="area" dr="AI354" r="AI355" sId="1"/>
    <undo index="65535" exp="area" dr="AH354" r="AH355" sId="1"/>
    <undo index="65535" exp="area" dr="AG354" r="AG355" sId="1"/>
    <undo index="65535" exp="area" dr="AF354" r="AF355" sId="1"/>
    <undo index="65535" exp="area" dr="AE354" r="AE355" sId="1"/>
    <undo index="65535" exp="area" dr="AD354" r="AD355" sId="1"/>
    <undo index="65535" exp="area" dr="AC354" r="AC355" sId="1"/>
    <undo index="65535" exp="area" dr="AB354" r="AB355" sId="1"/>
    <undo index="65535" exp="area" dr="AA354" r="AA355" sId="1"/>
    <undo index="65535" exp="area" dr="Z354" r="Z355" sId="1"/>
    <undo index="65535" exp="area" dr="Y354" r="Y355" sId="1"/>
    <undo index="65535" exp="area" dr="X354" r="X355" sId="1"/>
    <undo index="65535" exp="area" dr="W354" r="W355" sId="1"/>
    <undo index="65535" exp="area" dr="V354" r="V355" sId="1"/>
    <undo index="65535" exp="area" dr="U354" r="U355" sId="1"/>
    <undo index="65535" exp="area" dr="T354" r="T355" sId="1"/>
    <undo index="65535" exp="area" dr="S354" r="S355" sId="1"/>
    <undo index="65535" exp="area" dr="D354" r="D355"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IP12/2018
(MySMIS: 
POCA/ 399/1/1)</t>
        </is>
      </nc>
      <ndxf>
        <font>
          <sz val="12"/>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6" sId="1" ref="A354:XFD354" action="deleteRow">
    <undo index="0" exp="ref" v="1" dr="AK354" r="AK372" sId="1"/>
    <undo index="0" exp="ref" v="1" dr="AJ354" r="AJ372" sId="1"/>
    <undo index="0" exp="ref" v="1" dr="AI354" r="AI372" sId="1"/>
    <undo index="0" exp="ref" v="1" dr="AH354" r="AH372" sId="1"/>
    <undo index="0" exp="ref" v="1" dr="AG354" r="AG372" sId="1"/>
    <undo index="0" exp="ref" v="1" dr="AF354" r="AF372" sId="1"/>
    <undo index="0" exp="ref" v="1" dr="AE354" r="AE372" sId="1"/>
    <undo index="0" exp="ref" v="1" dr="AD354" r="AD372" sId="1"/>
    <undo index="0" exp="ref" v="1" dr="AC354" r="AC372" sId="1"/>
    <undo index="0" exp="ref" v="1" dr="AB354" r="AB372" sId="1"/>
    <undo index="0" exp="ref" v="1" dr="AA354" r="AA372" sId="1"/>
    <undo index="0" exp="ref" v="1" dr="Z354" r="Z372" sId="1"/>
    <undo index="0" exp="ref" v="1" dr="Y354" r="Y372" sId="1"/>
    <undo index="0" exp="ref" v="1" dr="X354" r="X372" sId="1"/>
    <undo index="0" exp="ref" v="1" dr="W354" r="W372" sId="1"/>
    <undo index="0" exp="ref" v="1" dr="V354" r="V372" sId="1"/>
    <undo index="0" exp="ref" v="1" dr="U354" r="U372" sId="1"/>
    <undo index="0" exp="ref" v="1" dr="T354" r="T372" sId="1"/>
    <undo index="0" exp="ref" v="1" dr="S354" r="S372" sId="1"/>
    <undo index="65535" exp="ref" v="1" dr="D354" r="D372"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numFmt numFmtId="4" formatCode="#,##0.00"/>
        <alignment horizontal="center" vertical="center" wrapText="1"/>
        <border outline="0">
          <left style="thin">
            <color indexed="64"/>
          </left>
          <right style="thin">
            <color indexed="64"/>
          </right>
          <top style="thin">
            <color indexed="64"/>
          </top>
          <bottom style="thin">
            <color indexed="64"/>
          </bottom>
        </border>
      </dxf>
    </rfmt>
    <rcc rId="0" sId="1" dxf="1">
      <nc r="D354">
        <f>SUM(#REF!)</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 AXA 1</t>
        </is>
      </nc>
      <ndxf>
        <font>
          <sz val="12"/>
          <color auto="1"/>
        </font>
        <alignment horizontal="center" vertical="center" wrapText="1"/>
        <border outline="0">
          <left style="thin">
            <color indexed="64"/>
          </left>
          <right style="thin">
            <color indexed="64"/>
          </right>
          <top style="thin">
            <color indexed="64"/>
          </top>
          <bottom style="thin">
            <color indexed="64"/>
          </bottom>
        </border>
      </ndxf>
    </rcc>
    <rfmt sheetId="1" sqref="F354" start="0" length="0">
      <dxf>
        <font>
          <sz val="12"/>
        </font>
        <alignment horizontal="left" vertical="center"/>
        <border outline="0">
          <left style="thin">
            <color indexed="64"/>
          </left>
          <right style="thin">
            <color indexed="64"/>
          </right>
          <top style="thin">
            <color indexed="64"/>
          </top>
          <bottom style="thin">
            <color indexed="64"/>
          </bottom>
        </border>
      </dxf>
    </rfmt>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H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I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J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7" sId="1" ref="A354:XFD354" action="deleteRow">
    <undo index="65535" exp="area" dr="AK354:AK368" r="AK369" sId="1"/>
    <undo index="65535" exp="area" dr="AJ354:AJ368" r="AJ369" sId="1"/>
    <undo index="65535" exp="area" dr="AI354:AI368" r="AI369" sId="1"/>
    <undo index="65535" exp="area" dr="AH354:AH368" r="AH369" sId="1"/>
    <undo index="65535" exp="area" dr="AG354:AG368" r="AG369" sId="1"/>
    <undo index="65535" exp="area" dr="AF354:AF368" r="AF369" sId="1"/>
    <undo index="65535" exp="area" dr="AE354:AE368" r="AE369" sId="1"/>
    <undo index="65535" exp="area" dr="AD354:AD368" r="AD369" sId="1"/>
    <undo index="65535" exp="area" dr="AC354:AC368" r="AC369" sId="1"/>
    <undo index="65535" exp="area" dr="AB354:AB368" r="AB369" sId="1"/>
    <undo index="65535" exp="area" dr="AA354:AA368" r="AA369" sId="1"/>
    <undo index="65535" exp="area" dr="Z354:Z368" r="Z369" sId="1"/>
    <undo index="65535" exp="area" dr="Y354:Y368" r="Y369" sId="1"/>
    <undo index="65535" exp="area" dr="X354:X368" r="X369" sId="1"/>
    <undo index="65535" exp="area" dr="W354:W368" r="W369" sId="1"/>
    <undo index="65535" exp="area" dr="V354:V368" r="V369" sId="1"/>
    <undo index="65535" exp="area" dr="U354:U368" r="U369" sId="1"/>
    <undo index="65535" exp="area" dr="T354:T368" r="T369" sId="1"/>
    <undo index="65535" exp="area" dr="S354:S368" r="S369" sId="1"/>
    <undo index="65535" exp="area" dr="D354:D368" r="D369"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IP2/2015</t>
        </is>
      </nc>
      <ndxf>
        <font>
          <sz val="12"/>
        </font>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8" sId="1" ref="A354:XFD354" action="deleteRow">
    <undo index="65535" exp="area" dr="AK354:AK367" r="AK368" sId="1"/>
    <undo index="65535" exp="area" dr="AJ354:AJ367" r="AJ368" sId="1"/>
    <undo index="65535" exp="area" dr="AI354:AI367" r="AI368" sId="1"/>
    <undo index="65535" exp="area" dr="AH354:AH367" r="AH368" sId="1"/>
    <undo index="65535" exp="area" dr="AG354:AG367" r="AG368" sId="1"/>
    <undo index="65535" exp="area" dr="AF354:AF367" r="AF368" sId="1"/>
    <undo index="65535" exp="area" dr="AE354:AE367" r="AE368" sId="1"/>
    <undo index="65535" exp="area" dr="AD354:AD367" r="AD368" sId="1"/>
    <undo index="65535" exp="area" dr="AC354:AC367" r="AC368" sId="1"/>
    <undo index="65535" exp="area" dr="AB354:AB367" r="AB368" sId="1"/>
    <undo index="65535" exp="area" dr="AA354:AA367" r="AA368" sId="1"/>
    <undo index="65535" exp="area" dr="Z354:Z367" r="Z368" sId="1"/>
    <undo index="65535" exp="area" dr="Y354:Y367" r="Y368" sId="1"/>
    <undo index="65535" exp="area" dr="X354:X367" r="X368" sId="1"/>
    <undo index="65535" exp="area" dr="W354:W367" r="W368" sId="1"/>
    <undo index="65535" exp="area" dr="V354:V367" r="V368" sId="1"/>
    <undo index="65535" exp="area" dr="U354:U367" r="U368" sId="1"/>
    <undo index="65535" exp="area" dr="T354:T367" r="T368" sId="1"/>
    <undo index="65535" exp="area" dr="S354:S367" r="S368" sId="1"/>
    <undo index="65535" exp="area" dr="D354:D367" r="D368"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IP7/2017</t>
        </is>
      </nc>
      <ndxf>
        <font>
          <sz val="12"/>
        </font>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umFmtId="4">
      <nc r="AK354">
        <v>116391.22</v>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09" sId="1" ref="A354:XFD354" action="deleteRow">
    <undo index="65535" exp="area" dr="AK354:AK366" r="AK367" sId="1"/>
    <undo index="65535" exp="area" dr="AJ354:AJ366" r="AJ367" sId="1"/>
    <undo index="65535" exp="area" dr="AI354:AI366" r="AI367" sId="1"/>
    <undo index="65535" exp="area" dr="AH354:AH366" r="AH367" sId="1"/>
    <undo index="65535" exp="area" dr="AG354:AG366" r="AG367" sId="1"/>
    <undo index="65535" exp="area" dr="AF354:AF366" r="AF367" sId="1"/>
    <undo index="65535" exp="area" dr="AE354:AE366" r="AE367" sId="1"/>
    <undo index="65535" exp="area" dr="AD354:AD366" r="AD367" sId="1"/>
    <undo index="65535" exp="area" dr="AC354:AC366" r="AC367" sId="1"/>
    <undo index="65535" exp="area" dr="AB354:AB366" r="AB367" sId="1"/>
    <undo index="65535" exp="area" dr="AA354:AA366" r="AA367" sId="1"/>
    <undo index="65535" exp="area" dr="Z354:Z366" r="Z367" sId="1"/>
    <undo index="65535" exp="area" dr="Y354:Y366" r="Y367" sId="1"/>
    <undo index="65535" exp="area" dr="X354:X366" r="X367" sId="1"/>
    <undo index="65535" exp="area" dr="W354:W366" r="W367" sId="1"/>
    <undo index="65535" exp="area" dr="V354:V366" r="V367" sId="1"/>
    <undo index="65535" exp="area" dr="U354:U366" r="U367" sId="1"/>
    <undo index="65535" exp="area" dr="T354:T366" r="T367" sId="1"/>
    <undo index="65535" exp="area" dr="S354:S366" r="S367" sId="1"/>
    <undo index="65535" exp="area" dr="D354:D366" r="D367"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CP4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0" sId="1" ref="A354:XFD354" action="deleteRow">
    <undo index="65535" exp="area" dr="AK354:AK365" r="AK366" sId="1"/>
    <undo index="65535" exp="area" dr="AJ354:AJ365" r="AJ366" sId="1"/>
    <undo index="65535" exp="area" dr="AI354:AI365" r="AI366" sId="1"/>
    <undo index="65535" exp="area" dr="AH354:AH365" r="AH366" sId="1"/>
    <undo index="65535" exp="area" dr="AG354:AG365" r="AG366" sId="1"/>
    <undo index="65535" exp="area" dr="AF354:AF365" r="AF366" sId="1"/>
    <undo index="65535" exp="area" dr="AE354:AE365" r="AE366" sId="1"/>
    <undo index="65535" exp="area" dr="AD354:AD365" r="AD366" sId="1"/>
    <undo index="65535" exp="area" dr="AC354:AC365" r="AC366" sId="1"/>
    <undo index="65535" exp="area" dr="AB354:AB365" r="AB366" sId="1"/>
    <undo index="65535" exp="area" dr="AA354:AA365" r="AA366" sId="1"/>
    <undo index="65535" exp="area" dr="Z354:Z365" r="Z366" sId="1"/>
    <undo index="65535" exp="area" dr="Y354:Y365" r="Y366" sId="1"/>
    <undo index="65535" exp="area" dr="X354:X365" r="X366" sId="1"/>
    <undo index="65535" exp="area" dr="W354:W365" r="W366" sId="1"/>
    <undo index="65535" exp="area" dr="V354:V365" r="V366" sId="1"/>
    <undo index="65535" exp="area" dr="U354:U365" r="U366" sId="1"/>
    <undo index="65535" exp="area" dr="T354:T365" r="T366" sId="1"/>
    <undo index="65535" exp="area" dr="S354:S365" r="S366" sId="1"/>
    <undo index="65535" exp="area" dr="D354:D365" r="D366"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CP4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1" sId="1" ref="A354:XFD354" action="deleteRow">
    <undo index="65535" exp="area" dr="AK354:AK364" r="AK365" sId="1"/>
    <undo index="65535" exp="area" dr="AJ354:AJ364" r="AJ365" sId="1"/>
    <undo index="65535" exp="area" dr="AI354:AI364" r="AI365" sId="1"/>
    <undo index="65535" exp="area" dr="AH354:AH364" r="AH365" sId="1"/>
    <undo index="65535" exp="area" dr="AG354:AG364" r="AG365" sId="1"/>
    <undo index="65535" exp="area" dr="AF354:AF364" r="AF365" sId="1"/>
    <undo index="65535" exp="area" dr="AE354:AE364" r="AE365" sId="1"/>
    <undo index="65535" exp="area" dr="AD354:AD364" r="AD365" sId="1"/>
    <undo index="65535" exp="area" dr="AC354:AC364" r="AC365" sId="1"/>
    <undo index="65535" exp="area" dr="AB354:AB364" r="AB365" sId="1"/>
    <undo index="65535" exp="area" dr="AA354:AA364" r="AA365" sId="1"/>
    <undo index="65535" exp="area" dr="Z354:Z364" r="Z365" sId="1"/>
    <undo index="65535" exp="area" dr="Y354:Y364" r="Y365" sId="1"/>
    <undo index="65535" exp="area" dr="X354:X364" r="X365" sId="1"/>
    <undo index="65535" exp="area" dr="W354:W364" r="W365" sId="1"/>
    <undo index="65535" exp="area" dr="V354:V364" r="V365" sId="1"/>
    <undo index="65535" exp="area" dr="U354:U364" r="U365" sId="1"/>
    <undo index="65535" exp="area" dr="T354:T364" r="T365" sId="1"/>
    <undo index="65535" exp="area" dr="S354:S364" r="S365" sId="1"/>
    <undo index="65535" exp="area" dr="D354:D364" r="D365"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CP6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2" sId="1" ref="A354:XFD354" action="deleteRow">
    <undo index="65535" exp="area" dr="AK354:AK363" r="AK364" sId="1"/>
    <undo index="65535" exp="area" dr="AJ354:AJ363" r="AJ364" sId="1"/>
    <undo index="65535" exp="area" dr="AI354:AI363" r="AI364" sId="1"/>
    <undo index="65535" exp="area" dr="AH354:AH363" r="AH364" sId="1"/>
    <undo index="65535" exp="area" dr="AG354:AG363" r="AG364" sId="1"/>
    <undo index="65535" exp="area" dr="AF354:AF363" r="AF364" sId="1"/>
    <undo index="65535" exp="area" dr="AE354:AE363" r="AE364" sId="1"/>
    <undo index="65535" exp="area" dr="AD354:AD363" r="AD364" sId="1"/>
    <undo index="65535" exp="area" dr="AC354:AC363" r="AC364" sId="1"/>
    <undo index="65535" exp="area" dr="AB354:AB363" r="AB364" sId="1"/>
    <undo index="65535" exp="area" dr="AA354:AA363" r="AA364" sId="1"/>
    <undo index="65535" exp="area" dr="Z354:Z363" r="Z364" sId="1"/>
    <undo index="65535" exp="area" dr="Y354:Y363" r="Y364" sId="1"/>
    <undo index="65535" exp="area" dr="X354:X363" r="X364" sId="1"/>
    <undo index="65535" exp="area" dr="W354:W363" r="W364" sId="1"/>
    <undo index="65535" exp="area" dr="V354:V363" r="V364" sId="1"/>
    <undo index="65535" exp="area" dr="U354:U363" r="U364" sId="1"/>
    <undo index="65535" exp="area" dr="T354:T363" r="T364" sId="1"/>
    <undo index="65535" exp="area" dr="S354:S363" r="S364" sId="1"/>
    <undo index="65535" exp="area" dr="D354:D363" r="D364"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CP6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3" sId="1" ref="A354:XFD354" action="deleteRow">
    <undo index="65535" exp="area" dr="AK354:AK362" r="AK363" sId="1"/>
    <undo index="65535" exp="area" dr="AJ354:AJ362" r="AJ363" sId="1"/>
    <undo index="65535" exp="area" dr="AI354:AI362" r="AI363" sId="1"/>
    <undo index="65535" exp="area" dr="AH354:AH362" r="AH363" sId="1"/>
    <undo index="65535" exp="area" dr="AG354:AG362" r="AG363" sId="1"/>
    <undo index="65535" exp="area" dr="AF354:AF362" r="AF363" sId="1"/>
    <undo index="65535" exp="area" dr="AE354:AE362" r="AE363" sId="1"/>
    <undo index="65535" exp="area" dr="AD354:AD362" r="AD363" sId="1"/>
    <undo index="65535" exp="area" dr="AC354:AC362" r="AC363" sId="1"/>
    <undo index="65535" exp="area" dr="AB354:AB362" r="AB363" sId="1"/>
    <undo index="65535" exp="area" dr="AA354:AA362" r="AA363" sId="1"/>
    <undo index="65535" exp="area" dr="Z354:Z362" r="Z363" sId="1"/>
    <undo index="65535" exp="area" dr="Y354:Y362" r="Y363" sId="1"/>
    <undo index="65535" exp="area" dr="X354:X362" r="X363" sId="1"/>
    <undo index="65535" exp="area" dr="W354:W362" r="W363" sId="1"/>
    <undo index="65535" exp="area" dr="V354:V362" r="V363" sId="1"/>
    <undo index="65535" exp="area" dr="U354:U362" r="U363" sId="1"/>
    <undo index="65535" exp="area" dr="T354:T362" r="T363" sId="1"/>
    <undo index="65535" exp="area" dr="S354:S362" r="S363" sId="1"/>
    <undo index="65535" exp="area" dr="D354:D362" r="D363"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CP1 less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4" sId="1" ref="A354:XFD354" action="deleteRow">
    <undo index="65535" exp="area" dr="AK354:AK361" r="AK362" sId="1"/>
    <undo index="65535" exp="area" dr="AJ354:AJ361" r="AJ362" sId="1"/>
    <undo index="65535" exp="area" dr="AI354:AI361" r="AI362" sId="1"/>
    <undo index="65535" exp="area" dr="AH354:AH361" r="AH362" sId="1"/>
    <undo index="65535" exp="area" dr="AG354:AG361" r="AG362" sId="1"/>
    <undo index="65535" exp="area" dr="AF354:AF361" r="AF362" sId="1"/>
    <undo index="65535" exp="area" dr="AE354:AE361" r="AE362" sId="1"/>
    <undo index="65535" exp="area" dr="AD354:AD361" r="AD362" sId="1"/>
    <undo index="65535" exp="area" dr="AC354:AC361" r="AC362" sId="1"/>
    <undo index="65535" exp="area" dr="AB354:AB361" r="AB362" sId="1"/>
    <undo index="65535" exp="area" dr="AA354:AA361" r="AA362" sId="1"/>
    <undo index="65535" exp="area" dr="Z354:Z361" r="Z362" sId="1"/>
    <undo index="65535" exp="area" dr="Y354:Y361" r="Y362" sId="1"/>
    <undo index="65535" exp="area" dr="X354:X361" r="X362" sId="1"/>
    <undo index="65535" exp="area" dr="W354:W361" r="W362" sId="1"/>
    <undo index="65535" exp="area" dr="V354:V361" r="V362" sId="1"/>
    <undo index="65535" exp="area" dr="U354:U361" r="U362" sId="1"/>
    <undo index="65535" exp="area" dr="T354:T361" r="T362" sId="1"/>
    <undo index="65535" exp="area" dr="S354:S361" r="S362" sId="1"/>
    <undo index="65535" exp="area" dr="D354:D361" r="D362"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CP1 more /2017</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5" sId="1" ref="A354:XFD354" action="deleteRow">
    <undo index="65535" exp="area" dr="AK354:AK360" r="AK361" sId="1"/>
    <undo index="65535" exp="area" dr="AJ354:AJ360" r="AJ361" sId="1"/>
    <undo index="65535" exp="area" dr="AI354:AI360" r="AI361" sId="1"/>
    <undo index="65535" exp="area" dr="AH354:AH360" r="AH361" sId="1"/>
    <undo index="65535" exp="area" dr="AG354:AG360" r="AG361" sId="1"/>
    <undo index="65535" exp="area" dr="AF354:AF360" r="AF361" sId="1"/>
    <undo index="65535" exp="area" dr="AE354:AE360" r="AE361" sId="1"/>
    <undo index="65535" exp="area" dr="AD354:AD360" r="AD361" sId="1"/>
    <undo index="65535" exp="area" dr="AC354:AC360" r="AC361" sId="1"/>
    <undo index="65535" exp="area" dr="AB354:AB360" r="AB361" sId="1"/>
    <undo index="65535" exp="area" dr="AA354:AA360" r="AA361" sId="1"/>
    <undo index="65535" exp="area" dr="Z354:Z360" r="Z361" sId="1"/>
    <undo index="65535" exp="area" dr="Y354:Y360" r="Y361" sId="1"/>
    <undo index="65535" exp="area" dr="X354:X360" r="X361" sId="1"/>
    <undo index="65535" exp="area" dr="W354:W360" r="W361" sId="1"/>
    <undo index="65535" exp="area" dr="V354:V360" r="V361" sId="1"/>
    <undo index="65535" exp="area" dr="U354:U360" r="U361" sId="1"/>
    <undo index="65535" exp="area" dr="T354:T360" r="T361" sId="1"/>
    <undo index="65535" exp="area" dr="S354:S360" r="S361" sId="1"/>
    <undo index="65535" exp="area" dr="D354:D360" r="D361"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CP8 less /2018</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6" sId="1" ref="A354:XFD354" action="deleteRow">
    <undo index="65535" exp="area" dr="AK354:AK359" r="AK360" sId="1"/>
    <undo index="65535" exp="area" dr="AJ354:AJ359" r="AJ360" sId="1"/>
    <undo index="65535" exp="area" dr="AI354:AI359" r="AI360" sId="1"/>
    <undo index="65535" exp="area" dr="AH354:AH359" r="AH360" sId="1"/>
    <undo index="65535" exp="area" dr="AG354:AG359" r="AG360" sId="1"/>
    <undo index="65535" exp="area" dr="AF354:AF359" r="AF360" sId="1"/>
    <undo index="65535" exp="area" dr="AE354:AE359" r="AE360" sId="1"/>
    <undo index="65535" exp="area" dr="AD354:AD359" r="AD360" sId="1"/>
    <undo index="65535" exp="area" dr="AC354:AC359" r="AC360" sId="1"/>
    <undo index="65535" exp="area" dr="AB354:AB359" r="AB360" sId="1"/>
    <undo index="65535" exp="area" dr="AA354:AA359" r="AA360" sId="1"/>
    <undo index="65535" exp="area" dr="Z354:Z359" r="Z360" sId="1"/>
    <undo index="65535" exp="area" dr="Y354:Y359" r="Y360" sId="1"/>
    <undo index="65535" exp="area" dr="X354:X359" r="X360" sId="1"/>
    <undo index="65535" exp="area" dr="W354:W359" r="W360" sId="1"/>
    <undo index="65535" exp="area" dr="V354:V359" r="V360" sId="1"/>
    <undo index="65535" exp="area" dr="U354:U359" r="U360" sId="1"/>
    <undo index="65535" exp="area" dr="T354:T359" r="T360" sId="1"/>
    <undo index="65535" exp="area" dr="S354:S359" r="S360" sId="1"/>
    <undo index="65535" exp="area" dr="D354:D359" r="D360"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CP10 less /2018</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7" sId="1" ref="A354:XFD354" action="deleteRow">
    <undo index="65535" exp="area" dr="AK354:AK358" r="AK359" sId="1"/>
    <undo index="65535" exp="area" dr="AJ354:AJ358" r="AJ359" sId="1"/>
    <undo index="65535" exp="area" dr="AI354:AI358" r="AI359" sId="1"/>
    <undo index="65535" exp="area" dr="AH354:AH358" r="AH359" sId="1"/>
    <undo index="65535" exp="area" dr="AG354:AG358" r="AG359" sId="1"/>
    <undo index="65535" exp="area" dr="AF354:AF358" r="AF359" sId="1"/>
    <undo index="65535" exp="area" dr="AE354:AE358" r="AE359" sId="1"/>
    <undo index="65535" exp="area" dr="AD354:AD358" r="AD359" sId="1"/>
    <undo index="65535" exp="area" dr="AC354:AC358" r="AC359" sId="1"/>
    <undo index="65535" exp="area" dr="AB354:AB358" r="AB359" sId="1"/>
    <undo index="65535" exp="area" dr="AA354:AA358" r="AA359" sId="1"/>
    <undo index="65535" exp="area" dr="Z354:Z358" r="Z359" sId="1"/>
    <undo index="65535" exp="area" dr="Y354:Y358" r="Y359" sId="1"/>
    <undo index="65535" exp="area" dr="X354:X358" r="X359" sId="1"/>
    <undo index="65535" exp="area" dr="W354:W358" r="W359" sId="1"/>
    <undo index="65535" exp="area" dr="V354:V358" r="V359" sId="1"/>
    <undo index="65535" exp="area" dr="U354:U358" r="U359" sId="1"/>
    <undo index="65535" exp="area" dr="T354:T358" r="T359" sId="1"/>
    <undo index="65535" exp="area" dr="S354:S358" r="S359" sId="1"/>
    <undo index="65535" exp="area" dr="D354:D358" r="D359"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CP10 more/2018</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8" sId="1" ref="A354:XFD354" action="deleteRow">
    <undo index="65535" exp="area" dr="AK354:AK357" r="AK358" sId="1"/>
    <undo index="65535" exp="area" dr="AJ354:AJ357" r="AJ358" sId="1"/>
    <undo index="65535" exp="area" dr="AI354:AI357" r="AI358" sId="1"/>
    <undo index="65535" exp="area" dr="AH354:AH357" r="AH358" sId="1"/>
    <undo index="65535" exp="area" dr="AG354:AG357" r="AG358" sId="1"/>
    <undo index="65535" exp="area" dr="AF354:AF357" r="AF358" sId="1"/>
    <undo index="65535" exp="area" dr="AE354:AE357" r="AE358" sId="1"/>
    <undo index="65535" exp="area" dr="AD354:AD357" r="AD358" sId="1"/>
    <undo index="65535" exp="area" dr="AC354:AC357" r="AC358" sId="1"/>
    <undo index="65535" exp="area" dr="AB354:AB357" r="AB358" sId="1"/>
    <undo index="65535" exp="area" dr="AA354:AA357" r="AA358" sId="1"/>
    <undo index="65535" exp="area" dr="Z354:Z357" r="Z358" sId="1"/>
    <undo index="65535" exp="area" dr="Y354:Y357" r="Y358" sId="1"/>
    <undo index="65535" exp="area" dr="X354:X357" r="X358" sId="1"/>
    <undo index="65535" exp="area" dr="W354:W357" r="W358" sId="1"/>
    <undo index="65535" exp="area" dr="V354:V357" r="V358" sId="1"/>
    <undo index="65535" exp="area" dr="U354:U357" r="U358" sId="1"/>
    <undo index="65535" exp="area" dr="T354:T357" r="T358" sId="1"/>
    <undo index="65535" exp="area" dr="S354:S357" r="S358" sId="1"/>
    <undo index="65535" exp="area" dr="D354:D357" r="D358"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 5/2017 (MySMIS: POCA/130/2/2)</t>
        </is>
      </nc>
      <ndxf>
        <font>
          <sz val="12"/>
        </font>
        <alignmen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19" sId="1" ref="A354:XFD354" action="deleteRow">
    <undo index="65535" exp="area" dr="AK354:AK356" r="AK357" sId="1"/>
    <undo index="65535" exp="area" dr="AJ354:AJ356" r="AJ357" sId="1"/>
    <undo index="65535" exp="area" dr="AI354:AI356" r="AI357" sId="1"/>
    <undo index="65535" exp="area" dr="AH354:AH356" r="AH357" sId="1"/>
    <undo index="65535" exp="area" dr="AG354:AG356" r="AG357" sId="1"/>
    <undo index="65535" exp="area" dr="AF354:AF356" r="AF357" sId="1"/>
    <undo index="65535" exp="area" dr="AE354:AE356" r="AE357" sId="1"/>
    <undo index="65535" exp="area" dr="AD354:AD356" r="AD357" sId="1"/>
    <undo index="65535" exp="area" dr="AC354:AC356" r="AC357" sId="1"/>
    <undo index="65535" exp="area" dr="AB354:AB356" r="AB357" sId="1"/>
    <undo index="65535" exp="area" dr="AA354:AA356" r="AA357" sId="1"/>
    <undo index="65535" exp="area" dr="Z354:Z356" r="Z357" sId="1"/>
    <undo index="65535" exp="area" dr="Y354:Y356" r="Y357" sId="1"/>
    <undo index="65535" exp="area" dr="X354:X356" r="X357" sId="1"/>
    <undo index="65535" exp="area" dr="W354:W356" r="W357" sId="1"/>
    <undo index="65535" exp="area" dr="V354:V356" r="V357" sId="1"/>
    <undo index="65535" exp="area" dr="U354:U356" r="U357" sId="1"/>
    <undo index="65535" exp="area" dr="T354:T356" r="T357" sId="1"/>
    <undo index="65535" exp="area" dr="S354:S356" r="S357" sId="1"/>
    <undo index="65535" exp="area" dr="D354:D356" r="D357"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CP3/2017 (MySMIS: POCA/113/2/3)</t>
        </is>
      </nc>
      <ndxf>
        <font>
          <sz val="12"/>
        </font>
        <alignmen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20" sId="1" ref="A354:XFD354" action="deleteRow">
    <undo index="65535" exp="area" dr="AK354:AK355" r="AK356" sId="1"/>
    <undo index="65535" exp="area" dr="AJ354:AJ355" r="AJ356" sId="1"/>
    <undo index="65535" exp="area" dr="AI354:AI355" r="AI356" sId="1"/>
    <undo index="65535" exp="area" dr="AH354:AH355" r="AH356" sId="1"/>
    <undo index="65535" exp="area" dr="AG354:AG355" r="AG356" sId="1"/>
    <undo index="65535" exp="area" dr="AF354:AF355" r="AF356" sId="1"/>
    <undo index="65535" exp="area" dr="AE354:AE355" r="AE356" sId="1"/>
    <undo index="65535" exp="area" dr="AD354:AD355" r="AD356" sId="1"/>
    <undo index="65535" exp="area" dr="AC354:AC355" r="AC356" sId="1"/>
    <undo index="65535" exp="area" dr="AB354:AB355" r="AB356" sId="1"/>
    <undo index="65535" exp="area" dr="AA354:AA355" r="AA356" sId="1"/>
    <undo index="65535" exp="area" dr="Z354:Z355" r="Z356" sId="1"/>
    <undo index="65535" exp="area" dr="Y354:Y355" r="Y356" sId="1"/>
    <undo index="65535" exp="area" dr="X354:X355" r="X356" sId="1"/>
    <undo index="65535" exp="area" dr="W354:W355" r="W356" sId="1"/>
    <undo index="65535" exp="area" dr="V354:V355" r="V356" sId="1"/>
    <undo index="65535" exp="area" dr="U354:U355" r="U356" sId="1"/>
    <undo index="65535" exp="area" dr="T354:T355" r="T356" sId="1"/>
    <undo index="65535" exp="area" dr="S354:S355" r="S356" sId="1"/>
    <undo index="65535" exp="area" dr="D354:D355" r="D356"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CP 11/2018</t>
        </is>
      </nc>
      <ndxf>
        <font>
          <sz val="12"/>
        </font>
        <alignmen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21" sId="1" ref="A354:XFD354" action="deleteRow">
    <undo index="65535" exp="area" dr="AK354" r="AK355" sId="1"/>
    <undo index="65535" exp="area" dr="AJ354" r="AJ355" sId="1"/>
    <undo index="65535" exp="area" dr="AI354" r="AI355" sId="1"/>
    <undo index="65535" exp="area" dr="AH354" r="AH355" sId="1"/>
    <undo index="65535" exp="area" dr="AG354" r="AG355" sId="1"/>
    <undo index="65535" exp="area" dr="AF354" r="AF355" sId="1"/>
    <undo index="65535" exp="area" dr="AE354" r="AE355" sId="1"/>
    <undo index="65535" exp="area" dr="AD354" r="AD355" sId="1"/>
    <undo index="65535" exp="area" dr="AC354" r="AC355" sId="1"/>
    <undo index="65535" exp="area" dr="AB354" r="AB355" sId="1"/>
    <undo index="65535" exp="area" dr="AA354" r="AA355" sId="1"/>
    <undo index="65535" exp="area" dr="Z354" r="Z355" sId="1"/>
    <undo index="65535" exp="area" dr="Y354" r="Y355" sId="1"/>
    <undo index="65535" exp="area" dr="X354" r="X355" sId="1"/>
    <undo index="65535" exp="area" dr="W354" r="W355" sId="1"/>
    <undo index="65535" exp="area" dr="V354" r="V355" sId="1"/>
    <undo index="65535" exp="area" dr="U354" r="U355" sId="1"/>
    <undo index="65535" exp="area" dr="T354" r="T355" sId="1"/>
    <undo index="65535" exp="area" dr="S354" r="S355" sId="1"/>
    <undo index="65535" exp="area" dr="D354" r="D355"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dxf="1">
      <nc r="D354">
        <f>COUNTIFS(F$7:F$353,$F354)</f>
      </nc>
      <ndxf>
        <font>
          <sz val="12"/>
          <color auto="1"/>
        </font>
        <numFmt numFmtId="1" formatCode="0"/>
        <alignment horizontal="center" vertical="center" wrapText="1"/>
        <border outline="0">
          <left style="thin">
            <color indexed="64"/>
          </left>
          <right style="thin">
            <color indexed="64"/>
          </right>
          <top style="thin">
            <color indexed="64"/>
          </top>
          <bottom style="thin">
            <color indexed="64"/>
          </bottom>
        </border>
      </ndxf>
    </rcc>
    <rcc rId="0" sId="1" dxf="1">
      <nc r="E354" t="inlineStr">
        <is>
          <t xml:space="preserve">TOTAL </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IP9/2017 (MySMIS:
POCA/131/2/3)</t>
        </is>
      </nc>
      <ndxf>
        <font>
          <sz val="12"/>
          <color auto="1"/>
        </font>
        <alignment horizontal="left" vertical="center" wrapText="1"/>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SUMIFS(Y$7:Y$353,$F$7:$F$353,$F354)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SUMIFS(Z$7:Z$353,$F$7:$F$353,$F354)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SUMIFS(AA$7:AA$353,$F$7:$F$353,$F354)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22" sId="1" ref="A354:XFD354" action="deleteRow">
    <undo index="65535" exp="ref" v="1" dr="AK354" r="AK356" sId="1"/>
    <undo index="65535" exp="ref" v="1" dr="AJ354" r="AJ356" sId="1"/>
    <undo index="65535" exp="ref" v="1" dr="AI354" r="AI356" sId="1"/>
    <undo index="65535" exp="ref" v="1" dr="AH354" r="AH356" sId="1"/>
    <undo index="65535" exp="ref" v="1" dr="AG354" r="AG356" sId="1"/>
    <undo index="65535" exp="ref" v="1" dr="AF354" r="AF356" sId="1"/>
    <undo index="65535" exp="ref" v="1" dr="AE354" r="AE356" sId="1"/>
    <undo index="65535" exp="ref" v="1" dr="AD354" r="AD356" sId="1"/>
    <undo index="65535" exp="ref" v="1" dr="AC354" r="AC356" sId="1"/>
    <undo index="65535" exp="ref" v="1" dr="AB354" r="AB356" sId="1"/>
    <undo index="65535" exp="ref" v="1" dr="AA354" r="AA356" sId="1"/>
    <undo index="65535" exp="ref" v="1" dr="Z354" r="Z356" sId="1"/>
    <undo index="65535" exp="ref" v="1" dr="Y354" r="Y356" sId="1"/>
    <undo index="65535" exp="ref" v="1" dr="X354" r="X356" sId="1"/>
    <undo index="65535" exp="ref" v="1" dr="W354" r="W356" sId="1"/>
    <undo index="65535" exp="ref" v="1" dr="V354" r="V356" sId="1"/>
    <undo index="65535" exp="ref" v="1" dr="U354" r="U356" sId="1"/>
    <undo index="65535" exp="ref" v="1" dr="T354" r="T356" sId="1"/>
    <undo index="65535" exp="ref" v="1" dr="S354" r="S356" sId="1"/>
    <undo index="65535" exp="ref" v="1" dr="D354" r="D356"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numFmt numFmtId="3" formatCode="#,##0"/>
        <alignment horizontal="center" vertical="center" wrapText="1"/>
        <border outline="0">
          <left style="thin">
            <color indexed="64"/>
          </left>
          <right style="thin">
            <color indexed="64"/>
          </right>
          <top style="thin">
            <color indexed="64"/>
          </top>
          <bottom style="thin">
            <color indexed="64"/>
          </bottom>
        </border>
      </dxf>
    </rfmt>
    <rcc rId="0" sId="1" s="1" dxf="1">
      <nc r="D354">
        <f>SUM(#REF!)</f>
      </nc>
      <ndxf>
        <font>
          <sz val="12"/>
          <color auto="1"/>
          <name val="Calibri"/>
          <family val="2"/>
          <charset val="238"/>
          <scheme val="minor"/>
        </font>
        <numFmt numFmtId="167" formatCode="#,##0_ ;\-#,##0\ "/>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 AXA 2</t>
        </is>
      </nc>
      <ndxf>
        <font>
          <sz val="12"/>
          <color auto="1"/>
        </font>
        <alignment horizontal="center" vertical="center" wrapText="1"/>
        <border outline="0">
          <left style="thin">
            <color indexed="64"/>
          </left>
          <right style="thin">
            <color indexed="64"/>
          </right>
          <top style="thin">
            <color indexed="64"/>
          </top>
          <bottom style="thin">
            <color indexed="64"/>
          </bottom>
        </border>
      </ndxf>
    </rcc>
    <rfmt sheetId="1" sqref="F354" start="0" length="0">
      <dxf>
        <font>
          <sz val="12"/>
        </font>
        <alignment horizontal="left" vertical="center"/>
        <border outline="0">
          <left style="thin">
            <color indexed="64"/>
          </left>
          <right style="thin">
            <color indexed="64"/>
          </right>
          <top style="thin">
            <color indexed="64"/>
          </top>
          <bottom style="thin">
            <color indexed="64"/>
          </bottom>
        </border>
      </dxf>
    </rfmt>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H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I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J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SUM(#REF!)</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23" sId="1" ref="A354:XFD354" action="deleteRow">
    <undo index="65535" exp="ref" v="1" dr="AK354" r="AK355" sId="1"/>
    <undo index="65535" exp="ref" v="1" dr="AJ354" r="AJ355" sId="1"/>
    <undo index="65535" exp="ref" v="1" dr="AI354" r="AI355" sId="1"/>
    <undo index="65535" exp="ref" v="1" dr="AH354" r="AH355" sId="1"/>
    <undo index="65535" exp="ref" v="1" dr="AG354" r="AG355" sId="1"/>
    <undo index="65535" exp="ref" v="1" dr="AF354" r="AF355" sId="1"/>
    <undo index="65535" exp="ref" v="1" dr="AE354" r="AE355" sId="1"/>
    <undo index="65535" exp="ref" v="1" dr="AD354" r="AD355" sId="1"/>
    <undo index="65535" exp="ref" v="1" dr="AC354" r="AC355" sId="1"/>
    <undo index="65535" exp="ref" v="1" dr="AB354" r="AB355" sId="1"/>
    <undo index="65535" exp="ref" v="1" dr="AA354" r="AA355" sId="1"/>
    <undo index="65535" exp="ref" v="1" dr="Z354" r="Z355" sId="1"/>
    <undo index="65535" exp="ref" v="1" dr="Y354" r="Y355" sId="1"/>
    <undo index="65535" exp="ref" v="1" dr="X354" r="X355" sId="1"/>
    <undo index="65535" exp="ref" v="1" dr="W354" r="W355" sId="1"/>
    <undo index="65535" exp="ref" v="1" dr="V354" r="V355" sId="1"/>
    <undo index="65535" exp="ref" v="1" dr="U354" r="U355" sId="1"/>
    <undo index="65535" exp="ref" v="1" dr="T354" r="T355" sId="1"/>
    <undo index="65535" exp="ref" v="1" dr="S354" r="S355" sId="1"/>
    <undo index="0" exp="ref" v="1" dr="D354" r="D355"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ttom style="thin">
            <color indexed="64"/>
          </bottom>
        </border>
      </dxf>
    </rfmt>
    <rfmt sheetId="1" sqref="C354" start="0" length="0">
      <dxf>
        <font>
          <sz val="12"/>
          <color auto="1"/>
        </font>
        <numFmt numFmtId="3" formatCode="#,##0"/>
        <alignment horizontal="center" vertical="center" wrapText="1"/>
        <border outline="0">
          <left style="thin">
            <color indexed="64"/>
          </left>
          <right style="thin">
            <color indexed="64"/>
          </right>
          <top style="thin">
            <color indexed="64"/>
          </top>
          <bottom style="thin">
            <color indexed="64"/>
          </bottom>
        </border>
      </dxf>
    </rfmt>
    <rcc rId="0" sId="1" dxf="1">
      <nc r="D354">
        <f>COUNT(C212:C214)</f>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E354" t="inlineStr">
        <is>
          <t>TOTAL AXA 3</t>
        </is>
      </nc>
      <ndxf>
        <font>
          <sz val="12"/>
          <color auto="1"/>
        </font>
        <alignment horizontal="center" vertical="center" wrapText="1"/>
        <border outline="0">
          <left style="thin">
            <color indexed="64"/>
          </left>
          <right style="thin">
            <color indexed="64"/>
          </right>
          <top style="thin">
            <color indexed="64"/>
          </top>
          <bottom style="thin">
            <color indexed="64"/>
          </bottom>
        </border>
      </ndxf>
    </rcc>
    <rcc rId="0" sId="1" dxf="1">
      <nc r="F354" t="inlineStr">
        <is>
          <t>AT 1/2016</t>
        </is>
      </nc>
      <ndxf>
        <font>
          <sz val="12"/>
        </font>
        <alignment horizontal="left" vertical="center"/>
        <border outline="0">
          <left style="thin">
            <color indexed="64"/>
          </left>
          <right style="thin">
            <color indexed="64"/>
          </right>
          <top style="thin">
            <color indexed="64"/>
          </top>
          <bottom style="thin">
            <color indexed="64"/>
          </bottom>
        </border>
      </ndxf>
    </rcc>
    <rfmt sheetId="1" sqref="G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H354" start="0" length="0">
      <dxf>
        <font>
          <sz val="12"/>
          <color auto="1"/>
        </font>
        <alignment horizontal="left" vertical="center" wrapText="1"/>
        <border outline="0">
          <left style="thin">
            <color indexed="64"/>
          </left>
          <right style="thin">
            <color indexed="64"/>
          </right>
          <top style="thin">
            <color indexed="64"/>
          </top>
          <bottom style="thin">
            <color indexed="64"/>
          </bottom>
        </border>
      </dxf>
    </rfmt>
    <rfmt sheetId="1" sqref="I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J354" start="0" length="0">
      <dxf>
        <font>
          <sz val="12"/>
          <color auto="1"/>
        </font>
        <alignment horizontal="justify" vertical="center" wrapText="1"/>
        <border outline="0">
          <left style="thin">
            <color indexed="64"/>
          </left>
          <right style="thin">
            <color indexed="64"/>
          </right>
          <top style="thin">
            <color indexed="64"/>
          </top>
          <bottom style="thin">
            <color indexed="64"/>
          </bottom>
        </border>
      </dxf>
    </rfmt>
    <rfmt sheetId="1" sqref="K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L354" start="0" length="0">
      <dxf>
        <font>
          <sz val="12"/>
          <color auto="1"/>
        </font>
        <numFmt numFmtId="19" formatCode="dd/mm/yyyy"/>
        <alignment horizontal="center" vertical="center" wrapText="1"/>
        <border outline="0">
          <left style="thin">
            <color indexed="64"/>
          </left>
          <right style="thin">
            <color indexed="64"/>
          </right>
          <top style="thin">
            <color indexed="64"/>
          </top>
          <bottom style="thin">
            <color indexed="64"/>
          </bottom>
        </border>
      </dxf>
    </rfmt>
    <rfmt sheetId="1" sqref="M354" start="0" length="0">
      <dxf>
        <font>
          <sz val="12"/>
          <color auto="1"/>
        </font>
        <numFmt numFmtId="165" formatCode="0.000000000"/>
        <alignment horizontal="center" vertical="center" wrapText="1"/>
        <border outline="0">
          <left style="thin">
            <color indexed="64"/>
          </left>
          <right style="thin">
            <color indexed="64"/>
          </right>
          <top style="thin">
            <color indexed="64"/>
          </top>
          <bottom style="thin">
            <color indexed="64"/>
          </bottom>
        </border>
      </dxf>
    </rfmt>
    <rfmt sheetId="1" sqref="N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O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P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fmt sheetId="1" sqref="Q354" start="0" length="0">
      <dxf>
        <font>
          <sz val="12"/>
        </font>
        <alignment horizontal="center" vertical="center" wrapText="1"/>
        <border outline="0">
          <left style="thin">
            <color indexed="64"/>
          </left>
          <right style="thin">
            <color indexed="64"/>
          </right>
          <top style="thin">
            <color indexed="64"/>
          </top>
          <bottom style="thin">
            <color indexed="64"/>
          </bottom>
        </border>
      </dxf>
    </rfmt>
    <rfmt sheetId="1" sqref="R354" start="0" length="0">
      <dxf>
        <font>
          <sz val="12"/>
          <color auto="1"/>
        </font>
        <alignment horizontal="center" vertical="center" wrapText="1"/>
        <border outline="0">
          <left style="thin">
            <color indexed="64"/>
          </left>
          <right style="thin">
            <color indexed="64"/>
          </right>
          <top style="thin">
            <color indexed="64"/>
          </top>
          <bottom style="thin">
            <color indexed="64"/>
          </bottom>
        </border>
      </dxf>
    </rfmt>
    <rcc rId="0" sId="1" s="1" dxf="1">
      <nc r="S354">
        <f>SUMIFS(S$7:S$353,$F$7:$F$353,$F354)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T354">
        <f>SUMIFS(T$7:T$353,$F$7:$F$353,$F354)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U354">
        <f>SUMIFS(U$7:U$353,$F$7:$F$353,$F354)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V354">
        <f>SUMIFS(V$7:V$353,$F$7:$F$353,$F354)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W354">
        <f>SUMIFS(W$7:W$353,$F$7:$F$353,$F354)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X354">
        <f>SUMIFS(X$7:X$353,$F$7:$F$353,$F354)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Y354">
        <f>SUMIFS(Y$166:Y$353,$F$166:$F$353,$F354)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Z354">
        <f>SUMIFS(Z$166:Z$353,$F$166:$F$353,$F354)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A354">
        <f>SUMIFS(AA$166:AA$353,$F$166:$F$353,$F354)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B354">
        <f>SUMIFS(AB$7:AB$353,$F$7:$F$353,$F354)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C354">
        <f>SUMIFS(AC$7:AC$353,$F$7:$F$353,$F354)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D354">
        <f>SUMIFS(AD$7:AD$353,$F$7:$F$353,$F354)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E354">
        <f>SUMIFS(AE$7:AE$353,$F$7:$F$353,$F354)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F354">
        <f>SUMIFS(AF$7:AF$353,$F$7:$F$353,$F354)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G354">
        <f>SUMIFS(AG$7:AG$353,$F$7:$F$353,$F354)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fmt sheetId="1" s="1" sqref="AH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fmt sheetId="1" s="1" sqref="AI354" start="0" length="0">
      <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dxf>
    </rfmt>
    <rcc rId="0" sId="1" s="1" dxf="1">
      <nc r="AJ354">
        <f>SUMIFS(AJ$7:AJ$353,$F$7:$F$353,$F354)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cc rId="0" sId="1" s="1" dxf="1">
      <nc r="AK354">
        <f>SUMIFS(AK$7:AK$353,$F$7:$F$353,$F354)</f>
      </nc>
      <ndxf>
        <font>
          <sz val="12"/>
          <color auto="1"/>
          <name val="Calibri"/>
          <family val="2"/>
          <charset val="238"/>
          <scheme val="minor"/>
        </font>
        <numFmt numFmtId="166" formatCode="#,##0.00_ ;\-#,##0.00\ "/>
        <alignment vertical="center" wrapText="1"/>
        <border outline="0">
          <left style="thin">
            <color indexed="64"/>
          </left>
          <right style="thin">
            <color indexed="64"/>
          </right>
          <top style="thin">
            <color indexed="64"/>
          </top>
          <bottom style="thin">
            <color indexed="64"/>
          </bottom>
        </border>
      </ndxf>
    </rcc>
  </rrc>
  <rrc rId="424" sId="1" ref="A354:XFD354" action="deleteRow">
    <undo index="65535" exp="ref" v="1" dr="AB354" r="AB365" sId="1"/>
    <undo index="65535" exp="ref" v="1" dr="Y354" r="AB365" sId="1"/>
    <undo index="65535" exp="ref" v="1" dr="V354" r="AB365" sId="1"/>
    <undo index="0" exp="ref" v="1" dr="S354" r="AB365" sId="1"/>
    <undo index="0" exp="ref" v="1" dr="AG354" r="AG360" sId="1"/>
    <undo index="0" exp="ref" v="1" dr="AF354" r="AF360" sId="1"/>
    <undo index="0" exp="ref" v="1" dr="AE354" r="AE360" sId="1"/>
    <undo index="0" exp="ref" v="1" dr="AD354" r="AD360" sId="1"/>
    <undo index="0" exp="ref" v="1" dr="AC354" r="AC360" sId="1"/>
    <undo index="0" exp="ref" v="1" dr="AB354" r="AB360" sId="1"/>
    <undo index="0" exp="ref" v="1" dr="AA354" r="AA360" sId="1"/>
    <undo index="0" exp="ref" v="1" dr="Z354" r="Z360" sId="1"/>
    <undo index="0" exp="ref" v="1" dr="Y354" r="Y360" sId="1"/>
    <undo index="0" exp="ref" v="1" dr="X354" r="X360" sId="1"/>
    <undo index="0" exp="ref" v="1" dr="W354" r="W360" sId="1"/>
    <undo index="0" exp="ref" v="1" dr="V354" r="V360" sId="1"/>
    <undo index="0" exp="ref" v="1" dr="U354" r="U360" sId="1"/>
    <undo index="0" exp="ref" v="1" dr="T354" r="T360" sId="1"/>
    <undo index="0" exp="ref" v="1" dr="S354" r="S360" sId="1"/>
    <undo index="65535" exp="area" ref3D="1" dr="$A$1:$AK$354" dn="Z_D1B5461B_B040_4BC9_AF67_A8F429825375_.wvu.PrintArea" sId="1"/>
    <undo index="65535" exp="area" ref3D="1" dr="$A$1:$AK$354" dn="Print_Area" sId="1"/>
    <undo index="65535" exp="area" ref3D="1" dr="$A$6:$AK$354" dn="Z_2A26C971_CCE6_49C7_89EC_0B2699E5DD98_.wvu.FilterData" sId="1"/>
    <undo index="65535" exp="area" ref3D="1" dr="$A$6:$AK$354" dn="Z_2547C3D7_22F7_4CAF_8E48_C8F3425DB942_.wvu.FilterData" sId="1"/>
    <undo index="65535" exp="area" ref3D="1" dr="$A$1:$AK$354" dn="Z_0781B6C2_B440_4971_9809_BD16245A70FD_.wvu.PrintArea" sId="1"/>
    <undo index="65535" exp="area" ref3D="1" dr="$A$6:$AK$354" dn="Z_0585DD1B_89D4_4278_953B_FA6D57DCCE82_.wvu.FilterData" sId="1"/>
    <undo index="65535" exp="area" ref3D="1" dr="$A$6:$AK$354" dn="Z_2355B1FA_E7E3_44CD_A529_24812589AA28_.wvu.FilterData" sId="1"/>
    <undo index="65535" exp="area" ref3D="1" dr="$A$6:$AK$354" dn="Z_0A043D96_6DF8_4E40_9D1E_818A39BAFD81_.wvu.FilterData" sId="1"/>
    <undo index="65535" exp="area" ref3D="1" dr="$A$6:$AK$354" dn="Z_17F4A6A1_469E_46FB_A3A0_041FC3712E3B_.wvu.FilterData" sId="1"/>
    <undo index="65535" exp="area" ref3D="1" dr="$A$6:$AK$354" dn="Z_2E491347_3C24_4F24_80DE_5DC574AA2438_.wvu.FilterData" sId="1"/>
    <undo index="65535" exp="area" ref3D="1" dr="$A$6:$AK$354" dn="Z_38C68E87_361F_434A_8BE4_BA2AF4CB3868_.wvu.FilterData" sId="1"/>
    <undo index="65535" exp="area" ref3D="1" dr="$A$1:$AK$354" dn="Z_36624B2D_80F9_4F79_AC4A_B3547C36F23F_.wvu.PrintArea" sId="1"/>
    <undo index="65535" exp="area" ref3D="1" dr="$A$6:$AK$354" dn="Z_305BEEB9_C99E_4E52_A4AB_56EA1595A366_.wvu.FilterData" sId="1"/>
    <undo index="65535" exp="area" ref3D="1" dr="$A$6:$AK$354" dn="Z_377DA8E3_6D61_4CAB_8EDD_2C41FF81A19E_.wvu.FilterData" sId="1"/>
    <undo index="65535" exp="area" ref3D="1" dr="$A$6:$AK$354" dn="Z_34BB42D3_88F0_437E_91ED_3E3C369B9525_.wvu.FilterData" sId="1"/>
    <undo index="65535" exp="area" ref3D="1" dr="$A$6:$AK$354" dn="Z_324E461A_DC75_4814_87BA_41F170D0ED0B_.wvu.FilterData" sId="1"/>
    <undo index="65535" exp="area" ref3D="1" dr="$A$1:$AK$354" dn="Z_2C296388_EDB5_4F1F_B0F4_90EC07CCD947_.wvu.PrintArea" sId="1"/>
    <undo index="65535" exp="area" ref3D="1" dr="$A$6:$AK$354" dn="Z_41AA4E5D_9625_4478_B720_2BD6AE34E699_.wvu.FilterData" sId="1"/>
    <undo index="65535" exp="area" ref3D="1" dr="$A$1:$AK$354" dn="Z_3AFE79CE_CE75_447D_8C73_1AE63A224CBA_.wvu.PrintArea" sId="1"/>
    <undo index="65535" exp="area" ref3D="1" dr="$A$6:$AK$354" dn="Z_3E7AD119_0031_4735_857B_FBC0C47AB231_.wvu.FilterData" sId="1"/>
    <undo index="65535" exp="area" ref3D="1" dr="$A$6:$AK$354" dn="Z_529F67B3_DE0D_4FDC_BFEA_8F16107265EB_.wvu.FilterData" sId="1"/>
    <undo index="65535" exp="area" ref3D="1" dr="$A$6:$AK$354" dn="Z_3E15816F_2EBF_42BD_89BB_84C7827E4C28_.wvu.FilterData" sId="1"/>
    <undo index="65535" exp="area" ref3D="1" dr="$A$6:$AK$354" dn="Z_4FDB167B_D56E_45D4_B120_847D0871AA6B_.wvu.FilterData" sId="1"/>
    <undo index="65535" exp="area" ref3D="1" dr="$A$6:$AK$354" dn="Z_417D6CD8_690F_495B_A03E_2A89D52B6CE8_.wvu.FilterData" sId="1"/>
    <undo index="65535" exp="area" ref3D="1" dr="$A$6:$AK$354" dn="Z_3AFE79CE_CE75_447D_8C73_1AE63A224CBA_.wvu.FilterData" sId="1"/>
    <undo index="65535" exp="area" ref3D="1" dr="$A$1:$AK$354" dn="Z_65B035E3_87FA_46C5_996E_864F2C8D0EBC_.wvu.PrintArea" sId="1"/>
    <undo index="65535" exp="area" ref3D="1" dr="$A$6:$AK$354" dn="Z_5A66C3D0_FC57_4AA7_B0C6_C5E9A7DE2A79_.wvu.FilterData" sId="1"/>
    <undo index="65535" exp="area" ref3D="1" dr="$A$1:$AK$354" dn="Z_53ED3D47_B2C0_43A1_9A1E_F030D529F74C_.wvu.PrintArea" sId="1"/>
    <undo index="65535" exp="area" ref3D="1" dr="$A$6:$AK$354" dn="Z_53ED3D47_B2C0_43A1_9A1E_F030D529F74C_.wvu.FilterData" sId="1"/>
    <undo index="65535" exp="area" ref3D="1" dr="$A$1:$AK$354" dn="Z_DB51BB9F_5710_40B0_80E7_39B059BFD11D_.wvu.PrintArea" sId="1"/>
    <undo index="65535" exp="area" ref3D="1" dr="$A$1:$AK$354" dn="Z_FE50EAC0_52A5_4C33_B973_65E93D03D3EA_.wvu.PrintArea" sId="1"/>
    <undo index="65535" exp="area" ref3D="1" dr="$A$6:$AK$354" dn="Z_EFE45138_A2B3_46EB_8A69_D9745D73FBF5_.wvu.FilterData" sId="1"/>
    <undo index="65535" exp="area" ref3D="1" dr="$A$1:$AK$354" dn="Z_EF10298D_3F59_43F1_9A86_8C1CCA3B5D93_.wvu.PrintArea" sId="1"/>
    <undo index="65535" exp="area" ref3D="1" dr="$A$6:$AK$354" dn="Z_EB0F2E6A_FA33_479E_9A47_8E3494FBB4DE_.wvu.FilterData" sId="1"/>
    <undo index="65535" exp="area" ref3D="1" dr="$A$6:$AK$354" dn="Z_DE09B69C_7EEF_4060_8E06_F7DEC4B96D7E_.wvu.FilterData" sId="1"/>
    <undo index="65535" exp="area" ref3D="1" dr="$A$1:$AK$354" dn="Z_EA64E7D7_BA48_4965_B650_778AE412FE0C_.wvu.PrintArea" sId="1"/>
    <undo index="65535" exp="area" ref3D="1" dr="$A$6:$AK$354" dn="Z_F52D90D4_508D_43B6_8295_6D179E5F0FEB_.wvu.FilterData" sId="1"/>
    <undo index="65535" exp="area" ref3D="1" dr="$A$1:$AK$354" dn="Z_EEA37434_2D22_478B_B49F_C3E8CD4AC2E1_.wvu.PrintArea" sId="1"/>
    <undo index="65535" exp="area" ref3D="1" dr="$A$6:$AK$354" dn="Z_DD93CA86_AFD6_4C47_828D_70472BFCD288_.wvu.FilterData" sId="1"/>
    <undo index="65535" exp="area" ref3D="1" dr="$A$6:$AK$354" dn="Z_F952A18B_3430_4F65_89F2_B7C17998F981_.wvu.FilterData" sId="1"/>
    <undo index="65535" exp="area" ref3D="1" dr="$A$1:$AK$354" dn="Z_EB0F2E6A_FA33_479E_9A47_8E3494FBB4DE_.wvu.PrintArea" sId="1"/>
    <undo index="65535" exp="area" ref3D="1" dr="$A$6:$AK$354" dn="Z_DB43929D_F4B7_43FF_975F_960476D189E8_.wvu.FilterData" sId="1"/>
    <undo index="65535" exp="area" ref3D="1" dr="$A$6:$AK$354" dn="Z_EF10298D_3F59_43F1_9A86_8C1CCA3B5D93_.wvu.FilterData" sId="1"/>
    <undo index="65535" exp="area" ref3D="1" dr="$A$1:$AK$354" dn="Z_901F9774_8BE7_424D_87C2_1026F3FA2E93_.wvu.PrintArea" sId="1"/>
    <undo index="65535" exp="area" ref3D="1" dr="$A$1:$AK$354" dn="Z_A87F3E0E_3A8E_4B82_8170_33752259B7DB_.wvu.PrintArea" sId="1"/>
    <undo index="65535" exp="area" ref3D="1" dr="$A$6:$AK$354" dn="Z_89F20599_320E_4C2A_9159_8E9F2F24F61C_.wvu.FilterData" sId="1"/>
    <undo index="65535" exp="area" ref3D="1" dr="$A$1:$AK$354" dn="Z_9EA5E3FA_46F1_4729_828C_4A08518018C1_.wvu.PrintArea" sId="1"/>
    <undo index="65535" exp="area" ref3D="1" dr="$A$1:$AK$354" dn="Z_A5B1481C_EF26_486A_984F_85CDDC2FD94F_.wvu.PrintArea" sId="1"/>
    <undo index="65535" exp="area" ref3D="1" dr="$A$6:$AK$354" dn="Z_7D2F4374_D571_49E4_B659_129D2AFDC43C_.wvu.FilterData" sId="1"/>
    <undo index="65535" exp="area" ref3D="1" dr="$A$1:$AK$354" dn="Z_C3502361_AD2C_4705_878B_D12169ED60B1_.wvu.PrintArea" sId="1"/>
    <undo index="65535" exp="area" ref3D="1" dr="$A$1:$AK$354" dn="Z_7C1B4D6D_D666_48DD_AB17_E00791B6F0B6_.wvu.PrintArea" sId="1"/>
    <undo index="65535" exp="area" ref3D="1" dr="$A$6:$AK$354" dn="Z_C4E44235_F714_4BCE_B2B0_F4813D3BDF91_.wvu.FilterData" sId="1"/>
    <undo index="65535" exp="area" ref3D="1" dr="$A$1:$AK$354" dn="Z_9980B309_0131_4577_BF29_212714399FDF_.wvu.PrintArea" sId="1"/>
    <undo index="65535" exp="area" ref3D="1" dr="$A$6:$AK$354" dn="Z_C3502361_AD2C_4705_878B_D12169ED60B1_.wvu.FilterData" sId="1"/>
    <undo index="65535" exp="area" ref3D="1" dr="$A$6:$AK$354" dn="Z_902D3CAF_0577_4A3F_A86A_C01FD8CA4695_.wvu.FilterData" sId="1"/>
    <undo index="65535" exp="area" ref3D="1" dr="$A$6:$AK$354" dn="Z_91199DA1_59E7_4345_8CB7_A1085C901326_.wvu.FilterData" sId="1"/>
    <undo index="65535" exp="area" ref3D="1" dr="$A$6:$AK$354" dn="Z_831F7439_6937_483F_B601_184FEF5CECFD_.wvu.FilterData" sId="1"/>
    <undo index="65535" exp="area" ref3D="1" dr="$A$6:$AK$354" dn="Z_9F268523_731B_48FE_86AA_1A6382332A83_.wvu.FilterData" sId="1"/>
    <undo index="65535" exp="area" ref3D="1" dr="$A$1:$AK$354" dn="Z_905D93EA_5662_45AB_8995_A9908B3E5D52_.wvu.PrintArea" sId="1"/>
    <undo index="65535" exp="area" ref3D="1" dr="$A$1:$AK$354" dn="Z_65C35D6D_934F_4431_BA92_90255FC17BA4_.wvu.PrintArea" sId="1"/>
    <undo index="65535" exp="area" ref3D="1" dr="$A$6:$AK$354" dn="Z_923E7374_9C36_4380_9E0A_313EA2F408F0_.wvu.FilterData" sId="1"/>
    <undo index="65535" exp="area" ref3D="1" dr="$A$1:$AK$354" dn="Z_747340EB_2B31_46D2_ACDE_4FA91E2B50F6_.wvu.PrintArea" sId="1"/>
    <undo index="65535" exp="area" ref3D="1" dr="$A$1:$AK$354" dn="Z_84FB199A_D56E_4FDD_AC4A_70CE86CD87BC_.wvu.PrintArea" sId="1"/>
    <undo index="65535" exp="area" ref3D="1" dr="$A$6:$AK$354" dn="Z_97F6C5A1_2596_4037_A854_1D6AE8A1071E_.wvu.FilterData" sId="1"/>
    <undo index="65535" exp="area" ref3D="1" dr="$A$6:$AK$354" dn="Z_AECBC9F6_D9DE_4043_9C2F_160F7ECDAD3D_.wvu.FilterData" sId="1"/>
    <undo index="65535" exp="area" ref3D="1" dr="$A$6:$AK$354" dn="Z_AE58BCBC_9F06_4E6C_A28B_2F5626DD7C1B_.wvu.FilterData" sId="1"/>
    <undo index="65535" exp="area" ref3D="1" dr="$A$6:$AK$354" dn="Z_D802EE0F_98B9_4410_B31B_4ACC0EC9C9BC_.wvu.FilterData" sId="1"/>
    <undo index="65535" exp="area" ref3D="1" dr="$A$6:$AK$354" dn="Z_A87F3E0E_3A8E_4B82_8170_33752259B7DB_.wvu.FilterData" sId="1"/>
    <undo index="65535" exp="area" ref3D="1" dr="$A$1:$AK$354" dn="Z_C408A2F1_296F_4EAD_B15B_336D73846FDD_.wvu.PrintArea" sId="1"/>
    <undo index="65535" exp="area" ref3D="1" dr="$A$6:$AK$354" dn="Z_6CE52079_5576_45A5_9A9F_9CA970D849EF_.wvu.FilterData" sId="1"/>
    <undo index="65535" exp="area" ref3D="1" dr="$A$6:$AK$354" dn="Z_D365E121_F95E_415A_8CA0_9EA7ECCC60F5_.wvu.FilterData" sId="1"/>
    <undo index="65535" exp="area" ref3D="1" dr="$A$6:$AK$354" dn="Z_CAB79FAE_AA32_4D62_A794_A6DB6513D801_.wvu.FilterData" sId="1"/>
    <undo index="65535" exp="area" ref3D="1" dr="$A$6:$AK$354" dn="Z_C71F80D5_B6C1_4ED9_B18D_D719D69F5A47_.wvu.FilterData" sId="1"/>
    <undo index="65535" exp="area" ref3D="1" dr="$A$1:$AK$354" dn="Z_5AAA4DFE_88B1_4674_95ED_5FCD7A50BC22_.wvu.PrintArea" sId="1"/>
    <undo index="65535" exp="area" ref3D="1" dr="$H$1:$N$1048576" dn="Z_65B035E3_87FA_46C5_996E_864F2C8D0EBC_.wvu.Cols" sId="1"/>
    <rfmt sheetId="1" xfDxf="1" sqref="A354:XFD354" start="0" length="0">
      <dxf>
        <font>
          <b/>
        </font>
      </dxf>
    </rfmt>
    <rfmt sheetId="1" sqref="A354" start="0" length="0">
      <dxf>
        <font>
          <sz val="12"/>
          <color auto="1"/>
        </font>
        <alignment horizontal="center" vertical="center" wrapText="1"/>
        <border outline="0">
          <left style="medium">
            <color indexed="64"/>
          </left>
          <right style="thin">
            <color indexed="64"/>
          </right>
          <top style="thin">
            <color indexed="64"/>
          </top>
          <bottom style="thin">
            <color indexed="64"/>
          </bottom>
        </border>
      </dxf>
    </rfmt>
    <rfmt sheetId="1" sqref="B354" start="0" length="0">
      <dxf>
        <font>
          <sz val="12"/>
          <color auto="1"/>
        </font>
        <alignment horizontal="center" vertical="center" wrapText="1"/>
        <border outline="0">
          <right style="thin">
            <color indexed="64"/>
          </right>
          <top style="thin">
            <color indexed="64"/>
          </top>
        </border>
      </dxf>
    </rfmt>
    <rfmt sheetId="1" sqref="C354" start="0" length="0">
      <dxf>
        <font>
          <sz val="12"/>
        </font>
        <border outline="0">
          <left style="thin">
            <color indexed="64"/>
          </left>
          <right style="thin">
            <color indexed="64"/>
          </right>
          <top style="thin">
            <color indexed="64"/>
          </top>
          <bottom style="medium">
            <color indexed="64"/>
          </bottom>
        </border>
      </dxf>
    </rfmt>
    <rcc rId="0" sId="1" dxf="1">
      <nc r="D354">
        <f>#REF!+#REF!+#REF!</f>
      </nc>
      <ndxf>
        <font>
          <sz val="12"/>
        </font>
        <numFmt numFmtId="1" formatCode="0"/>
        <alignment horizontal="center" vertical="center"/>
        <border outline="0">
          <left style="thin">
            <color indexed="64"/>
          </left>
          <right style="thin">
            <color indexed="64"/>
          </right>
          <top style="thin">
            <color indexed="64"/>
          </top>
          <bottom style="medium">
            <color indexed="64"/>
          </bottom>
        </border>
      </ndxf>
    </rcc>
    <rcc rId="0" sId="1" dxf="1">
      <nc r="E354" t="inlineStr">
        <is>
          <t>TOTAL</t>
        </is>
      </nc>
      <ndxf>
        <font>
          <sz val="12"/>
        </font>
        <alignment horizontal="center" vertical="center"/>
        <border outline="0">
          <left style="thin">
            <color indexed="64"/>
          </left>
          <right style="thin">
            <color indexed="64"/>
          </right>
          <top style="thin">
            <color indexed="64"/>
          </top>
          <bottom style="medium">
            <color indexed="64"/>
          </bottom>
        </border>
      </ndxf>
    </rcc>
    <rfmt sheetId="1" sqref="F354" start="0" length="0">
      <dxf>
        <font>
          <sz val="12"/>
        </font>
        <alignment horizontal="left" vertical="center"/>
        <border outline="0">
          <left style="thin">
            <color indexed="64"/>
          </left>
          <right style="thin">
            <color indexed="64"/>
          </right>
          <top style="thin">
            <color indexed="64"/>
          </top>
          <bottom style="medium">
            <color indexed="64"/>
          </bottom>
        </border>
      </dxf>
    </rfmt>
    <rfmt sheetId="1" sqref="G354" start="0" length="0">
      <dxf>
        <font>
          <sz val="12"/>
        </font>
        <alignment horizontal="left" vertical="top"/>
        <border outline="0">
          <left style="thin">
            <color indexed="64"/>
          </left>
          <right style="thin">
            <color indexed="64"/>
          </right>
          <top style="thin">
            <color indexed="64"/>
          </top>
          <bottom style="medium">
            <color indexed="64"/>
          </bottom>
        </border>
      </dxf>
    </rfmt>
    <rfmt sheetId="1" sqref="H354" start="0" length="0">
      <dxf>
        <font>
          <sz val="12"/>
        </font>
        <alignment horizontal="left" vertical="top"/>
        <border outline="0">
          <left style="thin">
            <color indexed="64"/>
          </left>
          <right style="thin">
            <color indexed="64"/>
          </right>
          <top style="thin">
            <color indexed="64"/>
          </top>
        </border>
      </dxf>
    </rfmt>
    <rfmt sheetId="1" sqref="I354" start="0" length="0">
      <dxf>
        <font>
          <sz val="12"/>
        </font>
        <alignment horizontal="center" vertical="top"/>
        <border outline="0">
          <left style="thin">
            <color indexed="64"/>
          </left>
          <right style="thin">
            <color indexed="64"/>
          </right>
          <top style="thin">
            <color indexed="64"/>
          </top>
        </border>
      </dxf>
    </rfmt>
    <rfmt sheetId="1" sqref="J354" start="0" length="0">
      <dxf>
        <font>
          <sz val="12"/>
        </font>
        <border outline="0">
          <left style="thin">
            <color indexed="64"/>
          </left>
          <right style="thin">
            <color indexed="64"/>
          </right>
          <top style="thin">
            <color indexed="64"/>
          </top>
          <bottom style="medium">
            <color indexed="64"/>
          </bottom>
        </border>
      </dxf>
    </rfmt>
    <rfmt sheetId="1" sqref="K354" start="0" length="0">
      <dxf>
        <font>
          <sz val="12"/>
        </font>
        <border outline="0">
          <left style="thin">
            <color indexed="64"/>
          </left>
          <right style="thin">
            <color indexed="64"/>
          </right>
          <top style="thin">
            <color indexed="64"/>
          </top>
          <bottom style="medium">
            <color indexed="64"/>
          </bottom>
        </border>
      </dxf>
    </rfmt>
    <rfmt sheetId="1" sqref="L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M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N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O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P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Q354" start="0" length="0">
      <dxf>
        <font>
          <sz val="12"/>
        </font>
        <alignment horizontal="center" vertical="top"/>
        <border outline="0">
          <left style="thin">
            <color indexed="64"/>
          </left>
          <right style="thin">
            <color indexed="64"/>
          </right>
          <top style="thin">
            <color indexed="64"/>
          </top>
          <bottom style="medium">
            <color indexed="64"/>
          </bottom>
        </border>
      </dxf>
    </rfmt>
    <rfmt sheetId="1" sqref="R354" start="0" length="0">
      <dxf>
        <font>
          <sz val="12"/>
        </font>
        <alignment horizontal="center" vertical="top"/>
        <border outline="0">
          <left style="thin">
            <color indexed="64"/>
          </left>
          <right style="thin">
            <color indexed="64"/>
          </right>
          <top style="thin">
            <color indexed="64"/>
          </top>
          <bottom style="medium">
            <color indexed="64"/>
          </bottom>
        </border>
      </dxf>
    </rfmt>
    <rcc rId="0" sId="1" s="1" dxf="1">
      <nc r="S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T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U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V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W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X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Y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Z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A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B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C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D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E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F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G354">
        <f>#REF!+#REF!+#REF!</f>
      </nc>
      <ndxf>
        <font>
          <sz val="12"/>
          <color theme="1"/>
          <name val="Calibri"/>
          <family val="2"/>
          <charset val="238"/>
          <scheme val="minor"/>
        </font>
        <numFmt numFmtId="166" formatCode="#,##0.00_ ;\-#,##0.00\ "/>
        <alignment vertical="center"/>
        <border outline="0">
          <left style="thin">
            <color indexed="64"/>
          </left>
          <right style="thin">
            <color indexed="64"/>
          </right>
          <top style="thin">
            <color indexed="64"/>
          </top>
          <bottom style="medium">
            <color indexed="64"/>
          </bottom>
        </border>
      </ndxf>
    </rcc>
    <rcc rId="0" sId="1" s="1" dxf="1">
      <nc r="AH354">
        <f>#REF!+#REF!+#REF!</f>
      </nc>
      <ndxf>
        <font>
          <sz val="12"/>
          <color theme="1"/>
          <name val="Calibri"/>
          <family val="2"/>
          <charset val="238"/>
          <scheme val="minor"/>
        </font>
        <numFmt numFmtId="164" formatCode="_-* #,##0.00\ _l_e_i_-;\-* #,##0.00\ _l_e_i_-;_-* &quot;-&quot;??\ _l_e_i_-;_-@_-"/>
        <alignment vertical="center"/>
        <border outline="0">
          <left style="thin">
            <color indexed="64"/>
          </left>
          <right style="thin">
            <color indexed="64"/>
          </right>
          <top style="thin">
            <color indexed="64"/>
          </top>
          <bottom style="medium">
            <color indexed="64"/>
          </bottom>
        </border>
      </ndxf>
    </rcc>
    <rcc rId="0" sId="1" s="1" dxf="1">
      <nc r="AI354">
        <f>#REF!+#REF!+#REF!</f>
      </nc>
      <ndxf>
        <font>
          <sz val="12"/>
          <color theme="1"/>
          <name val="Calibri"/>
          <family val="2"/>
          <charset val="238"/>
          <scheme val="minor"/>
        </font>
        <numFmt numFmtId="164" formatCode="_-* #,##0.00\ _l_e_i_-;\-* #,##0.00\ _l_e_i_-;_-* &quot;-&quot;??\ _l_e_i_-;_-@_-"/>
        <alignment vertical="center"/>
        <border outline="0">
          <left style="thin">
            <color indexed="64"/>
          </left>
          <right style="thin">
            <color indexed="64"/>
          </right>
          <top style="thin">
            <color indexed="64"/>
          </top>
          <bottom style="medium">
            <color indexed="64"/>
          </bottom>
        </border>
      </ndxf>
    </rcc>
    <rcc rId="0" sId="1" s="1" dxf="1">
      <nc r="AJ354">
        <f>#REF!+#REF!+#REF!</f>
      </nc>
      <ndxf>
        <font>
          <sz val="12"/>
          <color theme="1"/>
          <name val="Calibri"/>
          <family val="2"/>
          <charset val="238"/>
          <scheme val="minor"/>
        </font>
        <numFmt numFmtId="4" formatCode="#,##0.00"/>
        <alignment vertical="center"/>
        <border outline="0">
          <left style="thin">
            <color indexed="64"/>
          </left>
          <right style="thin">
            <color indexed="64"/>
          </right>
          <top style="thin">
            <color indexed="64"/>
          </top>
          <bottom style="medium">
            <color indexed="64"/>
          </bottom>
        </border>
      </ndxf>
    </rcc>
    <rcc rId="0" sId="1" s="1" dxf="1">
      <nc r="AK354">
        <f>#REF!+#REF!+#REF!</f>
      </nc>
      <ndxf>
        <font>
          <sz val="12"/>
          <color theme="1"/>
          <name val="Calibri"/>
          <family val="2"/>
          <charset val="238"/>
          <scheme val="minor"/>
        </font>
        <numFmt numFmtId="4" formatCode="#,##0.00"/>
        <alignment vertical="center"/>
        <border outline="0">
          <left style="thin">
            <color indexed="64"/>
          </left>
          <right style="thin">
            <color indexed="64"/>
          </right>
          <top style="thin">
            <color indexed="64"/>
          </top>
          <bottom style="medium">
            <color indexed="64"/>
          </bottom>
        </border>
      </ndxf>
    </rcc>
  </rrc>
  <rrc rId="425"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cc rId="0" sId="1" dxf="1">
      <nc r="S354" t="inlineStr">
        <is>
          <t xml:space="preserve">Finanțare acordată </t>
        </is>
      </nc>
      <ndxf>
        <font>
          <b/>
          <sz val="12"/>
          <color auto="1"/>
          <name val="Calibri"/>
          <family val="2"/>
          <charset val="238"/>
          <scheme val="minor"/>
        </font>
        <numFmt numFmtId="4" formatCode="#,##0.00"/>
        <alignment horizontal="center" vertical="center" wrapText="1"/>
        <border outline="0">
          <left style="thin">
            <color indexed="64"/>
          </left>
          <top style="thin">
            <color indexed="64"/>
          </top>
          <bottom style="thin">
            <color indexed="64"/>
          </bottom>
        </border>
      </ndxf>
    </rcc>
    <rfmt sheetId="1" sqref="T354"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U354"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V354" start="0" length="0">
      <dxf>
        <font>
          <b/>
          <sz val="12"/>
          <color auto="1"/>
          <name val="Calibri"/>
          <family val="2"/>
          <charset val="238"/>
          <scheme val="minor"/>
        </font>
        <numFmt numFmtId="4" formatCode="#,##0.00"/>
        <alignment horizontal="center" vertical="center" wrapText="1"/>
        <border outline="0">
          <top style="thin">
            <color indexed="64"/>
          </top>
          <bottom style="thin">
            <color indexed="64"/>
          </bottom>
        </border>
      </dxf>
    </rfmt>
    <rfmt sheetId="1" sqref="W354" start="0" length="0">
      <dxf>
        <alignment horizontal="center" vertical="center" wrapText="1"/>
        <border outline="0">
          <top style="thin">
            <color indexed="64"/>
          </top>
          <bottom style="thin">
            <color indexed="64"/>
          </bottom>
        </border>
      </dxf>
    </rfmt>
    <rfmt sheetId="1" sqref="X354" start="0" length="0">
      <dxf>
        <alignment horizontal="center" vertical="center" wrapText="1"/>
        <border outline="0">
          <right style="thin">
            <color indexed="64"/>
          </right>
          <top style="thin">
            <color indexed="64"/>
          </top>
          <bottom style="thin">
            <color indexed="64"/>
          </bottom>
        </border>
      </dxf>
    </rfmt>
    <rcc rId="0" sId="1" dxf="1">
      <nc r="Y354" t="inlineStr">
        <is>
          <t>Contribuția proprie a beneficiarului</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Z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A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AB354" t="inlineStr">
        <is>
          <t>Contribuție privată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C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D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AE354" t="inlineStr">
        <is>
          <t xml:space="preserve">Valoarea eligibila </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F354" t="inlineStr">
        <is>
          <t>Cheltuieli neeligibile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G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54"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54"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cc rId="0" sId="1" dxf="1">
      <nc r="AJ354"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K354" t="inlineStr">
        <is>
          <t>Contribuția națională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rc>
  <rrc rId="426" sId="1" ref="A354:XFD354" action="deleteRow">
    <undo index="65535" exp="area" ref3D="1" dr="$C$1:$C$354" dn="Z_15F03B40_FCDD_463A_AE42_63F6121ACBED_.wvu.FilterData" sId="1"/>
    <undo index="65535" exp="area" ref3D="1" dr="$C$1:$C$354" dn="Z_4C2A0B30_0070_415E_A110_A9BCC2779710_.wvu.FilterData" sId="1"/>
    <undo index="65535" exp="area" ref3D="1" dr="$C$1:$C$354" dn="Z_59EBF1CB_AF85_469A_B1D0_E57CB0203158_.wvu.FilterData" sId="1"/>
    <undo index="65535" exp="area" ref3D="1" dr="$B$1:$B$354" dn="Z_A093D1FA_1747_4946_A02E_7D721604BB07_.wvu.FilterData" sId="1"/>
    <undo index="65535" exp="area" ref3D="1" dr="$C$1:$C$354" dn="Z_7C389A6C_C379_45EF_8779_FEC15F27C7E7_.wvu.FilterData" sId="1"/>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cc rId="0" sId="1" dxf="1">
      <nc r="S354" t="inlineStr">
        <is>
          <t>Fonduri UE</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T354"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U354"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V354" t="inlineStr">
        <is>
          <t>Buget național</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W354"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X354"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Y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cc rId="0" sId="1" dxf="1">
      <nc r="Z354" t="inlineStr">
        <is>
          <t>regiune mai puțin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cc rId="0" sId="1" dxf="1">
      <nc r="AA354" t="inlineStr">
        <is>
          <t>regiune mai dezvoltată</t>
        </is>
      </nc>
      <n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ndxf>
    </rcc>
    <rfmt sheetId="1" sqref="AB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C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D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E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F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G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H354"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I354" start="0" length="0">
      <dxf>
        <font>
          <b/>
          <sz val="12"/>
          <color auto="1"/>
          <name val="Calibri"/>
          <family val="2"/>
          <charset val="238"/>
          <scheme val="minor"/>
        </font>
        <numFmt numFmtId="3" formatCode="#,##0"/>
        <alignment vertical="center" wrapText="1"/>
        <border outline="0">
          <left style="thin">
            <color indexed="64"/>
          </left>
          <right style="thin">
            <color indexed="64"/>
          </right>
          <top style="thin">
            <color indexed="64"/>
          </top>
          <bottom style="thin">
            <color indexed="64"/>
          </bottom>
        </border>
      </dxf>
    </rfmt>
    <rfmt sheetId="1" sqref="AJ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fmt sheetId="1" sqref="AK354" start="0" length="0">
      <dxf>
        <font>
          <b/>
          <sz val="12"/>
          <color auto="1"/>
          <name val="Calibri"/>
          <family val="2"/>
          <charset val="238"/>
          <scheme val="minor"/>
        </font>
        <numFmt numFmtId="4" formatCode="#,##0.00"/>
        <alignment vertical="center" wrapText="1"/>
        <border outline="0">
          <left style="thin">
            <color indexed="64"/>
          </left>
          <right style="thin">
            <color indexed="64"/>
          </right>
          <top style="thin">
            <color indexed="64"/>
          </top>
          <bottom style="thin">
            <color indexed="64"/>
          </bottom>
        </border>
      </dxf>
    </rfmt>
  </rrc>
  <rrc rId="427"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28" sId="1" ref="A354:XFD354" action="deleteRow">
    <undo index="65535" exp="ref" v="1" dr="AG354" r="AG356" sId="1"/>
    <undo index="65535" exp="ref" v="1" dr="AF354" r="AF356" sId="1"/>
    <undo index="65535" exp="ref" v="1" dr="AE354" r="AE356" sId="1"/>
    <undo index="65535" exp="ref" v="1" dr="AD354" r="AD356" sId="1"/>
    <undo index="65535" exp="ref" v="1" dr="AC354" r="AC356" sId="1"/>
    <undo index="65535" exp="ref" v="1" dr="AB354" r="AB356" sId="1"/>
    <undo index="65535" exp="ref" v="1" dr="AA354" r="AA356" sId="1"/>
    <undo index="65535" exp="ref" v="1" dr="Z354" r="Z356" sId="1"/>
    <undo index="65535" exp="ref" v="1" dr="Y354" r="Y356" sId="1"/>
    <undo index="65535" exp="ref" v="1" dr="X354" r="X356" sId="1"/>
    <undo index="65535" exp="ref" v="1" dr="W354" r="W356" sId="1"/>
    <undo index="65535" exp="ref" v="1" dr="V354" r="V356" sId="1"/>
    <undo index="65535" exp="ref" v="1" dr="U354" r="U356" sId="1"/>
    <undo index="65535" exp="ref" v="1" dr="T354" r="T356" sId="1"/>
    <undo index="65535" exp="ref" v="1" dr="S354" r="S356" sId="1"/>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cc rId="0" sId="1">
      <nc r="S354">
        <v>4.7550999999999997</v>
      </nc>
    </rcc>
    <rcc rId="0" sId="1">
      <nc r="T354">
        <v>4.7550999999999997</v>
      </nc>
    </rcc>
    <rcc rId="0" sId="1">
      <nc r="U354">
        <v>4.7550999999999997</v>
      </nc>
    </rcc>
    <rcc rId="0" sId="1">
      <nc r="V354">
        <v>4.7550999999999997</v>
      </nc>
    </rcc>
    <rcc rId="0" sId="1">
      <nc r="W354">
        <v>4.7550999999999997</v>
      </nc>
    </rcc>
    <rcc rId="0" sId="1">
      <nc r="X354">
        <v>4.7550999999999997</v>
      </nc>
    </rcc>
    <rcc rId="0" sId="1">
      <nc r="Y354">
        <v>4.7550999999999997</v>
      </nc>
    </rcc>
    <rcc rId="0" sId="1">
      <nc r="Z354">
        <v>4.7550999999999997</v>
      </nc>
    </rcc>
    <rcc rId="0" sId="1">
      <nc r="AA354">
        <v>4.7550999999999997</v>
      </nc>
    </rcc>
    <rcc rId="0" sId="1">
      <nc r="AB354">
        <v>4.7550999999999997</v>
      </nc>
    </rcc>
    <rcc rId="0" sId="1">
      <nc r="AC354">
        <v>4.7550999999999997</v>
      </nc>
    </rcc>
    <rcc rId="0" sId="1">
      <nc r="AD354">
        <v>4.7550999999999997</v>
      </nc>
    </rcc>
    <rcc rId="0" sId="1">
      <nc r="AE354">
        <v>4.7550999999999997</v>
      </nc>
    </rcc>
    <rcc rId="0" sId="1">
      <nc r="AF354">
        <v>4.7550999999999997</v>
      </nc>
    </rcc>
    <rcc rId="0" sId="1">
      <nc r="AG354">
        <v>4.7550999999999997</v>
      </nc>
    </rcc>
    <rfmt sheetId="1" sqref="AI354" start="0" length="0">
      <dxf>
        <alignment vertical="top" wrapText="1"/>
      </dxf>
    </rfmt>
  </rrc>
  <rrc rId="429"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30" sId="1" ref="A354:XFD354" action="deleteRow">
    <undo index="65535" exp="area" ref3D="1" dr="$H$1:$N$1048576" dn="Z_65B035E3_87FA_46C5_996E_864F2C8D0EBC_.wvu.Cols" sId="1"/>
    <rfmt sheetId="1" xfDxf="1" sqref="A354:XFD354" start="0" length="0">
      <dxf>
        <numFmt numFmtId="4" formatCode="#,##0.00"/>
      </dxf>
    </rfmt>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cc rId="0" sId="1">
      <nc r="S354">
        <f>#REF!/#REF!</f>
      </nc>
    </rcc>
    <rcc rId="0" sId="1">
      <nc r="T354">
        <f>#REF!/#REF!</f>
      </nc>
    </rcc>
    <rcc rId="0" sId="1">
      <nc r="U354">
        <f>#REF!/#REF!</f>
      </nc>
    </rcc>
    <rcc rId="0" sId="1">
      <nc r="V354">
        <f>#REF!/#REF!</f>
      </nc>
    </rcc>
    <rcc rId="0" sId="1">
      <nc r="W354">
        <f>#REF!/#REF!</f>
      </nc>
    </rcc>
    <rcc rId="0" sId="1">
      <nc r="X354">
        <f>#REF!/#REF!</f>
      </nc>
    </rcc>
    <rcc rId="0" sId="1">
      <nc r="Y354">
        <f>#REF!/#REF!</f>
      </nc>
    </rcc>
    <rcc rId="0" sId="1">
      <nc r="Z354">
        <f>#REF!/#REF!</f>
      </nc>
    </rcc>
    <rcc rId="0" sId="1">
      <nc r="AA354">
        <f>#REF!/#REF!</f>
      </nc>
    </rcc>
    <rcc rId="0" sId="1">
      <nc r="AB354">
        <f>#REF!/#REF!</f>
      </nc>
    </rcc>
    <rcc rId="0" sId="1">
      <nc r="AC354">
        <f>#REF!/#REF!</f>
      </nc>
    </rcc>
    <rcc rId="0" sId="1">
      <nc r="AD354">
        <f>#REF!/#REF!</f>
      </nc>
    </rcc>
    <rcc rId="0" sId="1">
      <nc r="AE354">
        <f>#REF!/#REF!</f>
      </nc>
    </rcc>
    <rcc rId="0" sId="1">
      <nc r="AF354">
        <f>#REF!/#REF!</f>
      </nc>
    </rcc>
    <rcc rId="0" sId="1">
      <nc r="AG354">
        <f>#REF!/#REF!</f>
      </nc>
    </rcc>
    <rfmt sheetId="1" sqref="AI354" start="0" length="0">
      <dxf>
        <alignment vertical="top" wrapText="1"/>
      </dxf>
    </rfmt>
  </rrc>
  <rrc rId="431" sId="1" ref="A354:XFD354" action="deleteRow">
    <undo index="65535" exp="area" ref3D="1" dr="$C$1:$C$354" dn="Z_901F9774_8BE7_424D_87C2_1026F3FA2E93_.wvu.FilterData" sId="1"/>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E354" start="0" length="0">
      <dxf>
        <numFmt numFmtId="166" formatCode="#,##0.00_ ;\-#,##0.00\ "/>
      </dxf>
    </rfmt>
    <rfmt sheetId="1" sqref="AI354" start="0" length="0">
      <dxf>
        <alignment vertical="top" wrapText="1"/>
      </dxf>
    </rfmt>
    <rfmt sheetId="1" sqref="AJ354" start="0" length="0">
      <dxf>
        <numFmt numFmtId="4" formatCode="#,##0.00"/>
      </dxf>
    </rfmt>
    <rfmt sheetId="1" sqref="AK354" start="0" length="0">
      <dxf>
        <numFmt numFmtId="4" formatCode="#,##0.00"/>
      </dxf>
    </rfmt>
  </rrc>
  <rrc rId="432"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fmt sheetId="1" sqref="AJ354" start="0" length="0">
      <dxf>
        <numFmt numFmtId="4" formatCode="#,##0.00"/>
      </dxf>
    </rfmt>
    <rfmt sheetId="1" sqref="AK354" start="0" length="0">
      <dxf>
        <numFmt numFmtId="4" formatCode="#,##0.00"/>
      </dxf>
    </rfmt>
  </rrc>
  <rrc rId="433"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fmt sheetId="1" sqref="AJ354" start="0" length="0">
      <dxf>
        <numFmt numFmtId="4" formatCode="#,##0.00"/>
      </dxf>
    </rfmt>
    <rfmt sheetId="1" sqref="AK354" start="0" length="0">
      <dxf>
        <numFmt numFmtId="4" formatCode="#,##0.00"/>
      </dxf>
    </rfmt>
  </rrc>
  <rrc rId="434"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fmt sheetId="1" sqref="AJ354" start="0" length="0">
      <dxf>
        <numFmt numFmtId="4" formatCode="#,##0.00"/>
      </dxf>
    </rfmt>
    <rfmt sheetId="1" sqref="AK354" start="0" length="0">
      <dxf>
        <numFmt numFmtId="4" formatCode="#,##0.00"/>
      </dxf>
    </rfmt>
  </rrc>
  <rrc rId="435" sId="1" ref="A354:XFD354" action="deleteRow">
    <undo index="65535" exp="area" ref3D="1" dr="$C$1:$C$354" dn="Z_3A00607E_664E_4ED3_AB65_1F25AC8DBC86_.wvu.FilterData" sId="1"/>
    <undo index="65535" exp="area" ref3D="1" dr="$C$1:$C$354" dn="Z_905D93EA_5662_45AB_8995_A9908B3E5D52_.wvu.FilterData" sId="1"/>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cc rId="0" sId="1" dxf="1">
      <nc r="AB354">
        <f>#REF!+#REF!+#REF!+#REF!</f>
      </nc>
      <ndxf>
        <numFmt numFmtId="166" formatCode="#,##0.00_ ;\-#,##0.00\ "/>
      </ndxf>
    </rcc>
    <rfmt sheetId="1" sqref="AI354" start="0" length="0">
      <dxf>
        <alignment vertical="top" wrapText="1"/>
      </dxf>
    </rfmt>
    <rfmt sheetId="1" sqref="AJ354" start="0" length="0">
      <dxf>
        <numFmt numFmtId="4" formatCode="#,##0.00"/>
      </dxf>
    </rfmt>
    <rfmt sheetId="1" sqref="AK354" start="0" length="0">
      <dxf>
        <numFmt numFmtId="4" formatCode="#,##0.00"/>
      </dxf>
    </rfmt>
  </rrc>
  <rrc rId="436"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37"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38"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39"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40"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41"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42"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rc rId="443" sId="1" ref="A354:XFD354" action="deleteRow">
    <undo index="65535" exp="area" ref3D="1" dr="$H$1:$N$1048576" dn="Z_65B035E3_87FA_46C5_996E_864F2C8D0EBC_.wvu.Cols" sId="1"/>
    <rfmt sheetId="1" xfDxf="1" sqref="A354:XFD354" start="0" length="0"/>
    <rfmt sheetId="1" sqref="C354" start="0" length="0">
      <dxf>
        <font>
          <b/>
          <sz val="11"/>
          <color theme="1"/>
          <name val="Calibri"/>
          <family val="2"/>
          <charset val="238"/>
          <scheme val="minor"/>
        </font>
      </dxf>
    </rfmt>
    <rfmt sheetId="1" sqref="G354" start="0" length="0">
      <dxf>
        <alignment horizontal="left" vertical="top"/>
      </dxf>
    </rfmt>
    <rfmt sheetId="1" sqref="H354" start="0" length="0">
      <dxf>
        <alignment horizontal="left" vertical="top"/>
      </dxf>
    </rfmt>
    <rfmt sheetId="1" sqref="I354" start="0" length="0">
      <dxf>
        <alignment horizontal="center" vertical="top"/>
      </dxf>
    </rfmt>
    <rfmt sheetId="1" sqref="K354" start="0" length="0">
      <dxf>
        <alignment horizontal="center" vertical="top"/>
      </dxf>
    </rfmt>
    <rfmt sheetId="1" sqref="L354" start="0" length="0">
      <dxf>
        <alignment horizontal="center" vertical="top"/>
      </dxf>
    </rfmt>
    <rfmt sheetId="1" sqref="M354" start="0" length="0">
      <dxf>
        <alignment horizontal="center" vertical="top"/>
      </dxf>
    </rfmt>
    <rfmt sheetId="1" sqref="N354" start="0" length="0">
      <dxf>
        <alignment horizontal="center" vertical="top"/>
      </dxf>
    </rfmt>
    <rfmt sheetId="1" sqref="O354" start="0" length="0">
      <dxf>
        <alignment horizontal="center" vertical="top"/>
      </dxf>
    </rfmt>
    <rfmt sheetId="1" sqref="P354" start="0" length="0">
      <dxf>
        <alignment horizontal="center" vertical="top"/>
      </dxf>
    </rfmt>
    <rfmt sheetId="1" sqref="Q354" start="0" length="0">
      <dxf>
        <alignment horizontal="center" vertical="top"/>
      </dxf>
    </rfmt>
    <rfmt sheetId="1" sqref="R354" start="0" length="0">
      <dxf>
        <alignment horizontal="center" vertical="top"/>
      </dxf>
    </rfmt>
    <rfmt sheetId="1" sqref="AI354" start="0" length="0">
      <dxf>
        <alignment vertical="top" wrapText="1"/>
      </dxf>
    </rfmt>
  </rrc>
  <rfmt sheetId="1" sqref="A6:XFD358" start="0" length="2147483647">
    <dxf>
      <font>
        <b val="0"/>
      </font>
    </dxf>
  </rfmt>
  <rfmt sheetId="1" sqref="A6:XFD358" start="0" length="2147483647">
    <dxf>
      <font>
        <b/>
      </font>
    </dxf>
  </rfmt>
  <rfmt sheetId="1" sqref="A6:XFD358" start="0" length="2147483647">
    <dxf>
      <font>
        <b val="0"/>
      </font>
    </dxf>
  </rfmt>
  <rcv guid="{D1B5461B-B040-4BC9-AF67-A8F429825375}" action="delete"/>
  <rdn rId="0" localSheetId="1" customView="1" name="Z_D1B5461B_B040_4BC9_AF67_A8F429825375_.wvu.PrintArea" hidden="1" oldHidden="1">
    <formula>Sheet1!$A$1:$AK$353</formula>
    <oldFormula>Sheet1!$A$1:$AK$353</oldFormula>
  </rdn>
  <rdn rId="0" localSheetId="1" customView="1" name="Z_D1B5461B_B040_4BC9_AF67_A8F429825375_.wvu.FilterData" hidden="1" oldHidden="1">
    <formula>Sheet1!$A$1:$AK$353</formula>
    <oldFormula>Sheet1!$A$1:$AK$353</oldFormula>
  </rdn>
  <rcv guid="{D1B5461B-B040-4BC9-AF67-A8F429825375}" action="add"/>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G138:H139">
    <dxf>
      <border>
        <left style="thin">
          <color indexed="64"/>
        </left>
        <right style="thin">
          <color indexed="64"/>
        </right>
        <top style="thin">
          <color indexed="64"/>
        </top>
        <bottom style="thin">
          <color indexed="64"/>
        </bottom>
        <vertical style="thin">
          <color indexed="64"/>
        </vertical>
        <horizontal style="thin">
          <color indexed="64"/>
        </horizontal>
      </border>
    </dxf>
  </rfmt>
  <rrc rId="446" sId="1" ref="A55:XFD55" action="deleteRow">
    <undo index="65535" exp="area" ref3D="1" dr="$H$1:$N$1048576" dn="Z_65B035E3_87FA_46C5_996E_864F2C8D0EBC_.wvu.Cols" sId="1"/>
    <rfmt sheetId="1" xfDxf="1" sqref="A55:XFD55" start="0" length="0"/>
    <rfmt sheetId="1" sqref="A55" start="0" length="0">
      <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dxf>
    </rfmt>
    <rfmt sheetId="1" sqref="B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55" t="inlineStr">
        <is>
          <t>TOTAL BUZĂU</t>
        </is>
      </nc>
      <ndxf>
        <font>
          <sz val="12"/>
          <color auto="1"/>
          <name val="Calibri"/>
          <family val="2"/>
          <charset val="238"/>
          <scheme val="minor"/>
        </font>
        <alignment horizontal="center" vertical="center" wrapText="1"/>
        <border outline="0">
          <left style="medium">
            <color indexed="64"/>
          </left>
          <right style="thin">
            <color indexed="64"/>
          </right>
          <top style="thin">
            <color indexed="64"/>
          </top>
          <bottom style="thin">
            <color indexed="64"/>
          </bottom>
        </border>
      </ndxf>
    </rcc>
    <rfmt sheetId="1" sqref="H55"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55"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55">
        <f>SUM(S50:S52)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T55">
        <f>SUM(T50:T52)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U55">
        <f>SUM(U50:U53)</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V55">
        <f>SUM(V50:V52)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W55">
        <f>SUM(W50:W52)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X55">
        <f>SUM(X50:X52)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Y55">
        <f>SUM(Y50:Y52)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Z55">
        <f>SUM(Z50:Z52)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A55">
        <f>SUM(AA50:AA53)</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B55">
        <f>SUM(AB50:AB52)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C55">
        <f>SUM(AC50:AC52)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D55">
        <f>SUM(AD50:AD53)</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E55">
        <f>SUM(AE50:AE52)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F55">
        <f>SUM(AF50:AF52)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G55">
        <f>SUM(AG50:AG52)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fmt sheetId="1" sqref="AH55" start="0" length="0">
      <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dxf>
    </rfmt>
    <rcc rId="0" sId="1" dxf="1">
      <nc r="AI55">
        <f>SUM(AI50:AI52)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J55">
        <f>SUM(AJ50:AJ52)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cc rId="0" sId="1" dxf="1">
      <nc r="AK55">
        <f>SUM(AK50:AK52)</f>
      </nc>
      <ndxf>
        <font>
          <sz val="12"/>
          <color auto="1"/>
          <name val="Calibri"/>
          <family val="2"/>
          <charset val="238"/>
          <scheme val="minor"/>
        </font>
        <alignment horizontal="right" vertical="center" wrapText="1"/>
        <border outline="0">
          <left style="thin">
            <color indexed="64"/>
          </left>
          <right style="thin">
            <color indexed="64"/>
          </right>
          <top style="thin">
            <color indexed="64"/>
          </top>
          <bottom style="thin">
            <color indexed="64"/>
          </bottom>
        </border>
      </ndxf>
    </rcc>
  </rrc>
  <rrc rId="447" sId="1" ref="A21:XFD21" action="deleteRow">
    <undo index="65535" exp="area" ref3D="1" dr="$H$1:$N$1048576" dn="Z_65B035E3_87FA_46C5_996E_864F2C8D0EBC_.wvu.Cols" sId="1"/>
    <rfmt sheetId="1" xfDxf="1" sqref="A21:XFD21" start="0" length="0"/>
    <rfmt sheetId="1" sqref="A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B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C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D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E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F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G21" t="inlineStr">
        <is>
          <t>TOTAL ARAD</t>
        </is>
      </nc>
      <ndxf>
        <font>
          <sz val="12"/>
          <color auto="1"/>
          <name val="Calibri"/>
          <family val="2"/>
          <charset val="238"/>
          <scheme val="minor"/>
        </font>
        <alignment horizontal="center" vertical="center" wrapText="1"/>
        <border outline="0">
          <right style="thin">
            <color indexed="64"/>
          </right>
          <top style="thin">
            <color indexed="64"/>
          </top>
          <bottom style="thin">
            <color indexed="64"/>
          </bottom>
        </border>
      </ndxf>
    </rcc>
    <rfmt sheetId="1" sqref="H21" start="0" length="0">
      <dxf>
        <font>
          <sz val="12"/>
          <color auto="1"/>
          <name val="Calibri"/>
          <family val="2"/>
          <charset val="238"/>
          <scheme val="minor"/>
        </font>
        <alignment horizontal="left" vertical="center" wrapText="1"/>
        <border outline="0">
          <left style="thin">
            <color indexed="64"/>
          </left>
          <right style="thin">
            <color indexed="64"/>
          </right>
          <top style="thin">
            <color indexed="64"/>
          </top>
          <bottom style="thin">
            <color indexed="64"/>
          </bottom>
        </border>
      </dxf>
    </rfmt>
    <rfmt sheetId="1" sqref="I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J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K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L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M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N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O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P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Q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fmt sheetId="1" sqref="R21" start="0" length="0">
      <dxf>
        <font>
          <sz val="12"/>
          <color auto="1"/>
          <name val="Calibri"/>
          <family val="2"/>
          <charset val="238"/>
          <scheme val="minor"/>
        </font>
        <alignment horizontal="center" vertical="center" wrapText="1"/>
        <border outline="0">
          <left style="thin">
            <color indexed="64"/>
          </left>
          <right style="thin">
            <color indexed="64"/>
          </right>
          <top style="thin">
            <color indexed="64"/>
          </top>
          <bottom style="thin">
            <color indexed="64"/>
          </bottom>
        </border>
      </dxf>
    </rfmt>
    <rcc rId="0" sId="1" dxf="1">
      <nc r="S21">
        <f>SUM(S17:S19)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T21">
        <f>SUM(T17:T19)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U21">
        <f>SUM(U17:U19)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V21">
        <f>SUM(V17:V19)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W21">
        <f>SUM(W17:W19)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X21">
        <f>SUM(X17:X19)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Y21">
        <f>SUM(Y17:Y19)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Z21">
        <f>SUM(Z17:Z19)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A21">
        <f>SUM(AA17:AA19)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B21">
        <f>SUM(AB17:AB19)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C21">
        <f>SUM(AC17:AC19)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D21">
        <f>SUM(AD17:AD19)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E21">
        <f>SUM(AE17:AE19)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F21">
        <f>SUM(AF17:AF19)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G21">
        <f>SUM(AG17:AG19)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fmt sheetId="1" sqref="AH21" start="0" length="0">
      <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dxf>
    </rfmt>
    <rcc rId="0" sId="1" dxf="1">
      <nc r="AI21">
        <f>SUM(AI17:AI19)</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J21">
        <f>SUM(AJ17:AJ20)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cc rId="0" sId="1" dxf="1">
      <nc r="AK21">
        <f>SUM(AK17:AK20)</f>
      </nc>
      <ndxf>
        <font>
          <sz val="12"/>
          <color auto="1"/>
          <name val="Calibri"/>
          <family val="2"/>
          <charset val="238"/>
          <scheme val="minor"/>
        </font>
        <numFmt numFmtId="166" formatCode="#,##0.00_ ;\-#,##0.00\ "/>
        <alignment horizontal="right" vertical="center" wrapText="1"/>
        <border outline="0">
          <left style="thin">
            <color indexed="64"/>
          </left>
          <right style="thin">
            <color indexed="64"/>
          </right>
          <top style="thin">
            <color indexed="64"/>
          </top>
          <bottom style="thin">
            <color indexed="64"/>
          </bottom>
        </border>
      </ndxf>
    </rcc>
  </rrc>
  <rfmt sheetId="1" sqref="A7:A351" start="0" length="0">
    <dxf>
      <border>
        <left style="thin">
          <color indexed="64"/>
        </left>
      </border>
    </dxf>
  </rfmt>
  <rcc rId="448" sId="1">
    <oc r="A17">
      <v>1</v>
    </oc>
    <nc r="A17">
      <v>11</v>
    </nc>
  </rcc>
  <rcc rId="449" sId="1" odxf="1" dxf="1">
    <oc r="A18">
      <v>2</v>
    </oc>
    <nc r="A18">
      <v>12</v>
    </nc>
    <odxf>
      <font>
        <sz val="12"/>
        <color auto="1"/>
      </font>
    </odxf>
    <ndxf>
      <font>
        <sz val="12"/>
        <color auto="1"/>
      </font>
    </ndxf>
  </rcc>
  <rcc rId="450" sId="1" odxf="1" dxf="1">
    <oc r="A19">
      <v>3</v>
    </oc>
    <nc r="A19">
      <v>13</v>
    </nc>
    <odxf>
      <font>
        <sz val="12"/>
        <color auto="1"/>
      </font>
    </odxf>
    <ndxf>
      <font>
        <sz val="12"/>
        <color auto="1"/>
      </font>
    </ndxf>
  </rcc>
  <rcc rId="451" sId="1" odxf="1" dxf="1">
    <oc r="A20">
      <v>4</v>
    </oc>
    <nc r="A20">
      <v>14</v>
    </nc>
    <odxf>
      <font>
        <sz val="12"/>
        <color auto="1"/>
      </font>
    </odxf>
    <ndxf>
      <font>
        <sz val="12"/>
        <color auto="1"/>
      </font>
    </ndxf>
  </rcc>
  <rcc rId="452" sId="1">
    <oc r="A21">
      <v>1</v>
    </oc>
    <nc r="A21">
      <v>15</v>
    </nc>
  </rcc>
  <rcc rId="453" sId="1">
    <oc r="A22">
      <v>3</v>
    </oc>
    <nc r="A22">
      <v>16</v>
    </nc>
  </rcc>
  <rcc rId="454" sId="1">
    <nc r="A23">
      <v>17</v>
    </nc>
  </rcc>
  <rcc rId="455" sId="1">
    <nc r="A24">
      <v>18</v>
    </nc>
  </rcc>
  <rcc rId="456" sId="1">
    <oc r="A25">
      <v>1</v>
    </oc>
    <nc r="A25">
      <v>19</v>
    </nc>
  </rcc>
  <rcc rId="457" sId="1">
    <oc r="A26">
      <v>2</v>
    </oc>
    <nc r="A26">
      <v>20</v>
    </nc>
  </rcc>
  <rcc rId="458" sId="1">
    <oc r="A27">
      <v>3</v>
    </oc>
    <nc r="A27">
      <v>21</v>
    </nc>
  </rcc>
  <rcc rId="459" sId="1">
    <oc r="A28">
      <v>1</v>
    </oc>
    <nc r="A28">
      <v>22</v>
    </nc>
  </rcc>
  <rcc rId="460" sId="1">
    <oc r="A29">
      <v>2</v>
    </oc>
    <nc r="A29">
      <v>23</v>
    </nc>
  </rcc>
  <rcc rId="461" sId="1">
    <oc r="A30">
      <v>1</v>
    </oc>
    <nc r="A30">
      <v>24</v>
    </nc>
  </rcc>
  <rcc rId="462" sId="1">
    <oc r="A31">
      <v>1</v>
    </oc>
    <nc r="A31">
      <v>25</v>
    </nc>
  </rcc>
  <rcc rId="463" sId="1">
    <oc r="A32">
      <v>2</v>
    </oc>
    <nc r="A32">
      <v>26</v>
    </nc>
  </rcc>
  <rcc rId="464" sId="1">
    <oc r="A33">
      <v>3</v>
    </oc>
    <nc r="A33">
      <v>27</v>
    </nc>
  </rcc>
  <rcc rId="465" sId="1">
    <oc r="A34">
      <v>1</v>
    </oc>
    <nc r="A34">
      <v>28</v>
    </nc>
  </rcc>
  <rcc rId="466" sId="1">
    <oc r="A35">
      <v>2</v>
    </oc>
    <nc r="A35">
      <v>29</v>
    </nc>
  </rcc>
  <rcc rId="467" sId="1">
    <oc r="A36">
      <v>3</v>
    </oc>
    <nc r="A36">
      <v>30</v>
    </nc>
  </rcc>
  <rcc rId="468" sId="1">
    <oc r="A37">
      <v>1</v>
    </oc>
    <nc r="A37">
      <v>31</v>
    </nc>
  </rcc>
  <rcc rId="469" sId="1">
    <oc r="A38">
      <v>2</v>
    </oc>
    <nc r="A38">
      <v>32</v>
    </nc>
  </rcc>
  <rcc rId="470" sId="1">
    <oc r="A39">
      <v>3</v>
    </oc>
    <nc r="A39">
      <v>33</v>
    </nc>
  </rcc>
  <rcc rId="471" sId="1" odxf="1" dxf="1">
    <oc r="A40">
      <v>4</v>
    </oc>
    <nc r="A40">
      <v>34</v>
    </nc>
    <odxf>
      <font>
        <sz val="12"/>
        <color auto="1"/>
      </font>
    </odxf>
    <ndxf>
      <font>
        <sz val="12"/>
        <color auto="1"/>
      </font>
    </ndxf>
  </rcc>
  <rcc rId="472" sId="1" odxf="1" dxf="1">
    <oc r="A41">
      <v>5</v>
    </oc>
    <nc r="A41">
      <v>35</v>
    </nc>
    <odxf>
      <font>
        <sz val="12"/>
        <color auto="1"/>
      </font>
    </odxf>
    <ndxf>
      <font>
        <sz val="12"/>
        <color auto="1"/>
      </font>
    </ndxf>
  </rcc>
  <rcc rId="473" sId="1" odxf="1" dxf="1">
    <oc r="A42">
      <v>6</v>
    </oc>
    <nc r="A42">
      <v>36</v>
    </nc>
    <odxf>
      <font>
        <sz val="12"/>
        <color auto="1"/>
      </font>
    </odxf>
    <ndxf>
      <font>
        <sz val="12"/>
        <color auto="1"/>
      </font>
    </ndxf>
  </rcc>
  <rcc rId="474" sId="1">
    <oc r="A43">
      <v>1</v>
    </oc>
    <nc r="A43">
      <v>37</v>
    </nc>
  </rcc>
  <rcc rId="475" sId="1">
    <oc r="A44">
      <v>2</v>
    </oc>
    <nc r="A44">
      <v>38</v>
    </nc>
  </rcc>
  <rcc rId="476" sId="1">
    <oc r="A45">
      <v>3</v>
    </oc>
    <nc r="A45">
      <v>39</v>
    </nc>
  </rcc>
  <rcc rId="477" sId="1">
    <oc r="A46">
      <v>5</v>
    </oc>
    <nc r="A46">
      <v>40</v>
    </nc>
  </rcc>
  <rcc rId="478" sId="1">
    <oc r="A47">
      <v>6</v>
    </oc>
    <nc r="A47">
      <v>41</v>
    </nc>
  </rcc>
  <rcc rId="479" sId="1">
    <oc r="A48">
      <v>7</v>
    </oc>
    <nc r="A48">
      <v>42</v>
    </nc>
  </rcc>
  <rcc rId="480" sId="1">
    <oc r="A49">
      <v>2</v>
    </oc>
    <nc r="A49">
      <v>43</v>
    </nc>
  </rcc>
  <rcc rId="481" sId="1">
    <oc r="A50">
      <v>3</v>
    </oc>
    <nc r="A50">
      <v>44</v>
    </nc>
  </rcc>
  <rcc rId="482" sId="1">
    <oc r="A51">
      <v>4</v>
    </oc>
    <nc r="A51">
      <v>45</v>
    </nc>
  </rcc>
  <rcc rId="483" sId="1">
    <oc r="A52">
      <v>5</v>
    </oc>
    <nc r="A52">
      <v>46</v>
    </nc>
  </rcc>
  <rcc rId="484" sId="1">
    <oc r="A53">
      <v>6</v>
    </oc>
    <nc r="A53">
      <v>47</v>
    </nc>
  </rcc>
  <rcc rId="485" sId="1">
    <oc r="A54">
      <v>1</v>
    </oc>
    <nc r="A54">
      <v>48</v>
    </nc>
  </rcc>
  <rcc rId="486" sId="1">
    <oc r="A55">
      <v>2</v>
    </oc>
    <nc r="A55">
      <v>49</v>
    </nc>
  </rcc>
  <rcc rId="487" sId="1">
    <oc r="A56">
      <v>3</v>
    </oc>
    <nc r="A56">
      <v>50</v>
    </nc>
  </rcc>
  <rcc rId="488" sId="1">
    <oc r="A57">
      <v>4</v>
    </oc>
    <nc r="A57">
      <v>51</v>
    </nc>
  </rcc>
  <rcc rId="489" sId="1">
    <oc r="A58">
      <v>1</v>
    </oc>
    <nc r="A58">
      <v>52</v>
    </nc>
  </rcc>
  <rcc rId="490" sId="1">
    <oc r="A59">
      <v>1</v>
    </oc>
    <nc r="A59">
      <v>53</v>
    </nc>
  </rcc>
  <rcc rId="491" sId="1">
    <oc r="A60">
      <v>2</v>
    </oc>
    <nc r="A60">
      <v>54</v>
    </nc>
  </rcc>
  <rcc rId="492" sId="1">
    <oc r="A61">
      <v>3</v>
    </oc>
    <nc r="A61">
      <v>55</v>
    </nc>
  </rcc>
  <rcc rId="493" sId="1">
    <oc r="A62">
      <v>4</v>
    </oc>
    <nc r="A62">
      <v>56</v>
    </nc>
  </rcc>
  <rcc rId="494" sId="1">
    <oc r="A63">
      <v>5</v>
    </oc>
    <nc r="A63">
      <v>57</v>
    </nc>
  </rcc>
  <rcc rId="495" sId="1">
    <oc r="A64">
      <v>1</v>
    </oc>
    <nc r="A64">
      <v>58</v>
    </nc>
  </rcc>
  <rcc rId="496" sId="1">
    <oc r="A65">
      <v>2</v>
    </oc>
    <nc r="A65">
      <v>59</v>
    </nc>
  </rcc>
  <rcc rId="497" sId="1">
    <oc r="A66">
      <v>3</v>
    </oc>
    <nc r="A66">
      <v>60</v>
    </nc>
  </rcc>
  <rcc rId="498" sId="1">
    <oc r="A67">
      <v>4</v>
    </oc>
    <nc r="A67">
      <v>61</v>
    </nc>
  </rcc>
  <rcc rId="499" sId="1">
    <oc r="A68">
      <v>1</v>
    </oc>
    <nc r="A68">
      <v>62</v>
    </nc>
  </rcc>
  <rcc rId="500" sId="1">
    <oc r="A69">
      <v>1</v>
    </oc>
    <nc r="A69">
      <v>63</v>
    </nc>
  </rcc>
  <rcc rId="501" sId="1">
    <oc r="A70">
      <v>2</v>
    </oc>
    <nc r="A70">
      <v>64</v>
    </nc>
  </rcc>
  <rcc rId="502" sId="1">
    <oc r="A71">
      <v>1</v>
    </oc>
    <nc r="A71">
      <v>65</v>
    </nc>
  </rcc>
  <rcc rId="503" sId="1">
    <oc r="A72">
      <v>2</v>
    </oc>
    <nc r="A72">
      <v>66</v>
    </nc>
  </rcc>
  <rcc rId="504" sId="1" odxf="1" dxf="1">
    <oc r="A73">
      <v>3</v>
    </oc>
    <nc r="A73">
      <v>67</v>
    </nc>
    <odxf>
      <font>
        <sz val="12"/>
        <color auto="1"/>
      </font>
    </odxf>
    <ndxf>
      <font>
        <sz val="12"/>
        <color auto="1"/>
      </font>
    </ndxf>
  </rcc>
  <rcc rId="505" sId="1" odxf="1" dxf="1">
    <oc r="A74">
      <v>3</v>
    </oc>
    <nc r="A74">
      <v>68</v>
    </nc>
    <odxf>
      <font>
        <sz val="12"/>
        <color auto="1"/>
      </font>
    </odxf>
    <ndxf>
      <font>
        <sz val="12"/>
        <color auto="1"/>
      </font>
    </ndxf>
  </rcc>
  <rcc rId="506" sId="1" odxf="1" dxf="1">
    <oc r="A75">
      <v>4</v>
    </oc>
    <nc r="A75">
      <v>69</v>
    </nc>
    <odxf>
      <font>
        <sz val="12"/>
        <color auto="1"/>
      </font>
    </odxf>
    <ndxf>
      <font>
        <sz val="12"/>
        <color auto="1"/>
      </font>
    </ndxf>
  </rcc>
  <rcc rId="507" sId="1" odxf="1" dxf="1">
    <oc r="A76">
      <v>5</v>
    </oc>
    <nc r="A76">
      <v>70</v>
    </nc>
    <odxf>
      <font>
        <sz val="12"/>
        <color auto="1"/>
      </font>
      <numFmt numFmtId="3" formatCode="#,##0"/>
    </odxf>
    <ndxf>
      <font>
        <sz val="12"/>
        <color auto="1"/>
      </font>
      <numFmt numFmtId="0" formatCode="General"/>
    </ndxf>
  </rcc>
  <rcc rId="508" sId="1" odxf="1" dxf="1">
    <oc r="A77">
      <v>6</v>
    </oc>
    <nc r="A77">
      <v>71</v>
    </nc>
    <odxf>
      <font>
        <sz val="12"/>
        <color auto="1"/>
      </font>
      <numFmt numFmtId="3" formatCode="#,##0"/>
    </odxf>
    <ndxf>
      <font>
        <sz val="12"/>
        <color auto="1"/>
      </font>
      <numFmt numFmtId="0" formatCode="General"/>
    </ndxf>
  </rcc>
  <rcc rId="509" sId="1">
    <oc r="A78">
      <v>1</v>
    </oc>
    <nc r="A78">
      <v>72</v>
    </nc>
  </rcc>
  <rcc rId="510" sId="1" odxf="1" dxf="1">
    <oc r="A79">
      <v>2</v>
    </oc>
    <nc r="A79">
      <v>73</v>
    </nc>
    <odxf>
      <font>
        <sz val="12"/>
        <color auto="1"/>
      </font>
    </odxf>
    <ndxf>
      <font>
        <sz val="12"/>
        <color auto="1"/>
      </font>
    </ndxf>
  </rcc>
  <rcc rId="511" sId="1">
    <oc r="A80">
      <v>3</v>
    </oc>
    <nc r="A80">
      <v>74</v>
    </nc>
  </rcc>
  <rcc rId="512" sId="1">
    <oc r="A81">
      <v>4</v>
    </oc>
    <nc r="A81">
      <v>75</v>
    </nc>
  </rcc>
  <rcc rId="513" sId="1">
    <oc r="A82">
      <v>5</v>
    </oc>
    <nc r="A82">
      <v>76</v>
    </nc>
  </rcc>
  <rcc rId="514" sId="1">
    <oc r="A83">
      <v>1</v>
    </oc>
    <nc r="A83">
      <v>77</v>
    </nc>
  </rcc>
  <rcc rId="515" sId="1">
    <oc r="A84">
      <v>2</v>
    </oc>
    <nc r="A84">
      <v>78</v>
    </nc>
  </rcc>
  <rcc rId="516" sId="1">
    <oc r="A85">
      <v>3</v>
    </oc>
    <nc r="A85">
      <v>79</v>
    </nc>
  </rcc>
  <rcc rId="517" sId="1">
    <oc r="A86">
      <v>4</v>
    </oc>
    <nc r="A86">
      <v>80</v>
    </nc>
  </rcc>
  <rcc rId="518" sId="1">
    <oc r="A87">
      <v>1</v>
    </oc>
    <nc r="A87">
      <v>81</v>
    </nc>
  </rcc>
  <rcc rId="519" sId="1">
    <oc r="A88">
      <v>2</v>
    </oc>
    <nc r="A88">
      <v>82</v>
    </nc>
  </rcc>
  <rcc rId="520" sId="1">
    <oc r="A89">
      <v>3</v>
    </oc>
    <nc r="A89">
      <v>83</v>
    </nc>
  </rcc>
  <rcc rId="521" sId="1">
    <oc r="A90">
      <v>4</v>
    </oc>
    <nc r="A90">
      <v>84</v>
    </nc>
  </rcc>
  <rcc rId="522" sId="1">
    <oc r="A91">
      <v>5</v>
    </oc>
    <nc r="A91">
      <v>85</v>
    </nc>
  </rcc>
  <rcc rId="523" sId="1">
    <oc r="A92">
      <v>6</v>
    </oc>
    <nc r="A92">
      <v>86</v>
    </nc>
  </rcc>
  <rcc rId="524" sId="1">
    <oc r="A93">
      <v>7</v>
    </oc>
    <nc r="A93">
      <v>87</v>
    </nc>
  </rcc>
  <rcc rId="525" sId="1">
    <oc r="A94">
      <v>1</v>
    </oc>
    <nc r="A94">
      <v>88</v>
    </nc>
  </rcc>
  <rcc rId="526" sId="1">
    <oc r="A95">
      <v>2</v>
    </oc>
    <nc r="A95">
      <v>89</v>
    </nc>
  </rcc>
  <rcc rId="527" sId="1">
    <oc r="A96">
      <v>1</v>
    </oc>
    <nc r="A96">
      <v>90</v>
    </nc>
  </rcc>
  <rcc rId="528" sId="1">
    <oc r="A97">
      <v>2</v>
    </oc>
    <nc r="A97">
      <v>91</v>
    </nc>
  </rcc>
  <rcc rId="529" sId="1">
    <oc r="A98">
      <v>3</v>
    </oc>
    <nc r="A98">
      <v>92</v>
    </nc>
  </rcc>
  <rcc rId="530" sId="1">
    <oc r="A99">
      <v>4</v>
    </oc>
    <nc r="A99">
      <v>93</v>
    </nc>
  </rcc>
  <rcc rId="531" sId="1">
    <oc r="A100">
      <v>5</v>
    </oc>
    <nc r="A100">
      <v>94</v>
    </nc>
  </rcc>
  <rcc rId="532" sId="1">
    <oc r="A101">
      <v>1</v>
    </oc>
    <nc r="A101">
      <v>95</v>
    </nc>
  </rcc>
  <rcc rId="533" sId="1">
    <oc r="A102">
      <v>2</v>
    </oc>
    <nc r="A102">
      <v>96</v>
    </nc>
  </rcc>
  <rcc rId="534" sId="1">
    <oc r="A103">
      <v>3</v>
    </oc>
    <nc r="A103">
      <v>97</v>
    </nc>
  </rcc>
  <rcc rId="535" sId="1">
    <oc r="A104">
      <v>4</v>
    </oc>
    <nc r="A104">
      <v>98</v>
    </nc>
  </rcc>
  <rcc rId="536" sId="1">
    <oc r="A105">
      <v>1</v>
    </oc>
    <nc r="A105">
      <v>99</v>
    </nc>
  </rcc>
  <rcc rId="537" sId="1">
    <oc r="A106">
      <v>2</v>
    </oc>
    <nc r="A106">
      <v>100</v>
    </nc>
  </rcc>
  <rcc rId="538" sId="1">
    <oc r="A107">
      <v>1</v>
    </oc>
    <nc r="A107">
      <v>101</v>
    </nc>
  </rcc>
  <rcc rId="539" sId="1" odxf="1" dxf="1">
    <oc r="A108">
      <v>2</v>
    </oc>
    <nc r="A108">
      <v>102</v>
    </nc>
    <odxf>
      <font>
        <sz val="12"/>
        <color auto="1"/>
      </font>
    </odxf>
    <ndxf>
      <font>
        <sz val="12"/>
        <color auto="1"/>
      </font>
    </ndxf>
  </rcc>
  <rcc rId="540" sId="1">
    <oc r="A109">
      <v>1</v>
    </oc>
    <nc r="A109">
      <v>103</v>
    </nc>
  </rcc>
  <rcc rId="541" sId="1">
    <oc r="A110">
      <v>2</v>
    </oc>
    <nc r="A110">
      <v>104</v>
    </nc>
  </rcc>
  <rcc rId="542" sId="1">
    <oc r="A111">
      <v>3</v>
    </oc>
    <nc r="A111">
      <v>105</v>
    </nc>
  </rcc>
  <rcc rId="543" sId="1">
    <oc r="A112">
      <v>1</v>
    </oc>
    <nc r="A112">
      <v>106</v>
    </nc>
  </rcc>
  <rcc rId="544" sId="1" odxf="1" dxf="1">
    <oc r="A113">
      <v>2</v>
    </oc>
    <nc r="A113">
      <v>107</v>
    </nc>
    <odxf>
      <font>
        <sz val="12"/>
        <color auto="1"/>
      </font>
    </odxf>
    <ndxf>
      <font>
        <sz val="12"/>
        <color auto="1"/>
      </font>
    </ndxf>
  </rcc>
  <rcc rId="545" sId="1" odxf="1" dxf="1">
    <oc r="A114">
      <v>3</v>
    </oc>
    <nc r="A114">
      <v>108</v>
    </nc>
    <odxf>
      <font>
        <sz val="12"/>
        <color auto="1"/>
      </font>
    </odxf>
    <ndxf>
      <font>
        <sz val="12"/>
        <color auto="1"/>
      </font>
    </ndxf>
  </rcc>
  <rcc rId="546" sId="1" odxf="1" dxf="1">
    <oc r="A115">
      <v>4</v>
    </oc>
    <nc r="A115">
      <v>109</v>
    </nc>
    <odxf>
      <font>
        <sz val="12"/>
        <color auto="1"/>
      </font>
    </odxf>
    <ndxf>
      <font>
        <sz val="12"/>
        <color auto="1"/>
      </font>
    </ndxf>
  </rcc>
  <rcc rId="547" sId="1">
    <oc r="A116">
      <v>1</v>
    </oc>
    <nc r="A116">
      <v>110</v>
    </nc>
  </rcc>
  <rcc rId="548" sId="1">
    <oc r="A117">
      <v>2</v>
    </oc>
    <nc r="A117">
      <v>111</v>
    </nc>
  </rcc>
  <rcc rId="549" sId="1">
    <oc r="A118">
      <v>3</v>
    </oc>
    <nc r="A118">
      <v>112</v>
    </nc>
  </rcc>
  <rcc rId="550" sId="1">
    <oc r="A119">
      <v>1</v>
    </oc>
    <nc r="A119">
      <v>113</v>
    </nc>
  </rcc>
  <rcc rId="551" sId="1">
    <oc r="A120">
      <v>2</v>
    </oc>
    <nc r="A120">
      <v>114</v>
    </nc>
  </rcc>
  <rcc rId="552" sId="1">
    <oc r="A121">
      <v>3</v>
    </oc>
    <nc r="A121">
      <v>115</v>
    </nc>
  </rcc>
  <rcc rId="553" sId="1">
    <oc r="A122">
      <v>1</v>
    </oc>
    <nc r="A122">
      <v>116</v>
    </nc>
  </rcc>
  <rcc rId="554" sId="1">
    <oc r="A123">
      <v>2</v>
    </oc>
    <nc r="A123">
      <v>117</v>
    </nc>
  </rcc>
  <rcc rId="555" sId="1" odxf="1" dxf="1">
    <oc r="A124">
      <v>3</v>
    </oc>
    <nc r="A124">
      <v>118</v>
    </nc>
    <odxf>
      <font>
        <sz val="12"/>
        <color auto="1"/>
      </font>
    </odxf>
    <ndxf>
      <font>
        <sz val="12"/>
        <color auto="1"/>
      </font>
    </ndxf>
  </rcc>
  <rcc rId="556" sId="1">
    <oc r="A125">
      <v>4</v>
    </oc>
    <nc r="A125">
      <v>119</v>
    </nc>
  </rcc>
  <rcc rId="557" sId="1">
    <oc r="A126">
      <v>1</v>
    </oc>
    <nc r="A126">
      <v>120</v>
    </nc>
  </rcc>
  <rcc rId="558" sId="1">
    <oc r="A127">
      <v>2</v>
    </oc>
    <nc r="A127">
      <v>121</v>
    </nc>
  </rcc>
  <rcc rId="559" sId="1">
    <oc r="A128">
      <v>3</v>
    </oc>
    <nc r="A128">
      <v>122</v>
    </nc>
  </rcc>
  <rcc rId="560" sId="1">
    <oc r="A129">
      <v>1</v>
    </oc>
    <nc r="A129">
      <v>123</v>
    </nc>
  </rcc>
  <rcc rId="561" sId="1">
    <oc r="A130">
      <v>2</v>
    </oc>
    <nc r="A130">
      <v>124</v>
    </nc>
  </rcc>
  <rcc rId="562" sId="1">
    <oc r="A131">
      <v>1</v>
    </oc>
    <nc r="A131">
      <v>125</v>
    </nc>
  </rcc>
  <rcc rId="563" sId="1">
    <oc r="A132">
      <v>2</v>
    </oc>
    <nc r="A132">
      <v>126</v>
    </nc>
  </rcc>
  <rcc rId="564" sId="1">
    <oc r="A133">
      <v>3</v>
    </oc>
    <nc r="A133">
      <v>127</v>
    </nc>
  </rcc>
  <rcc rId="565" sId="1">
    <oc r="A134">
      <v>4</v>
    </oc>
    <nc r="A134">
      <v>128</v>
    </nc>
  </rcc>
  <rcc rId="566" sId="1">
    <oc r="A135">
      <v>1</v>
    </oc>
    <nc r="A135">
      <v>129</v>
    </nc>
  </rcc>
  <rcc rId="567" sId="1">
    <oc r="A136">
      <v>1</v>
    </oc>
    <nc r="A136">
      <v>130</v>
    </nc>
  </rcc>
  <rcc rId="568" sId="1">
    <oc r="A137">
      <v>2</v>
    </oc>
    <nc r="A137">
      <v>131</v>
    </nc>
  </rcc>
  <rcc rId="569" sId="1">
    <oc r="A138">
      <v>1</v>
    </oc>
    <nc r="A138">
      <v>132</v>
    </nc>
  </rcc>
  <rcc rId="570" sId="1">
    <oc r="A139">
      <v>2</v>
    </oc>
    <nc r="A139">
      <v>133</v>
    </nc>
  </rcc>
  <rcc rId="571" sId="1">
    <oc r="A140">
      <v>3</v>
    </oc>
    <nc r="A140">
      <v>134</v>
    </nc>
  </rcc>
  <rcc rId="572" sId="1">
    <oc r="A141">
      <v>4</v>
    </oc>
    <nc r="A141">
      <v>135</v>
    </nc>
  </rcc>
  <rcc rId="573" sId="1">
    <oc r="A142">
      <v>1</v>
    </oc>
    <nc r="A142">
      <v>136</v>
    </nc>
  </rcc>
  <rcc rId="574" sId="1">
    <oc r="A143">
      <v>2</v>
    </oc>
    <nc r="A143">
      <v>137</v>
    </nc>
  </rcc>
  <rcc rId="575" sId="1">
    <oc r="A144">
      <v>1</v>
    </oc>
    <nc r="A144">
      <v>138</v>
    </nc>
  </rcc>
  <rcc rId="576" sId="1" odxf="1" dxf="1">
    <oc r="A145">
      <v>2</v>
    </oc>
    <nc r="A145">
      <v>139</v>
    </nc>
    <odxf>
      <font>
        <sz val="12"/>
        <color auto="1"/>
      </font>
    </odxf>
    <ndxf>
      <font>
        <sz val="12"/>
        <color auto="1"/>
      </font>
    </ndxf>
  </rcc>
  <rcc rId="577" sId="1" odxf="1" dxf="1">
    <oc r="A146">
      <v>3</v>
    </oc>
    <nc r="A146">
      <v>140</v>
    </nc>
    <odxf>
      <font>
        <sz val="12"/>
        <color auto="1"/>
      </font>
    </odxf>
    <ndxf>
      <font>
        <sz val="12"/>
        <color auto="1"/>
      </font>
    </ndxf>
  </rcc>
  <rcc rId="578" sId="1" odxf="1" dxf="1">
    <oc r="A147">
      <v>4</v>
    </oc>
    <nc r="A147">
      <v>141</v>
    </nc>
    <odxf>
      <font>
        <sz val="12"/>
        <color auto="1"/>
      </font>
    </odxf>
    <ndxf>
      <font>
        <sz val="12"/>
        <color auto="1"/>
      </font>
    </ndxf>
  </rcc>
  <rcc rId="579" sId="1">
    <oc r="A148">
      <v>1</v>
    </oc>
    <nc r="A148">
      <v>142</v>
    </nc>
  </rcc>
  <rcc rId="580" sId="1">
    <oc r="A149">
      <v>2</v>
    </oc>
    <nc r="A149">
      <v>143</v>
    </nc>
  </rcc>
  <rcc rId="581" sId="1">
    <oc r="A150">
      <v>3</v>
    </oc>
    <nc r="A150">
      <v>144</v>
    </nc>
  </rcc>
  <rcc rId="582" sId="1">
    <oc r="A151">
      <v>4</v>
    </oc>
    <nc r="A151">
      <v>145</v>
    </nc>
  </rcc>
  <rcc rId="583" sId="1">
    <oc r="A152">
      <v>5</v>
    </oc>
    <nc r="A152">
      <v>146</v>
    </nc>
  </rcc>
  <rcc rId="584" sId="1">
    <oc r="A153">
      <v>6</v>
    </oc>
    <nc r="A153">
      <v>147</v>
    </nc>
  </rcc>
  <rcc rId="585" sId="1">
    <oc r="A154">
      <v>7</v>
    </oc>
    <nc r="A154">
      <v>148</v>
    </nc>
  </rcc>
  <rcc rId="586" sId="1">
    <oc r="A155">
      <v>1</v>
    </oc>
    <nc r="A155">
      <v>149</v>
    </nc>
  </rcc>
  <rcc rId="587" sId="1">
    <oc r="A156">
      <v>2</v>
    </oc>
    <nc r="A156">
      <v>150</v>
    </nc>
  </rcc>
  <rcc rId="588" sId="1">
    <oc r="A157">
      <v>1</v>
    </oc>
    <nc r="A157">
      <v>151</v>
    </nc>
  </rcc>
  <rcc rId="589" sId="1">
    <oc r="A158">
      <v>2</v>
    </oc>
    <nc r="A158">
      <v>152</v>
    </nc>
  </rcc>
  <rcc rId="590" sId="1">
    <oc r="A159">
      <v>3</v>
    </oc>
    <nc r="A159">
      <v>153</v>
    </nc>
  </rcc>
  <rcc rId="591" sId="1">
    <oc r="A160">
      <v>4</v>
    </oc>
    <nc r="A160">
      <v>154</v>
    </nc>
  </rcc>
  <rcc rId="592" sId="1">
    <oc r="A161">
      <v>5</v>
    </oc>
    <nc r="A161">
      <v>155</v>
    </nc>
  </rcc>
  <rcc rId="593" sId="1">
    <oc r="A162">
      <v>6</v>
    </oc>
    <nc r="A162">
      <v>156</v>
    </nc>
  </rcc>
  <rcc rId="594" sId="1">
    <oc r="A163">
      <v>7</v>
    </oc>
    <nc r="A163">
      <v>157</v>
    </nc>
  </rcc>
  <rcc rId="595" sId="1">
    <oc r="A164">
      <v>1</v>
    </oc>
    <nc r="A164">
      <v>158</v>
    </nc>
  </rcc>
  <rcc rId="596" sId="1">
    <oc r="A165">
      <v>2</v>
    </oc>
    <nc r="A165">
      <v>159</v>
    </nc>
  </rcc>
  <rcc rId="597" sId="1">
    <oc r="A166">
      <v>3</v>
    </oc>
    <nc r="A166">
      <v>160</v>
    </nc>
  </rcc>
  <rcc rId="598" sId="1">
    <oc r="A167">
      <v>4</v>
    </oc>
    <nc r="A167">
      <v>161</v>
    </nc>
  </rcc>
  <rcc rId="599" sId="1">
    <oc r="A168">
      <v>5</v>
    </oc>
    <nc r="A168">
      <v>162</v>
    </nc>
  </rcc>
  <rcc rId="600" sId="1">
    <oc r="A169">
      <v>6</v>
    </oc>
    <nc r="A169">
      <v>163</v>
    </nc>
  </rcc>
  <rcc rId="601" sId="1">
    <oc r="A170">
      <v>7</v>
    </oc>
    <nc r="A170">
      <v>164</v>
    </nc>
  </rcc>
  <rcc rId="602" sId="1">
    <oc r="A171">
      <v>8</v>
    </oc>
    <nc r="A171">
      <v>165</v>
    </nc>
  </rcc>
  <rcc rId="603" sId="1">
    <oc r="A172">
      <v>9</v>
    </oc>
    <nc r="A172">
      <v>166</v>
    </nc>
  </rcc>
  <rcc rId="604" sId="1">
    <oc r="A173">
      <v>10</v>
    </oc>
    <nc r="A173">
      <v>167</v>
    </nc>
  </rcc>
  <rcc rId="605" sId="1">
    <oc r="A174">
      <v>11</v>
    </oc>
    <nc r="A174">
      <v>168</v>
    </nc>
  </rcc>
  <rcc rId="606" sId="1">
    <oc r="A175">
      <v>12</v>
    </oc>
    <nc r="A175">
      <v>169</v>
    </nc>
  </rcc>
  <rcc rId="607" sId="1">
    <oc r="A176">
      <v>13</v>
    </oc>
    <nc r="A176">
      <v>170</v>
    </nc>
  </rcc>
  <rcc rId="608" sId="1">
    <oc r="A177">
      <v>14</v>
    </oc>
    <nc r="A177">
      <v>171</v>
    </nc>
  </rcc>
  <rcc rId="609" sId="1">
    <oc r="A178">
      <v>15</v>
    </oc>
    <nc r="A178">
      <v>172</v>
    </nc>
  </rcc>
  <rcc rId="610" sId="1">
    <oc r="A179">
      <v>16</v>
    </oc>
    <nc r="A179">
      <v>173</v>
    </nc>
  </rcc>
  <rcc rId="611" sId="1">
    <oc r="A180">
      <v>17</v>
    </oc>
    <nc r="A180">
      <v>174</v>
    </nc>
  </rcc>
  <rcc rId="612" sId="1">
    <oc r="A181">
      <v>18</v>
    </oc>
    <nc r="A181">
      <v>175</v>
    </nc>
  </rcc>
  <rcc rId="613" sId="1">
    <oc r="A182">
      <v>19</v>
    </oc>
    <nc r="A182">
      <v>176</v>
    </nc>
  </rcc>
  <rcc rId="614" sId="1">
    <oc r="A183">
      <v>20</v>
    </oc>
    <nc r="A183">
      <v>177</v>
    </nc>
  </rcc>
  <rcc rId="615" sId="1">
    <oc r="A184">
      <v>21</v>
    </oc>
    <nc r="A184">
      <v>178</v>
    </nc>
  </rcc>
  <rcc rId="616" sId="1">
    <oc r="A185">
      <v>22</v>
    </oc>
    <nc r="A185">
      <v>179</v>
    </nc>
  </rcc>
  <rcc rId="617" sId="1">
    <oc r="A186">
      <v>23</v>
    </oc>
    <nc r="A186">
      <v>180</v>
    </nc>
  </rcc>
  <rcc rId="618" sId="1">
    <oc r="A187">
      <v>24</v>
    </oc>
    <nc r="A187">
      <v>181</v>
    </nc>
  </rcc>
  <rcc rId="619" sId="1">
    <oc r="A188">
      <v>25</v>
    </oc>
    <nc r="A188">
      <v>182</v>
    </nc>
  </rcc>
  <rcc rId="620" sId="1">
    <oc r="A189">
      <v>26</v>
    </oc>
    <nc r="A189">
      <v>183</v>
    </nc>
  </rcc>
  <rcc rId="621" sId="1">
    <oc r="A190">
      <v>27</v>
    </oc>
    <nc r="A190">
      <v>184</v>
    </nc>
  </rcc>
  <rcc rId="622" sId="1">
    <oc r="A191">
      <v>28</v>
    </oc>
    <nc r="A191">
      <v>185</v>
    </nc>
  </rcc>
  <rcc rId="623" sId="1">
    <oc r="A192">
      <v>29</v>
    </oc>
    <nc r="A192">
      <v>186</v>
    </nc>
  </rcc>
  <rcc rId="624" sId="1">
    <oc r="A193">
      <v>30</v>
    </oc>
    <nc r="A193">
      <v>187</v>
    </nc>
  </rcc>
  <rcc rId="625" sId="1">
    <oc r="A194">
      <v>31</v>
    </oc>
    <nc r="A194">
      <v>188</v>
    </nc>
  </rcc>
  <rcc rId="626" sId="1">
    <oc r="A195">
      <v>32</v>
    </oc>
    <nc r="A195">
      <v>189</v>
    </nc>
  </rcc>
  <rcc rId="627" sId="1">
    <oc r="A196">
      <v>33</v>
    </oc>
    <nc r="A196">
      <v>190</v>
    </nc>
  </rcc>
  <rcc rId="628" sId="1">
    <oc r="A197">
      <v>34</v>
    </oc>
    <nc r="A197">
      <v>191</v>
    </nc>
  </rcc>
  <rcc rId="629" sId="1">
    <oc r="A198">
      <v>35</v>
    </oc>
    <nc r="A198">
      <v>192</v>
    </nc>
  </rcc>
  <rcc rId="630" sId="1">
    <oc r="A199">
      <v>36</v>
    </oc>
    <nc r="A199">
      <v>193</v>
    </nc>
  </rcc>
  <rcc rId="631" sId="1">
    <oc r="A200">
      <v>37</v>
    </oc>
    <nc r="A200">
      <v>194</v>
    </nc>
  </rcc>
  <rcc rId="632" sId="1">
    <oc r="A201">
      <v>38</v>
    </oc>
    <nc r="A201">
      <v>195</v>
    </nc>
  </rcc>
  <rcc rId="633" sId="1">
    <oc r="A202">
      <v>39</v>
    </oc>
    <nc r="A202">
      <v>196</v>
    </nc>
  </rcc>
  <rcc rId="634" sId="1">
    <oc r="A203">
      <v>40</v>
    </oc>
    <nc r="A203">
      <v>197</v>
    </nc>
  </rcc>
  <rcc rId="635" sId="1">
    <oc r="A204">
      <v>41</v>
    </oc>
    <nc r="A204">
      <v>198</v>
    </nc>
  </rcc>
  <rcc rId="636" sId="1">
    <oc r="A205">
      <v>42</v>
    </oc>
    <nc r="A205">
      <v>199</v>
    </nc>
  </rcc>
  <rcc rId="637" sId="1">
    <oc r="A206">
      <v>43</v>
    </oc>
    <nc r="A206">
      <v>200</v>
    </nc>
  </rcc>
  <rcc rId="638" sId="1">
    <oc r="A207">
      <v>44</v>
    </oc>
    <nc r="A207">
      <v>201</v>
    </nc>
  </rcc>
  <rcc rId="639" sId="1">
    <oc r="A208">
      <v>45</v>
    </oc>
    <nc r="A208">
      <v>202</v>
    </nc>
  </rcc>
  <rcc rId="640" sId="1">
    <oc r="A209">
      <v>46</v>
    </oc>
    <nc r="A209">
      <v>203</v>
    </nc>
  </rcc>
  <rcc rId="641" sId="1">
    <oc r="A210">
      <v>47</v>
    </oc>
    <nc r="A210">
      <v>204</v>
    </nc>
  </rcc>
  <rcc rId="642" sId="1">
    <oc r="A211">
      <v>48</v>
    </oc>
    <nc r="A211">
      <v>205</v>
    </nc>
  </rcc>
  <rcc rId="643" sId="1">
    <oc r="A212">
      <v>49</v>
    </oc>
    <nc r="A212">
      <v>206</v>
    </nc>
  </rcc>
  <rcc rId="644" sId="1">
    <oc r="A213">
      <v>50</v>
    </oc>
    <nc r="A213">
      <v>207</v>
    </nc>
  </rcc>
  <rcc rId="645" sId="1">
    <oc r="A214">
      <v>51</v>
    </oc>
    <nc r="A214">
      <v>208</v>
    </nc>
  </rcc>
  <rcc rId="646" sId="1">
    <oc r="A215">
      <v>52</v>
    </oc>
    <nc r="A215">
      <v>209</v>
    </nc>
  </rcc>
  <rcc rId="647" sId="1">
    <oc r="A216">
      <v>53</v>
    </oc>
    <nc r="A216">
      <v>210</v>
    </nc>
  </rcc>
  <rcc rId="648" sId="1">
    <oc r="A217">
      <v>54</v>
    </oc>
    <nc r="A217">
      <v>211</v>
    </nc>
  </rcc>
  <rcc rId="649" sId="1">
    <oc r="A218">
      <v>55</v>
    </oc>
    <nc r="A218">
      <v>212</v>
    </nc>
  </rcc>
  <rcc rId="650" sId="1">
    <oc r="A219">
      <v>56</v>
    </oc>
    <nc r="A219">
      <v>213</v>
    </nc>
  </rcc>
  <rcc rId="651" sId="1">
    <oc r="A220">
      <v>57</v>
    </oc>
    <nc r="A220">
      <v>214</v>
    </nc>
  </rcc>
  <rcc rId="652" sId="1">
    <oc r="A221">
      <v>58</v>
    </oc>
    <nc r="A221">
      <v>215</v>
    </nc>
  </rcc>
  <rcc rId="653" sId="1">
    <oc r="A222">
      <v>59</v>
    </oc>
    <nc r="A222">
      <v>216</v>
    </nc>
  </rcc>
  <rcc rId="654" sId="1">
    <oc r="A223">
      <v>60</v>
    </oc>
    <nc r="A223">
      <v>217</v>
    </nc>
  </rcc>
  <rcc rId="655" sId="1">
    <oc r="A224">
      <v>61</v>
    </oc>
    <nc r="A224">
      <v>218</v>
    </nc>
  </rcc>
  <rcc rId="656" sId="1">
    <oc r="A225">
      <v>62</v>
    </oc>
    <nc r="A225">
      <v>219</v>
    </nc>
  </rcc>
  <rcc rId="657" sId="1">
    <oc r="A226">
      <v>63</v>
    </oc>
    <nc r="A226">
      <v>220</v>
    </nc>
  </rcc>
  <rcc rId="658" sId="1">
    <oc r="A227">
      <v>64</v>
    </oc>
    <nc r="A227">
      <v>221</v>
    </nc>
  </rcc>
  <rcc rId="659" sId="1">
    <oc r="A228">
      <v>65</v>
    </oc>
    <nc r="A228">
      <v>222</v>
    </nc>
  </rcc>
  <rcc rId="660" sId="1">
    <oc r="A229">
      <v>66</v>
    </oc>
    <nc r="A229">
      <v>223</v>
    </nc>
  </rcc>
  <rcc rId="661" sId="1">
    <oc r="A230">
      <v>67</v>
    </oc>
    <nc r="A230">
      <v>224</v>
    </nc>
  </rcc>
  <rcc rId="662" sId="1">
    <oc r="A231">
      <v>68</v>
    </oc>
    <nc r="A231">
      <v>225</v>
    </nc>
  </rcc>
  <rcc rId="663" sId="1">
    <oc r="A232">
      <v>69</v>
    </oc>
    <nc r="A232">
      <v>226</v>
    </nc>
  </rcc>
  <rcc rId="664" sId="1">
    <oc r="A233">
      <v>70</v>
    </oc>
    <nc r="A233">
      <v>227</v>
    </nc>
  </rcc>
  <rcc rId="665" sId="1">
    <oc r="A234">
      <v>71</v>
    </oc>
    <nc r="A234">
      <v>228</v>
    </nc>
  </rcc>
  <rcc rId="666" sId="1">
    <oc r="A235">
      <v>72</v>
    </oc>
    <nc r="A235">
      <v>229</v>
    </nc>
  </rcc>
  <rcc rId="667" sId="1">
    <oc r="A236">
      <v>73</v>
    </oc>
    <nc r="A236">
      <v>230</v>
    </nc>
  </rcc>
  <rcc rId="668" sId="1">
    <oc r="A237">
      <v>74</v>
    </oc>
    <nc r="A237">
      <v>231</v>
    </nc>
  </rcc>
  <rcc rId="669" sId="1">
    <oc r="A238">
      <v>75</v>
    </oc>
    <nc r="A238">
      <v>232</v>
    </nc>
  </rcc>
  <rcc rId="670" sId="1">
    <oc r="A239">
      <v>76</v>
    </oc>
    <nc r="A239">
      <v>233</v>
    </nc>
  </rcc>
  <rcc rId="671" sId="1">
    <oc r="A240">
      <v>77</v>
    </oc>
    <nc r="A240">
      <v>234</v>
    </nc>
  </rcc>
  <rcc rId="672" sId="1">
    <oc r="A241">
      <v>78</v>
    </oc>
    <nc r="A241">
      <v>235</v>
    </nc>
  </rcc>
  <rcc rId="673" sId="1">
    <oc r="A242">
      <v>79</v>
    </oc>
    <nc r="A242">
      <v>236</v>
    </nc>
  </rcc>
  <rcc rId="674" sId="1">
    <oc r="A243">
      <v>80</v>
    </oc>
    <nc r="A243">
      <v>237</v>
    </nc>
  </rcc>
  <rcc rId="675" sId="1">
    <oc r="A244">
      <v>81</v>
    </oc>
    <nc r="A244">
      <v>238</v>
    </nc>
  </rcc>
  <rcc rId="676" sId="1">
    <oc r="A245">
      <v>82</v>
    </oc>
    <nc r="A245">
      <v>239</v>
    </nc>
  </rcc>
  <rcc rId="677" sId="1">
    <oc r="A246">
      <v>83</v>
    </oc>
    <nc r="A246">
      <v>240</v>
    </nc>
  </rcc>
  <rcc rId="678" sId="1">
    <oc r="A247">
      <v>84</v>
    </oc>
    <nc r="A247">
      <v>241</v>
    </nc>
  </rcc>
  <rcc rId="679" sId="1">
    <oc r="A248">
      <v>85</v>
    </oc>
    <nc r="A248">
      <v>242</v>
    </nc>
  </rcc>
  <rcc rId="680" sId="1">
    <oc r="A249">
      <v>86</v>
    </oc>
    <nc r="A249">
      <v>243</v>
    </nc>
  </rcc>
  <rcc rId="681" sId="1">
    <oc r="A250">
      <v>87</v>
    </oc>
    <nc r="A250">
      <v>244</v>
    </nc>
  </rcc>
  <rcc rId="682" sId="1">
    <oc r="A251">
      <v>88</v>
    </oc>
    <nc r="A251">
      <v>245</v>
    </nc>
  </rcc>
  <rcc rId="683" sId="1">
    <oc r="A252">
      <v>89</v>
    </oc>
    <nc r="A252">
      <v>246</v>
    </nc>
  </rcc>
  <rcc rId="684" sId="1">
    <oc r="A253">
      <v>90</v>
    </oc>
    <nc r="A253">
      <v>247</v>
    </nc>
  </rcc>
  <rcc rId="685" sId="1">
    <oc r="A254">
      <v>91</v>
    </oc>
    <nc r="A254">
      <v>248</v>
    </nc>
  </rcc>
  <rcc rId="686" sId="1">
    <oc r="A255">
      <v>92</v>
    </oc>
    <nc r="A255">
      <v>249</v>
    </nc>
  </rcc>
  <rcc rId="687" sId="1">
    <oc r="A256">
      <v>93</v>
    </oc>
    <nc r="A256">
      <v>250</v>
    </nc>
  </rcc>
  <rcc rId="688" sId="1">
    <oc r="A257">
      <v>94</v>
    </oc>
    <nc r="A257">
      <v>251</v>
    </nc>
  </rcc>
  <rcc rId="689" sId="1">
    <oc r="A258">
      <v>95</v>
    </oc>
    <nc r="A258">
      <v>252</v>
    </nc>
  </rcc>
  <rcc rId="690" sId="1">
    <oc r="A259">
      <v>96</v>
    </oc>
    <nc r="A259">
      <v>253</v>
    </nc>
  </rcc>
  <rcc rId="691" sId="1">
    <oc r="A260">
      <v>97</v>
    </oc>
    <nc r="A260">
      <v>254</v>
    </nc>
  </rcc>
  <rcc rId="692" sId="1">
    <oc r="A261">
      <v>98</v>
    </oc>
    <nc r="A261">
      <v>255</v>
    </nc>
  </rcc>
  <rcc rId="693" sId="1">
    <oc r="A262">
      <v>99</v>
    </oc>
    <nc r="A262">
      <v>256</v>
    </nc>
  </rcc>
  <rcc rId="694" sId="1">
    <oc r="A263">
      <v>100</v>
    </oc>
    <nc r="A263">
      <v>257</v>
    </nc>
  </rcc>
  <rcc rId="695" sId="1">
    <oc r="A264">
      <v>101</v>
    </oc>
    <nc r="A264">
      <v>258</v>
    </nc>
  </rcc>
  <rcc rId="696" sId="1">
    <oc r="A265">
      <v>102</v>
    </oc>
    <nc r="A265">
      <v>259</v>
    </nc>
  </rcc>
  <rcc rId="697" sId="1">
    <oc r="A266">
      <v>103</v>
    </oc>
    <nc r="A266">
      <v>260</v>
    </nc>
  </rcc>
  <rcc rId="698" sId="1" odxf="1" s="1" dxf="1">
    <oc r="A267">
      <v>104</v>
    </oc>
    <nc r="A267">
      <v>261</v>
    </nc>
    <odxf>
      <font>
        <b val="0"/>
        <i val="0"/>
        <strike val="0"/>
        <condense val="0"/>
        <extend val="0"/>
        <outline val="0"/>
        <shadow val="0"/>
        <u val="none"/>
        <vertAlign val="baseline"/>
        <sz val="12"/>
        <color auto="1"/>
        <name val="Calibri"/>
        <family val="2"/>
        <charset val="238"/>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odxf>
    <ndxf/>
  </rcc>
  <rcc rId="699" sId="1">
    <oc r="A268">
      <v>105</v>
    </oc>
    <nc r="A268">
      <v>262</v>
    </nc>
  </rcc>
  <rcc rId="700" sId="1">
    <oc r="A269">
      <v>106</v>
    </oc>
    <nc r="A269">
      <v>263</v>
    </nc>
  </rcc>
  <rcc rId="701" sId="1">
    <oc r="A270">
      <v>107</v>
    </oc>
    <nc r="A270">
      <v>264</v>
    </nc>
  </rcc>
  <rcc rId="702" sId="1">
    <oc r="A271">
      <v>108</v>
    </oc>
    <nc r="A271">
      <v>265</v>
    </nc>
  </rcc>
  <rcc rId="703" sId="1">
    <oc r="A272">
      <v>109</v>
    </oc>
    <nc r="A272">
      <v>266</v>
    </nc>
  </rcc>
  <rcc rId="704" sId="1">
    <oc r="A273">
      <v>110</v>
    </oc>
    <nc r="A273">
      <v>267</v>
    </nc>
  </rcc>
  <rcc rId="705" sId="1">
    <oc r="A274">
      <v>111</v>
    </oc>
    <nc r="A274">
      <v>268</v>
    </nc>
  </rcc>
  <rcc rId="706" sId="1">
    <oc r="A275">
      <v>112</v>
    </oc>
    <nc r="A275">
      <v>269</v>
    </nc>
  </rcc>
  <rcc rId="707" sId="1">
    <oc r="A276">
      <v>113</v>
    </oc>
    <nc r="A276">
      <v>270</v>
    </nc>
  </rcc>
  <rcc rId="708" sId="1">
    <oc r="A277">
      <v>115</v>
    </oc>
    <nc r="A277">
      <v>271</v>
    </nc>
  </rcc>
  <rcc rId="709" sId="1">
    <oc r="A278">
      <v>116</v>
    </oc>
    <nc r="A278">
      <v>272</v>
    </nc>
  </rcc>
  <rcc rId="710" sId="1">
    <oc r="A279">
      <v>117</v>
    </oc>
    <nc r="A279">
      <v>273</v>
    </nc>
  </rcc>
  <rcc rId="711" sId="1">
    <oc r="A280">
      <v>118</v>
    </oc>
    <nc r="A280">
      <v>274</v>
    </nc>
  </rcc>
  <rcc rId="712" sId="1">
    <oc r="A281">
      <v>119</v>
    </oc>
    <nc r="A281">
      <v>275</v>
    </nc>
  </rcc>
  <rcc rId="713" sId="1">
    <oc r="A282">
      <v>120</v>
    </oc>
    <nc r="A282">
      <v>276</v>
    </nc>
  </rcc>
  <rcc rId="714" sId="1">
    <oc r="A283">
      <v>121</v>
    </oc>
    <nc r="A283">
      <v>277</v>
    </nc>
  </rcc>
  <rcc rId="715" sId="1">
    <oc r="A284">
      <v>122</v>
    </oc>
    <nc r="A284">
      <v>278</v>
    </nc>
  </rcc>
  <rcc rId="716" sId="1">
    <oc r="A285">
      <v>123</v>
    </oc>
    <nc r="A285">
      <v>279</v>
    </nc>
  </rcc>
  <rcc rId="717" sId="1">
    <oc r="A286">
      <v>124</v>
    </oc>
    <nc r="A286">
      <v>280</v>
    </nc>
  </rcc>
  <rcc rId="718" sId="1">
    <oc r="A287">
      <v>125</v>
    </oc>
    <nc r="A287">
      <v>281</v>
    </nc>
  </rcc>
  <rcc rId="719" sId="1">
    <oc r="A288">
      <v>126</v>
    </oc>
    <nc r="A288">
      <v>282</v>
    </nc>
  </rcc>
  <rcc rId="720" sId="1">
    <oc r="A289">
      <v>127</v>
    </oc>
    <nc r="A289">
      <v>283</v>
    </nc>
  </rcc>
  <rcc rId="721" sId="1">
    <oc r="A290">
      <v>128</v>
    </oc>
    <nc r="A290">
      <v>284</v>
    </nc>
  </rcc>
  <rcc rId="722" sId="1">
    <oc r="A291">
      <v>129</v>
    </oc>
    <nc r="A291">
      <v>285</v>
    </nc>
  </rcc>
  <rcc rId="723" sId="1">
    <oc r="A292">
      <v>130</v>
    </oc>
    <nc r="A292">
      <v>286</v>
    </nc>
  </rcc>
  <rcc rId="724" sId="1">
    <oc r="A293">
      <v>131</v>
    </oc>
    <nc r="A293">
      <v>287</v>
    </nc>
  </rcc>
  <rcc rId="725" sId="1">
    <oc r="A294">
      <v>132</v>
    </oc>
    <nc r="A294">
      <v>288</v>
    </nc>
  </rcc>
  <rcc rId="726" sId="1">
    <oc r="A295">
      <v>133</v>
    </oc>
    <nc r="A295">
      <v>289</v>
    </nc>
  </rcc>
  <rcc rId="727" sId="1">
    <oc r="A296">
      <v>134</v>
    </oc>
    <nc r="A296">
      <v>290</v>
    </nc>
  </rcc>
  <rcc rId="728" sId="1">
    <oc r="A297">
      <v>135</v>
    </oc>
    <nc r="A297">
      <v>291</v>
    </nc>
  </rcc>
  <rcc rId="729" sId="1">
    <oc r="A298">
      <v>136</v>
    </oc>
    <nc r="A298">
      <v>292</v>
    </nc>
  </rcc>
  <rcc rId="730" sId="1">
    <oc r="A299">
      <v>137</v>
    </oc>
    <nc r="A299">
      <v>293</v>
    </nc>
  </rcc>
  <rcc rId="731" sId="1">
    <oc r="A300">
      <v>138</v>
    </oc>
    <nc r="A300">
      <v>294</v>
    </nc>
  </rcc>
  <rcc rId="732" sId="1">
    <oc r="A301">
      <v>139</v>
    </oc>
    <nc r="A301">
      <v>295</v>
    </nc>
  </rcc>
  <rcc rId="733" sId="1">
    <oc r="A302">
      <v>140</v>
    </oc>
    <nc r="A302">
      <v>296</v>
    </nc>
  </rcc>
  <rcc rId="734" sId="1">
    <oc r="A303">
      <v>141</v>
    </oc>
    <nc r="A303">
      <v>297</v>
    </nc>
  </rcc>
  <rcc rId="735" sId="1">
    <oc r="A304">
      <v>142</v>
    </oc>
    <nc r="A304">
      <v>298</v>
    </nc>
  </rcc>
  <rcc rId="736" sId="1">
    <oc r="A305">
      <v>143</v>
    </oc>
    <nc r="A305">
      <v>299</v>
    </nc>
  </rcc>
  <rcc rId="737" sId="1">
    <oc r="A306">
      <v>144</v>
    </oc>
    <nc r="A306">
      <v>300</v>
    </nc>
  </rcc>
  <rcc rId="738" sId="1">
    <oc r="A307">
      <v>145</v>
    </oc>
    <nc r="A307">
      <v>301</v>
    </nc>
  </rcc>
  <rcc rId="739" sId="1">
    <oc r="A308">
      <v>146</v>
    </oc>
    <nc r="A308">
      <v>302</v>
    </nc>
  </rcc>
  <rcc rId="740" sId="1">
    <oc r="A309">
      <v>147</v>
    </oc>
    <nc r="A309">
      <v>303</v>
    </nc>
  </rcc>
  <rcc rId="741" sId="1">
    <oc r="A310">
      <v>148</v>
    </oc>
    <nc r="A310">
      <v>304</v>
    </nc>
  </rcc>
  <rcc rId="742" sId="1">
    <oc r="A311">
      <v>149</v>
    </oc>
    <nc r="A311">
      <v>305</v>
    </nc>
  </rcc>
  <rcc rId="743" sId="1">
    <oc r="A312">
      <v>150</v>
    </oc>
    <nc r="A312">
      <v>306</v>
    </nc>
  </rcc>
  <rcc rId="744" sId="1">
    <oc r="A313">
      <v>151</v>
    </oc>
    <nc r="A313">
      <v>307</v>
    </nc>
  </rcc>
  <rcc rId="745" sId="1">
    <oc r="A314">
      <v>152</v>
    </oc>
    <nc r="A314">
      <v>308</v>
    </nc>
  </rcc>
  <rcc rId="746" sId="1">
    <oc r="A315">
      <v>153</v>
    </oc>
    <nc r="A315">
      <v>309</v>
    </nc>
  </rcc>
  <rcc rId="747" sId="1">
    <oc r="A316">
      <v>154</v>
    </oc>
    <nc r="A316">
      <v>310</v>
    </nc>
  </rcc>
  <rcc rId="748" sId="1">
    <oc r="A317">
      <v>155</v>
    </oc>
    <nc r="A317">
      <v>311</v>
    </nc>
  </rcc>
  <rcc rId="749" sId="1">
    <oc r="A318">
      <v>156</v>
    </oc>
    <nc r="A318">
      <v>312</v>
    </nc>
  </rcc>
  <rcc rId="750" sId="1">
    <oc r="A319">
      <v>157</v>
    </oc>
    <nc r="A319">
      <v>313</v>
    </nc>
  </rcc>
  <rcc rId="751" sId="1">
    <oc r="A320">
      <v>158</v>
    </oc>
    <nc r="A320">
      <v>314</v>
    </nc>
  </rcc>
  <rcc rId="752" sId="1">
    <oc r="A321">
      <v>159</v>
    </oc>
    <nc r="A321">
      <v>315</v>
    </nc>
  </rcc>
  <rcc rId="753" sId="1">
    <oc r="A322">
      <v>160</v>
    </oc>
    <nc r="A322">
      <v>316</v>
    </nc>
  </rcc>
  <rcc rId="754" sId="1">
    <oc r="A323">
      <v>161</v>
    </oc>
    <nc r="A323">
      <v>317</v>
    </nc>
  </rcc>
  <rcc rId="755" sId="1">
    <oc r="A324">
      <v>162</v>
    </oc>
    <nc r="A324">
      <v>318</v>
    </nc>
  </rcc>
  <rcc rId="756" sId="1">
    <oc r="A325">
      <v>163</v>
    </oc>
    <nc r="A325">
      <v>319</v>
    </nc>
  </rcc>
  <rcc rId="757" sId="1">
    <oc r="A326">
      <v>164</v>
    </oc>
    <nc r="A326">
      <v>320</v>
    </nc>
  </rcc>
  <rcc rId="758" sId="1">
    <oc r="A327">
      <v>165</v>
    </oc>
    <nc r="A327">
      <v>321</v>
    </nc>
  </rcc>
  <rcc rId="759" sId="1">
    <oc r="A328">
      <v>166</v>
    </oc>
    <nc r="A328">
      <v>322</v>
    </nc>
  </rcc>
  <rcc rId="760" sId="1">
    <oc r="A329">
      <v>167</v>
    </oc>
    <nc r="A329">
      <v>323</v>
    </nc>
  </rcc>
  <rcc rId="761" sId="1">
    <oc r="A330">
      <v>168</v>
    </oc>
    <nc r="A330">
      <v>324</v>
    </nc>
  </rcc>
  <rcc rId="762" sId="1">
    <oc r="A331">
      <v>169</v>
    </oc>
    <nc r="A331">
      <v>325</v>
    </nc>
  </rcc>
  <rcc rId="763" sId="1">
    <oc r="A332">
      <v>170</v>
    </oc>
    <nc r="A332">
      <v>326</v>
    </nc>
  </rcc>
  <rcc rId="764" sId="1">
    <oc r="A333">
      <v>171</v>
    </oc>
    <nc r="A333">
      <v>327</v>
    </nc>
  </rcc>
  <rcc rId="765" sId="1">
    <oc r="A334">
      <v>172</v>
    </oc>
    <nc r="A334">
      <v>328</v>
    </nc>
  </rcc>
  <rcc rId="766" sId="1">
    <oc r="A335">
      <v>173</v>
    </oc>
    <nc r="A335">
      <v>329</v>
    </nc>
  </rcc>
  <rcc rId="767" sId="1">
    <oc r="A336">
      <v>174</v>
    </oc>
    <nc r="A336">
      <v>330</v>
    </nc>
  </rcc>
  <rcc rId="768" sId="1">
    <oc r="A337">
      <v>175</v>
    </oc>
    <nc r="A337">
      <v>331</v>
    </nc>
  </rcc>
  <rcc rId="769" sId="1">
    <oc r="A338">
      <v>176</v>
    </oc>
    <nc r="A338">
      <v>332</v>
    </nc>
  </rcc>
  <rcc rId="770" sId="1">
    <oc r="A339">
      <v>177</v>
    </oc>
    <nc r="A339">
      <v>333</v>
    </nc>
  </rcc>
  <rcc rId="771" sId="1">
    <oc r="A340">
      <v>178</v>
    </oc>
    <nc r="A340">
      <v>334</v>
    </nc>
  </rcc>
  <rcc rId="772" sId="1">
    <oc r="A341">
      <v>179</v>
    </oc>
    <nc r="A341">
      <v>335</v>
    </nc>
  </rcc>
  <rcc rId="773" sId="1">
    <oc r="A342">
      <v>180</v>
    </oc>
    <nc r="A342">
      <v>336</v>
    </nc>
  </rcc>
  <rcc rId="774" sId="1">
    <oc r="A343">
      <v>181</v>
    </oc>
    <nc r="A343">
      <v>337</v>
    </nc>
  </rcc>
  <rcc rId="775" sId="1">
    <oc r="A344">
      <v>182</v>
    </oc>
    <nc r="A344">
      <v>338</v>
    </nc>
  </rcc>
  <rcc rId="776" sId="1">
    <oc r="A345">
      <v>183</v>
    </oc>
    <nc r="A345">
      <v>339</v>
    </nc>
  </rcc>
  <rcc rId="777" sId="1">
    <oc r="A346">
      <v>184</v>
    </oc>
    <nc r="A346">
      <v>340</v>
    </nc>
  </rcc>
  <rcc rId="778" sId="1">
    <oc r="A347">
      <v>185</v>
    </oc>
    <nc r="A347">
      <v>341</v>
    </nc>
  </rcc>
  <rcc rId="779" sId="1" odxf="1" dxf="1">
    <oc r="A348">
      <v>186</v>
    </oc>
    <nc r="A348">
      <v>342</v>
    </nc>
    <odxf>
      <font>
        <sz val="12"/>
        <color auto="1"/>
      </font>
    </odxf>
    <ndxf>
      <font>
        <sz val="12"/>
        <color auto="1"/>
      </font>
    </ndxf>
  </rcc>
  <rcc rId="780" sId="1">
    <oc r="A349">
      <v>187</v>
    </oc>
    <nc r="A349">
      <v>343</v>
    </nc>
  </rcc>
  <rcc rId="781" sId="1">
    <oc r="A350">
      <v>188</v>
    </oc>
    <nc r="A350">
      <v>344</v>
    </nc>
  </rcc>
  <rcc rId="782" sId="1">
    <oc r="A351">
      <v>189</v>
    </oc>
    <nc r="A351">
      <v>345</v>
    </nc>
  </rcc>
  <rcc rId="783" sId="1" odxf="1" dxf="1">
    <nc r="AE352">
      <f>SUM(AE7:AE351)</f>
    </nc>
    <odxf>
      <numFmt numFmtId="0" formatCode="General"/>
    </odxf>
    <ndxf>
      <numFmt numFmtId="166" formatCode="#,##0.00_ ;\-#,##0.00\ "/>
    </ndxf>
  </rcc>
  <rfmt sheetId="1" sqref="AG352">
    <dxf>
      <font>
        <b val="0"/>
        <i val="0"/>
        <strike val="0"/>
        <condense val="0"/>
        <extend val="0"/>
        <outline val="0"/>
        <shadow val="0"/>
        <u val="none"/>
        <vertAlign val="baseline"/>
        <sz val="12"/>
        <color auto="1"/>
        <name val="Calibri"/>
        <family val="2"/>
        <charset val="238"/>
        <scheme val="minor"/>
      </font>
      <numFmt numFmtId="166" formatCode="#,##0.00_ ;\-#,##0.00\ "/>
      <fill>
        <patternFill patternType="none">
          <fgColor indexed="64"/>
          <bgColor indexed="65"/>
        </patternFill>
      </fill>
      <alignment horizontal="right" vertical="center" textRotation="0" wrapText="1" indent="0" justifyLastLine="0" shrinkToFit="0" readingOrder="0"/>
      <border diagonalUp="0" diagonalDown="0" outline="0">
        <left style="thin">
          <color indexed="64"/>
        </left>
        <right style="thin">
          <color indexed="64"/>
        </right>
        <top/>
        <bottom/>
      </border>
    </dxf>
  </rfmt>
  <rcc rId="784" sId="1">
    <nc r="AG352">
      <f>AE352+AF352</f>
    </nc>
  </rcc>
  <rcc rId="785" sId="1">
    <nc r="AF354">
      <v>4.7516999999999996</v>
    </nc>
  </rcc>
  <rcc rId="786" sId="1">
    <nc r="AE356">
      <f>(AE352/AF354)/1000000</f>
    </nc>
  </rcc>
  <rcc rId="787" sId="1">
    <nc r="AG354" t="inlineStr">
      <is>
        <t>lei / luna MAI 2019</t>
      </is>
    </nc>
  </rcc>
  <rcv guid="{D1B5461B-B040-4BC9-AF67-A8F429825375}" action="delete"/>
  <rdn rId="0" localSheetId="1" customView="1" name="Z_D1B5461B_B040_4BC9_AF67_A8F429825375_.wvu.PrintArea" hidden="1" oldHidden="1">
    <formula>Sheet1!$A$1:$AK$351</formula>
    <oldFormula>Sheet1!$A$1:$AK$351</oldFormula>
  </rdn>
  <rdn rId="0" localSheetId="1" customView="1" name="Z_D1B5461B_B040_4BC9_AF67_A8F429825375_.wvu.FilterData" hidden="1" oldHidden="1">
    <formula>Sheet1!$A$1:$AK$351</formula>
    <oldFormula>Sheet1!$A$1:$AK$351</oldFormula>
  </rdn>
  <rcv guid="{D1B5461B-B040-4BC9-AF67-A8F429825375}"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oc r="AJ213">
      <f>8122384.62+520669.77</f>
    </oc>
    <nc r="AJ213">
      <f>8122384.62+520669.77+28017.46</f>
    </nc>
  </rcc>
  <rcc rId="2" sId="1">
    <oc r="AJ220">
      <f>10642106.1+921431.45</f>
    </oc>
    <nc r="AJ220">
      <f>10642106.1+921431.45+112475.1</f>
    </nc>
  </rcc>
  <rcc rId="3" sId="1">
    <oc r="AJ223">
      <f>2532656.95+321652.69</f>
    </oc>
    <nc r="AJ223">
      <f>2532656.95+321652.69+380360.36</f>
    </nc>
  </rcc>
  <rcc rId="4" sId="1">
    <oc r="AJ230">
      <f>2818184.2+870614.52+48419.22+1678613.18</f>
    </oc>
    <nc r="AJ230">
      <f>2818184.2+870614.52+48419.22+1678613.18+827861.4</f>
    </nc>
  </rcc>
  <rcc rId="5" sId="1">
    <oc r="AJ234">
      <f>13499794.97+716994.5+92062.31</f>
    </oc>
    <nc r="AJ234">
      <f>13499794.97+716994.5+92062.31+258000</f>
    </nc>
  </rcc>
  <rcc rId="6" sId="1">
    <oc r="AJ284">
      <f>46758.01+81807.84+85847.46</f>
    </oc>
    <nc r="AJ284">
      <f>46758.01+81807.84+85847.46+78522.48</f>
    </nc>
  </rcc>
  <rcc rId="7" sId="1">
    <oc r="AJ272">
      <f>59335.44+64701.17+90758.49</f>
    </oc>
    <nc r="AJ272">
      <f>59335.44+64701.17+90758.49+56070.66</f>
    </nc>
  </rcc>
  <rcc rId="8" sId="1">
    <oc r="AJ249">
      <f>38081.64+10353.53</f>
    </oc>
    <nc r="AJ249">
      <f>38081.64+10353.53+14871.03</f>
    </nc>
  </rcc>
  <rcc rId="9" sId="1">
    <oc r="AJ244">
      <f>4923177.41+2008542+5450879.77+3758413.79</f>
    </oc>
    <nc r="AJ244">
      <f>4923177.41+2008542+5450879.77+3758413.79+2325826.28</f>
    </nc>
  </rcc>
  <rcc rId="10" sId="1" numFmtId="4">
    <oc r="AJ296">
      <v>96923.08</v>
    </oc>
    <nc r="AJ296">
      <f>96923.08+40161.87</f>
    </nc>
  </rcc>
  <rcc rId="11" sId="1">
    <oc r="AJ288">
      <f>4248.74+31166.22</f>
    </oc>
    <nc r="AJ288">
      <f>4248.74+31166.22+89220.52</f>
    </nc>
  </rcc>
  <rcc rId="12" sId="1">
    <oc r="AJ314">
      <f>821485.68+1164341.89+225959.67</f>
    </oc>
    <nc r="AJ314">
      <f>821485.68+1164341.89+225959.67+840790.22</f>
    </nc>
  </rcc>
  <rcc rId="13" sId="1">
    <oc r="AJ300">
      <f>104375.19+162416.48</f>
    </oc>
    <nc r="AJ300">
      <f>104375.19+162416.48+52075.09</f>
    </nc>
  </rcc>
  <rcc rId="14" sId="1" numFmtId="4">
    <nc r="AK209">
      <v>0</v>
    </nc>
  </rcc>
  <rfmt sheetId="1" sqref="AJ209:AK209">
    <dxf>
      <numFmt numFmtId="4" formatCode="#,##0.00"/>
    </dxf>
  </rfmt>
  <rcc rId="15" sId="1" numFmtId="4">
    <nc r="AJ207">
      <v>0</v>
    </nc>
  </rcc>
  <rcc rId="16" sId="1" numFmtId="4">
    <nc r="AK207">
      <v>0</v>
    </nc>
  </rcc>
  <rfmt sheetId="1" sqref="AJ208" start="0" length="0">
    <dxf>
      <font>
        <b val="0"/>
        <sz val="12"/>
        <color auto="1"/>
      </font>
      <numFmt numFmtId="4" formatCode="#,##0.00"/>
    </dxf>
  </rfmt>
  <rcc rId="17" sId="1" odxf="1" dxf="1" numFmtId="4">
    <nc r="AK208">
      <v>0</v>
    </nc>
    <ndxf>
      <font>
        <b val="0"/>
        <sz val="12"/>
        <color auto="1"/>
      </font>
      <numFmt numFmtId="4" formatCode="#,##0.00"/>
      <border outline="0">
        <top/>
      </border>
    </ndxf>
  </rcc>
  <rfmt sheetId="1" sqref="AJ209:AK209" start="0" length="2147483647">
    <dxf>
      <font>
        <b val="0"/>
      </font>
    </dxf>
  </rfmt>
  <rcc rId="18" sId="1" numFmtId="4">
    <oc r="AJ203">
      <v>0</v>
    </oc>
    <nc r="AJ203">
      <v>247825</v>
    </nc>
  </rcc>
  <rcc rId="19" sId="1" numFmtId="4">
    <nc r="AJ209">
      <v>105000</v>
    </nc>
  </rcc>
  <rcc rId="20" sId="1" numFmtId="4">
    <nc r="AJ208">
      <v>233342.06</v>
    </nc>
  </rcc>
  <rcc rId="21" sId="1">
    <oc r="AJ9">
      <f>49080.06+14949.98+41134.39-2384.82</f>
    </oc>
    <nc r="AJ9">
      <f>49080.06+14949.98+41134.39-2384.82+15898.81</f>
    </nc>
  </rcc>
  <rcc rId="22" sId="1">
    <oc r="AJ37">
      <f>35492.2+30895.14+16961.29+15519.4</f>
    </oc>
    <nc r="AJ37">
      <f>35492.2+30895.14+16961.29+15519.4+23454.6</f>
    </nc>
  </rcc>
  <rcc rId="23" sId="1" numFmtId="4">
    <oc r="AJ185">
      <v>37222.35</v>
    </oc>
    <nc r="AJ185">
      <f>37222.35+21641</f>
    </nc>
  </rcc>
  <rcc rId="24" sId="1" numFmtId="4">
    <oc r="AK185">
      <v>5692.83</v>
    </oc>
    <nc r="AK185">
      <f>5692.83+3309.8</f>
    </nc>
  </rcc>
  <rcc rId="25" sId="1">
    <oc r="AJ175">
      <f>28682+46411.17</f>
    </oc>
    <nc r="AJ175">
      <f>28682+46411.17+11796.6</f>
    </nc>
  </rcc>
  <rcc rId="26" sId="1" numFmtId="4">
    <oc r="AK175">
      <v>11484.84</v>
    </oc>
    <nc r="AK175">
      <f>11484.84+1803.88</f>
    </nc>
  </rcc>
  <rcc rId="27" sId="1">
    <oc r="AJ166">
      <f>55280.09+14628.07+12852.81+21538.21</f>
    </oc>
    <nc r="AJ166">
      <f>55280.09+14628.07+12852.81+21538.21-3653.49</f>
    </nc>
  </rcc>
  <rcc rId="28" sId="1">
    <oc r="AK166">
      <f>2532.51+2255.31+2268.14+3800.86</f>
    </oc>
    <nc r="AK166">
      <f>2532.51+2255.31+2268.14+3800.86+3653.49</f>
    </nc>
  </rcc>
  <rfmt sheetId="1" sqref="AJ67:AK67" start="0" length="2147483647">
    <dxf>
      <font>
        <b val="0"/>
      </font>
    </dxf>
  </rfmt>
  <rfmt sheetId="1" sqref="AJ61:AK61" start="0" length="2147483647">
    <dxf>
      <font>
        <b val="0"/>
      </font>
    </dxf>
  </rfmt>
  <rcc rId="29" sId="1">
    <oc r="AJ109">
      <f>41000-4123.49+46557.9+41000-738.9</f>
    </oc>
    <nc r="AJ109">
      <f>41000-4123.49+46557.9+41000-738.9+41000</f>
    </nc>
  </rcc>
  <rcc rId="30" sId="1">
    <oc r="AJ32">
      <f>75266.37-5365.18+40445.22-5442.14+41025.35-5438.13</f>
    </oc>
    <nc r="AJ32">
      <f>75266.37-5365.18+40445.22-5442.14+41025.35-5438.13+40995.18</f>
    </nc>
  </rcc>
  <rcc rId="31" sId="1">
    <oc r="AJ118">
      <f>96397.63+83926.36-2519.15+41501.07</f>
    </oc>
    <nc r="AJ118">
      <f>96397.63+83926.36-2519.15+41501.07-4777.79</f>
    </nc>
  </rcc>
  <rcc rId="32" sId="1">
    <oc r="AK118">
      <f>9960.19+14072.92+2519.15+536.51</f>
    </oc>
    <nc r="AK118">
      <f>9960.19+14072.92+2519.15+536.51+4777.79</f>
    </nc>
  </rcc>
  <rcc rId="33" sId="1">
    <oc r="AJ125">
      <f>33333.97+12894.42</f>
    </oc>
    <nc r="AJ125">
      <f>33333.97+12894.42+14394.75</f>
    </nc>
  </rcc>
  <rcc rId="34" sId="1">
    <oc r="AK125">
      <f>5098.14+1972.08</f>
    </oc>
    <nc r="AK125">
      <f>5098.14+1972.08+2201.55</f>
    </nc>
  </rcc>
  <rcc rId="35" sId="1">
    <oc r="AJ18">
      <f>50.58+71118.57</f>
    </oc>
    <nc r="AJ18">
      <f>50.58+71118.57+211342.81</f>
    </nc>
  </rcc>
  <rcc rId="36" sId="1">
    <oc r="AK18">
      <f>7.73+10876.95</f>
    </oc>
    <nc r="AK18">
      <f>7.73+10876.95+32323.01</f>
    </nc>
  </rcc>
  <rcc rId="37" sId="1">
    <oc r="AJ153">
      <f>70082.64+38337.49-1246.56</f>
    </oc>
    <nc r="AJ153">
      <f>70082.64+38337.49-1246.56+48094.29</f>
    </nc>
  </rcc>
  <rcc rId="38" sId="1">
    <oc r="AK153">
      <f>4618.03+6264.08+1246.56</f>
    </oc>
    <nc r="AK153">
      <f>4618.03+6264.08+1246.56+6443.69</f>
    </nc>
  </rcc>
  <rcc rId="39" sId="1">
    <oc r="AJ70">
      <f>82700.83+16407.5-2095.99+13973.28+13168.81</f>
    </oc>
    <nc r="AJ70">
      <f>82700.83+16407.5-2095.99+13973.28+13168.81+13492.57</f>
    </nc>
  </rcc>
  <rcc rId="40" sId="1">
    <oc r="AK70">
      <f>10873.44+2461.12+2095.99+2014.06</f>
    </oc>
    <nc r="AK70">
      <f>10873.44+2461.12+2095.99+2014.06+2381.06</f>
    </nc>
  </rcc>
  <rcc rId="41" sId="1">
    <oc r="AJ41">
      <f>20867.74+18218.8+30425.63+3648.09+28050.24</f>
    </oc>
    <nc r="AJ41">
      <f>20867.74+18218.8+30425.63+3648.09+28050.24+50726.48</f>
    </nc>
  </rcc>
  <rcc rId="42" sId="1">
    <oc r="AK41">
      <f>6395.02+3754.28+1987.29+1098.5</f>
    </oc>
    <nc r="AK41">
      <f>6395.02+3754.28+1987.29+1098.5+11377.64</f>
    </nc>
  </rcc>
  <rcc rId="43" sId="1">
    <oc r="AJ261">
      <f>91004.83+54990.03-2852.81+19018.76</f>
    </oc>
    <nc r="AJ261">
      <f>91004.83+54990.03-2852.81+19018.76+43276.76</f>
    </nc>
  </rcc>
  <rcc rId="44" sId="1">
    <oc r="AK261">
      <f>8258.02+14527.48</f>
    </oc>
    <nc r="AK261">
      <f>8258.02+14527.48+10688.48</f>
    </nc>
  </rcc>
  <rcc rId="45" sId="1">
    <oc r="AK192">
      <f>21665.98+2851.77+1356.83+1701.7</f>
    </oc>
    <nc r="AK192">
      <f>21665.98+2851.77+1356.83+1701.7+1232.65</f>
    </nc>
  </rcc>
  <rcc rId="46" sId="1">
    <oc r="AJ172">
      <f>41133.4+12089.93+41133.4</f>
    </oc>
    <nc r="AJ172">
      <f>41133.4+12089.93+41133.4-2141.81</f>
    </nc>
  </rcc>
  <rcc rId="47" sId="1" numFmtId="4">
    <oc r="AK172">
      <v>8140.04</v>
    </oc>
    <nc r="AK172">
      <f>8140.04+2141.81</f>
    </nc>
  </rcc>
  <rcc rId="48" sId="1">
    <oc r="AJ192">
      <f>172923.58+1813.03+21160-1356.83+11126.5</f>
    </oc>
    <nc r="AJ192">
      <f>172923.58+1813.03+21160-1356.83+11126.5-1232.65+26252.82</f>
    </nc>
  </rcc>
  <rcc rId="49" sId="1">
    <oc r="AJ146">
      <f>41760.02+3682.21+18068.95+21982.99+19777.03+31928.54+41760.02</f>
    </oc>
    <nc r="AJ146">
      <f>41760.02+3682.21+18068.95+21982.99+19777.03+31928.54+41760.02+8276.15</f>
    </nc>
  </rcc>
  <rcc rId="50" sId="1">
    <oc r="AK146">
      <f>6030.95+4165.9+11886.5</f>
    </oc>
    <nc r="AK146">
      <f>6030.95+4165.9+11886.5+8211.11</f>
    </nc>
  </rcc>
  <rcc rId="51" sId="1" numFmtId="4">
    <oc r="AJ88">
      <v>23754.1</v>
    </oc>
    <nc r="AJ88">
      <f>23754.1+18458.09</f>
    </nc>
  </rcc>
  <rcc rId="52" sId="1" numFmtId="4">
    <oc r="AK88">
      <v>3632.98</v>
    </oc>
    <nc r="AK88">
      <f>3632.98+2823.02</f>
    </nc>
  </rcc>
  <rcc rId="53" sId="1">
    <oc r="AJ7">
      <f>18251.2+30807.23</f>
    </oc>
    <nc r="AJ7">
      <f>18251.2+30807.23+59702.3</f>
    </nc>
  </rcc>
  <rcc rId="54" sId="1">
    <oc r="AK7">
      <f>2788.4+4706.69</f>
    </oc>
    <nc r="AK7">
      <f>2788.4+4706.69+9121.25</f>
    </nc>
  </rcc>
  <rcc rId="55" sId="1">
    <oc r="AJ355">
      <f>282756.47-22704+3451.47+697697.8</f>
    </oc>
    <nc r="AJ355">
      <f>282756.47-22704+3451.47+697697.8</f>
    </nc>
  </rcc>
  <rcc rId="56" sId="1">
    <oc r="AK317">
      <f>51329.52+25659.99+79433</f>
    </oc>
    <nc r="AK317">
      <f>51329.52+25659.99+79433+5677.61</f>
    </nc>
  </rcc>
  <rcc rId="57" sId="1">
    <oc r="AJ317">
      <f>413506.52+39634.08+203862.73+22675.21+238112.3</f>
    </oc>
    <nc r="AJ317">
      <f>413506.52+39634.08+203862.73+22675.21+238112.3-5677.61+315671.54</f>
    </nc>
  </rcc>
  <rcc rId="58" sId="1">
    <oc r="AK341">
      <f>41743.03+36457.11+62913.45</f>
    </oc>
    <nc r="AK341">
      <f>41743.03+36457.11+62913.45+29950.16</f>
    </nc>
  </rcc>
  <rcc rId="59" sId="1">
    <oc r="AJ341">
      <f>548484.27-41743+295621.66+234985.63-55420.85+55420.85-13710.7</f>
    </oc>
    <nc r="AJ341">
      <f>548484.27-41743+295621.66+234985.63-55420.85+55420.85-13710.7+526395.38</f>
    </nc>
  </rcc>
  <rcc rId="60" sId="1">
    <oc r="AJ325">
      <f>388971+375144.58-54672.24+342821.17</f>
    </oc>
    <nc r="AJ325">
      <f>388971+375144.58-54672.24+342821.17+4731.32</f>
    </nc>
  </rcc>
  <rcc rId="61" sId="1">
    <oc r="AK325">
      <f>71541.92+54951.43</f>
    </oc>
    <nc r="AK325">
      <f>71541.92+54951.43+44725.39</f>
    </nc>
  </rcc>
  <rcc rId="62" sId="1">
    <oc r="AJ322">
      <f>157838.38+70218+75120.05-9400.61+77188.42+38669.17</f>
    </oc>
    <nc r="AJ322">
      <f>157838.38+70218+75120.05-9400.61+77188.42+38669.17-7483.51</f>
    </nc>
  </rcc>
  <rcc rId="63" sId="1">
    <oc r="AK322">
      <f>11135.04+27716.68+9400.61+3526.85+11840.91</f>
    </oc>
    <nc r="AK322">
      <f>11135.04+27716.68+9400.61+3526.85+11840.91+7483.51</f>
    </nc>
  </rcc>
  <rcc rId="64" sId="1">
    <oc r="AJ370">
      <f>97000+74075.05+62367.67+44580.06+31686.87</f>
    </oc>
    <nc r="AJ370">
      <f>97000+74075.05+62367.67+44580.06+31686.87+94967.28</f>
    </nc>
  </rcc>
  <rcc rId="65" sId="1">
    <oc r="AJ381">
      <f>94052.8+22014.67+75007.09</f>
    </oc>
    <nc r="AJ381">
      <f>94052.8+22014.67+75007.09-1587.76</f>
    </nc>
  </rcc>
  <rcc rId="66" sId="1">
    <oc r="AK381">
      <f>7963.77+14304.23</f>
    </oc>
    <nc r="AK381">
      <f>7963.77+14304.23+1587.76</f>
    </nc>
  </rcc>
  <rcc rId="67" sId="1">
    <oc r="AJ358">
      <f>49971.72+83543.84+96913+21111.43</f>
    </oc>
    <nc r="AJ358">
      <f>49971.72+83543.84+96913+21111.43+81377.76</f>
    </nc>
  </rcc>
  <rcc rId="68" sId="1">
    <oc r="AJ359">
      <f>94316.78+88365.15+32352.46</f>
    </oc>
    <nc r="AJ359">
      <f>94316.78+88365.15+32352.46+93883.38</f>
    </nc>
  </rcc>
  <rcc rId="69" sId="1">
    <oc r="AK359">
      <f>21755.69+19252.4</f>
    </oc>
    <nc r="AK359">
      <f>21755.69+19252.4+433.4</f>
    </nc>
  </rcc>
  <rcc rId="70" sId="1">
    <oc r="AJ375">
      <f>98000+15936.3+98000</f>
    </oc>
    <nc r="AJ375">
      <f>98000+15936.3+98000+14229.11</f>
    </nc>
  </rcc>
  <rcc rId="71" sId="1" numFmtId="4">
    <oc r="AK375">
      <v>21728.22</v>
    </oc>
    <nc r="AK375">
      <f>21728.22+21402.65</f>
    </nc>
  </rcc>
  <rcc rId="72" sId="1">
    <oc r="AJ366">
      <f>85782.36-3113.23+78199.1+6754.09</f>
    </oc>
    <nc r="AJ366">
      <f>85782.36-3113.23+78199.1+6754.09+75351.32</f>
    </nc>
  </rcc>
  <rcc rId="73" sId="1">
    <oc r="AJ319">
      <f>99985.1+89695.95+1370.47+76616.64</f>
    </oc>
    <nc r="AJ319">
      <f>99985.1+89695.95+1370.47+76616.64+5407.01</f>
    </nc>
  </rcc>
  <rcc rId="74" sId="1">
    <oc r="AK319">
      <f>17105.45+14284.79</f>
    </oc>
    <nc r="AK319">
      <f>17105.45+14284.79+17404.21</f>
    </nc>
  </rcc>
  <rcc rId="75" sId="1">
    <oc r="AJ333">
      <f>94833+71891.83-13619.36+85035.24</f>
    </oc>
    <nc r="AJ333">
      <f>94833+71891.83-13619.36+85035.24+67213.99</f>
    </nc>
  </rcc>
  <rcc rId="76" sId="1">
    <oc r="AK333">
      <f>13710.12+13619.36</f>
    </oc>
    <nc r="AK333">
      <f>13710.12+13619.36+12818.03</f>
    </nc>
  </rcc>
  <rcc rId="77" sId="1">
    <oc r="AJ379">
      <f>87429.19-11092.62+65731.05</f>
    </oc>
    <nc r="AJ379">
      <f>87429.19-11092.62+65731.05+20127.08</f>
    </nc>
  </rcc>
  <rcc rId="78" sId="1" numFmtId="4">
    <oc r="AK379">
      <v>11092.62</v>
    </oc>
    <nc r="AK379">
      <f>11092.62+3838.33</f>
    </nc>
  </rcc>
  <rcc rId="79" sId="1">
    <oc r="AJ384">
      <f>65068.03-7463.91</f>
    </oc>
    <nc r="AJ384">
      <f>65068.03-7463.91+95685.5</f>
    </nc>
  </rcc>
  <rcc rId="80" sId="1">
    <oc r="AK374">
      <f>13570.14+16082.18</f>
    </oc>
    <nc r="AK374">
      <f>13570.14+16082.18+1255.12</f>
    </nc>
  </rcc>
  <rcc rId="81" sId="1">
    <oc r="AJ387">
      <f>92792.22-7961.38</f>
    </oc>
    <nc r="AJ387">
      <f>92792.22-7961.38+49708.54</f>
    </nc>
  </rcc>
  <rcc rId="82" sId="1">
    <oc r="AJ344">
      <f>172463.58+91295.09-2619.6</f>
    </oc>
    <nc r="AJ344">
      <f>172463.58+91295.09-2619.6+99688.33</f>
    </nc>
  </rcc>
  <rcc rId="83" sId="1">
    <oc r="AJ260">
      <f>340951.1+52774.1+61862.32+16616.16+1069.94</f>
    </oc>
    <nc r="AJ260">
      <f>340951.1+52774.1+61862.32+16616.16+1069.94+8813.14</f>
    </nc>
  </rcc>
  <rcc rId="84" sId="1">
    <oc r="AK260">
      <f>47349.74+21861.72+3168.79+9424.88</f>
    </oc>
    <nc r="AK260">
      <f>47349.74+21861.72+3168.79+9424.88+1680.7</f>
    </nc>
  </rcc>
  <rcc rId="85" sId="1">
    <oc r="AJ321">
      <f>137170.68-7903.65+194328.98+89918.19</f>
    </oc>
    <nc r="AJ321">
      <f>137170.68-7903.65+194328.98+89918.19+31054.2</f>
    </nc>
  </rcc>
  <rcc rId="86" sId="1">
    <oc r="AK321">
      <f>10079.83+14572.02+20980.21+17147.84</f>
    </oc>
    <nc r="AK321">
      <f>10079.83+14572.02+20980.21+17147.84+5922.18</f>
    </nc>
  </rcc>
  <rcc rId="87" sId="1">
    <oc r="AJ371">
      <f>96171.99-8232</f>
    </oc>
    <nc r="AJ371">
      <f>96171.99-8232+51398.18</f>
    </nc>
  </rcc>
  <rcc rId="88" sId="1">
    <oc r="AK324">
      <f>13125.47+19691.44+31465.6</f>
    </oc>
    <nc r="AK324">
      <f>13125.47+19691.44+31465.6+954</f>
    </nc>
  </rcc>
  <rcc rId="89" sId="1">
    <oc r="AJ324">
      <f>73296.53+95514.85+3270.71+99985.33+65010.91+99985.33</f>
    </oc>
    <nc r="AJ324">
      <f>73296.53+95514.85+3270.71+99985.33+65010.91+99985.33-954</f>
    </nc>
  </rcc>
  <rcc rId="90" sId="1">
    <oc r="AJ267">
      <f>99898.9+20257.44+82739.46+65227.91+122865.84+26629.39</f>
    </oc>
    <nc r="AJ267">
      <f>99898.9+20257.44+82739.46+65227.91+122865.84+26629.39+183749.63</f>
    </nc>
  </rcc>
  <rcc rId="91" sId="1">
    <oc r="AK267">
      <f>3863.19+15778.83+29070.82+6799.58+5078.36</f>
    </oc>
    <nc r="AK267">
      <f>3863.19+15778.83+29070.82+6799.58+5078.36+35041.94</f>
    </nc>
  </rcc>
  <rcc rId="92" sId="1">
    <oc r="AJ280">
      <f>203464.35+52738-9972.73+62266</f>
    </oc>
    <nc r="AJ280">
      <f>203464.35+52738-9972.73+62266+18526.35</f>
    </nc>
  </rcc>
  <rcc rId="93" sId="1">
    <oc r="AK280">
      <f>20890.44+10057.4+9972.73</f>
    </oc>
    <nc r="AK280">
      <f>20890.44+10057.4+9972.73+19214.05</f>
    </nc>
  </rcc>
  <rcc rId="94" sId="1">
    <oc r="AJ315">
      <f>104036.05+83299.38+40723.7+153044.06+23273.36</f>
    </oc>
    <nc r="AJ315">
      <f>104036.05+83299.38+40723.7+153044.06+23273.36+53101.78</f>
    </nc>
  </rcc>
  <rcc rId="95" sId="1">
    <oc r="AK315">
      <f>16886.65+26605.33+10347.13+4438.35</f>
    </oc>
    <nc r="AK315">
      <f>16886.65+26605.33+10347.13+4438.35+10126.8</f>
    </nc>
  </rcc>
  <rcc rId="96" sId="1">
    <oc r="AJ326">
      <f>99571.31-9242.96+89177.68+83254.45+30280.79</f>
    </oc>
    <nc r="AJ326">
      <f>99571.31-9242.96+89177.68+83254.45+30280.79+7839.21</f>
    </nc>
  </rcc>
  <rcc rId="97" sId="1">
    <oc r="AK326">
      <f>15946.32+15174.65+5774.69</f>
    </oc>
    <nc r="AK326">
      <f>15946.32+15174.65+5774.69+4031.4</f>
    </nc>
  </rcc>
  <rcc rId="98" sId="1">
    <oc r="AJ275">
      <f>91800+75057.16+74073.77+121742.1-7175.16</f>
    </oc>
    <nc r="AJ275">
      <f>91800+75057.16+74073.77+121742.1-7175.16+205568.39</f>
    </nc>
  </rcc>
  <rcc rId="99" sId="1">
    <oc r="AK275">
      <f>14189.24+14126.23+23216.82+16262.9</f>
    </oc>
    <nc r="AK275">
      <f>14189.24+14126.23+23216.82+16262.9+21571.65</f>
    </nc>
  </rcc>
  <rcc rId="100" sId="1">
    <oc r="AJ293">
      <f>155523.41+47135.61-8611.45+92000</f>
    </oc>
    <nc r="AJ293">
      <f>155523.41+47135.61-8611.45+92000+71209.41</f>
    </nc>
  </rcc>
  <rcc rId="101" sId="1">
    <oc r="AK293">
      <f>11958.04+8988.99+16058.8</f>
    </oc>
    <nc r="AK293">
      <f>11958.04+8988.99+16058.8+13579.97</f>
    </nc>
  </rcc>
  <rcc rId="102" sId="1">
    <oc r="AJ336">
      <f>98711.62+82894.54-376.83</f>
    </oc>
    <nc r="AJ336">
      <f>98711.62+82894.54-376.83+73798.02</f>
    </nc>
  </rcc>
  <rcc rId="103" sId="1">
    <oc r="AK336">
      <f>15808.4+376.83</f>
    </oc>
    <nc r="AK336">
      <f>15808.4+376.83+15333.49</f>
    </nc>
  </rcc>
  <rcc rId="104" sId="1">
    <oc r="AJ308">
      <f>213672.38+10844.44+40106.9-4967.47+69008.21+10185.97</f>
    </oc>
    <nc r="AJ308">
      <f>213672.38+10844.44+40106.9-4967.47+69008.21+10185.97-7830.59</f>
    </nc>
  </rcc>
  <rcc rId="105" sId="1">
    <oc r="AK308">
      <f>23567.39+2068.09+7666.13+12212.88+1942.51</f>
    </oc>
    <nc r="AK308">
      <f>23567.39+2068.09+7666.13+12212.88+1942.51+7830.59</f>
    </nc>
  </rcc>
  <rcc rId="106" sId="1">
    <oc r="AJ361">
      <f>98952.8+38728.19+96005.78+68225.96</f>
    </oc>
    <nc r="AJ361">
      <f>98952.8+38728.19+96005.78+68225.96+103165.27</f>
    </nc>
  </rcc>
  <rcc rId="107" sId="1">
    <oc r="AK361">
      <f>24992.94+30773.35</f>
    </oc>
    <nc r="AK361">
      <f>24992.94+30773.35+1365.53</f>
    </nc>
  </rcc>
  <rcc rId="108" sId="1">
    <oc r="AJ357">
      <f>99292.62-14519.17+90653.42-15093.22</f>
    </oc>
    <nc r="AJ357">
      <f>99292.62-14519.17+90653.42-15093.22+94237.53</f>
    </nc>
  </rcc>
  <rcc rId="109" sId="1">
    <oc r="AJ323">
      <f>93127.69-32382.23+82358.09+30059.24</f>
    </oc>
    <nc r="AJ323">
      <f>93127.69-32382.23+82358.09+30059.24-7220.89</f>
    </nc>
  </rcc>
  <rcc rId="110" sId="1">
    <oc r="AK323">
      <f>9460.82+5699.03</f>
    </oc>
    <nc r="AK323">
      <f>9460.82+5699.03+7815.58</f>
    </nc>
  </rcc>
  <rcc rId="111" sId="1">
    <oc r="AJ360">
      <f>91009.38-9270.26+57880.76-12678.05</f>
    </oc>
    <nc r="AJ360">
      <f>91009.38-9270.26+57880.76-12678.05+33855.88</f>
    </nc>
  </rcc>
  <rcc rId="112" sId="1">
    <oc r="AK360">
      <f>9270.26+12678.05</f>
    </oc>
    <nc r="AK360">
      <f>9270.26+12678.05+8716.65</f>
    </nc>
  </rcc>
  <rcc rId="113" sId="1">
    <oc r="AJ307">
      <f>86645.8-7709.4+41322.63-2793.73</f>
    </oc>
    <nc r="AJ307">
      <f>86645.8-7709.4+41322.63-2793.73+353.36</f>
    </nc>
  </rcc>
  <rcc rId="114" sId="1">
    <oc r="AK307">
      <f>6949.62+7709.4+2793.73</f>
    </oc>
    <nc r="AK307">
      <f>6949.62+7709.4+2793.73+5015.84</f>
    </nc>
  </rcc>
  <rcv guid="{A87F3E0E-3A8E-4B82-8170-33752259B7DB}" action="delete"/>
  <rdn rId="0" localSheetId="1" customView="1" name="Z_A87F3E0E_3A8E_4B82_8170_33752259B7DB_.wvu.PrintArea" hidden="1" oldHidden="1">
    <formula>Sheet1!$A$1:$AL$427</formula>
    <oldFormula>Sheet1!$A$1:$AL$427</oldFormula>
  </rdn>
  <rdn rId="0" localSheetId="1" customView="1" name="Z_A87F3E0E_3A8E_4B82_8170_33752259B7DB_.wvu.FilterData" hidden="1" oldHidden="1">
    <formula>Sheet1!$A$6:$AL$427</formula>
    <oldFormula>Sheet1!$A$6:$AL$427</oldFormula>
  </rdn>
  <rcv guid="{A87F3E0E-3A8E-4B82-8170-33752259B7DB}"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7" sId="1">
    <oc r="AJ363">
      <f>80429.21-9330.69+58258.04-10837.66</f>
    </oc>
    <nc r="AJ363">
      <f>80429.21-9330.69+58258.04-10837.66+67667.13</f>
    </nc>
  </rcc>
  <rcc rId="118" sId="1">
    <oc r="AJ354">
      <f>85600-10278.92+91440.93+64880.29</f>
    </oc>
    <nc r="AJ354">
      <f>85600-10278.92+91440.93+64880.29+85600</f>
    </nc>
  </rcc>
  <rcc rId="119" sId="1">
    <oc r="AJ327">
      <f>76816.8+130770.26-14027.52+87583.68+55112.77+22177.11</f>
    </oc>
    <nc r="AJ327">
      <f>76816.8+130770.26-14027.52+87583.68+55112.77+22177.11+95479.67</f>
    </nc>
  </rcc>
  <rcc rId="120" sId="1">
    <oc r="AK327">
      <f>13758.03+8556.79+14027.52+10510.28+4229.28</f>
    </oc>
    <nc r="AK327">
      <f>13758.03+8556.79+14027.52+10510.28+4229.28+10710.03</f>
    </nc>
  </rcc>
  <rcc rId="121" sId="1">
    <oc r="AJ345">
      <f>88658.73-1983.5-12014.52+85545.1</f>
    </oc>
    <nc r="AJ345">
      <f>88658.73-1983.5-12014.52+85545.1-10611.49</f>
    </nc>
  </rcc>
  <rcc rId="122" sId="1" numFmtId="4">
    <oc r="AK345">
      <v>14022.63</v>
    </oc>
    <nc r="AK345">
      <f>14022.63+14374.66</f>
    </nc>
  </rcc>
  <rcc rId="123" sId="1">
    <oc r="AJ286">
      <f>95051.96+39484.25+23955.55</f>
    </oc>
    <nc r="AJ286">
      <f>95051.96+39484.25+23955.55-8000</f>
    </nc>
  </rcc>
  <rcc rId="124" sId="1">
    <oc r="AJ277">
      <f>360374.76+80428.02+85558.08+11319.22</f>
    </oc>
    <nc r="AJ277">
      <f>360374.76+80428.02+85558.08+11319.22+96397</f>
    </nc>
  </rcc>
  <rcc rId="125" sId="1">
    <oc r="AJ269">
      <f>311274.3+94352.8-8733.69+71724.61+102413.3</f>
    </oc>
    <nc r="AJ269">
      <f>311274.3+94352.8-8733.69+71724.61+102413.3+20161.59</f>
    </nc>
  </rcc>
  <rcc rId="126" sId="1">
    <oc r="AK269">
      <f>40335.29+17993.54+8733.69+3278.99+19530.72</f>
    </oc>
    <nc r="AK269">
      <f>40335.29+17993.54+8733.69+3278.99+19530.72+3844.92</f>
    </nc>
  </rcc>
  <rcc rId="127" sId="1">
    <oc r="AJ271">
      <f>148819.34+46038+153649.09+7836.15</f>
    </oc>
    <nc r="AJ271">
      <f>148819.34+46038+153649.09+7836.15+91741.83</f>
    </nc>
  </rcc>
  <rcc rId="128" sId="1">
    <oc r="AK271">
      <f>28380.59+38081.31+1494.39</f>
    </oc>
    <nc r="AK271">
      <f>28380.59+38081.31+1494.39+17308.68</f>
    </nc>
  </rcc>
  <rcc rId="129" sId="1">
    <oc r="AJ311">
      <f>90931+53329.56+57210.46+106559.17+87755.66</f>
    </oc>
    <nc r="AJ311">
      <f>90931+53329.56+57210.46+106559.17+87755.66-53.91</f>
    </nc>
  </rcc>
  <rcc rId="130" sId="1">
    <oc r="AK311">
      <f>10170.21+10910.32+23029.37+14027.44</f>
    </oc>
    <nc r="AK311">
      <f>10170.21+10910.32+23029.37+14027.44+53.91</f>
    </nc>
  </rcc>
  <rcc rId="131" sId="1">
    <oc r="AJ270">
      <f>184670.36-1719.64+59823.53+78024.86+71396.89-5943.21</f>
    </oc>
    <nc r="AJ270">
      <f>184670.36-1719.64+59823.53+78024.86+71396.89-5943.21+95904.43</f>
    </nc>
  </rcc>
  <rcc rId="132" sId="1">
    <oc r="AK270">
      <f>18758.18+11080.69+14879.72+13615.74+5943.21</f>
    </oc>
    <nc r="AK270">
      <f>18758.18+11080.69+14879.72+13615.74+5943.21+14676.76</f>
    </nc>
  </rcc>
  <rcc rId="133" sId="1">
    <oc r="AK294">
      <f>20686.62+12745.2+880.06+15371.21</f>
    </oc>
    <nc r="AK294">
      <f>20686.62+12745.2+880.06+15371.21+4436.91</f>
    </nc>
  </rcc>
  <rcc rId="134" sId="1">
    <oc r="AJ291">
      <f>80989.07+73791.77+71604.65-11418.94+71296.47</f>
    </oc>
    <nc r="AJ291">
      <f>80989.07+73791.77+71604.65-11418.94+71296.47+10538.9</f>
    </nc>
  </rcc>
  <rcc rId="135" sId="1">
    <oc r="AK291">
      <f>12124.41+13655.35+11418.94</f>
    </oc>
    <nc r="AK291">
      <f>12124.41+13655.35+11418.94+6176.71</f>
    </nc>
  </rcc>
  <rcc rId="136" sId="1">
    <oc r="AJ385">
      <f>60847.25+46274.32+74884.92</f>
    </oc>
    <nc r="AJ385">
      <f>60847.25+46274.32+74884.92+83101.32</f>
    </nc>
  </rcc>
  <rcc rId="137" sId="1">
    <oc r="AK385">
      <f>12128.97+6500.12</f>
    </oc>
    <nc r="AK385">
      <f>12128.97+6500.12+15847.83</f>
    </nc>
  </rcc>
  <rcc rId="138" sId="1">
    <oc r="AJ289">
      <f>59000+45054.47-7168.82+43487.54+82400+27588.29</f>
    </oc>
    <nc r="AJ289">
      <f>59000+45054.47-7168.82+43487.54+82400+27588.29+82400</f>
    </nc>
  </rcc>
  <rcc rId="139" sId="1">
    <oc r="AJ309">
      <f>151237.06+59857.57+64477.1</f>
    </oc>
    <nc r="AJ309">
      <f>151237.06+59857.57+64477.1+31001.93</f>
    </nc>
  </rcc>
  <rcc rId="140" sId="1">
    <oc r="AK309">
      <f>10523.78+11415.13+12296.1</f>
    </oc>
    <nc r="AK309">
      <f>10523.78+11415.13+12296.1+5912.22</f>
    </nc>
  </rcc>
  <rcc rId="141" sId="1">
    <oc r="AJ365">
      <f>93000-10796.98+67413.16+54893.4+46914.21</f>
    </oc>
    <nc r="AJ365">
      <f>93000-10796.98+67413.16+54893.4+46914.21-9130.88</f>
    </nc>
  </rcc>
  <rcc rId="142" sId="1">
    <oc r="AK365">
      <f>10796.98+10468.44+8946.77</f>
    </oc>
    <nc r="AK365">
      <f>10796.98+10468.44+8946.77+9130.88</f>
    </nc>
  </rcc>
  <rcc rId="143" sId="1">
    <oc r="AJ356">
      <f>81541.49+87388.02+13666.61+117720.04</f>
    </oc>
    <nc r="AJ356">
      <f>81541.49+87388.02+13666.61+117720.04+28127.79</f>
    </nc>
  </rcc>
  <rcc rId="144" sId="1">
    <oc r="AK356">
      <f>16166.91+2606.29+16916.51</f>
    </oc>
    <nc r="AK356">
      <f>16166.91+2606.29+16916.51+3786.15</f>
    </nc>
  </rcc>
  <rcc rId="145" sId="1">
    <oc r="AJ351">
      <f>11711.89+112463.33</f>
    </oc>
    <nc r="AJ351">
      <f>11711.89+112463.33+73006.84</f>
    </nc>
  </rcc>
  <rcc rId="146" sId="1">
    <oc r="AK351">
      <f>2233.51+2453.09</f>
    </oc>
    <nc r="AK351">
      <f>2233.51+2453.09+13922.77</f>
    </nc>
  </rcc>
  <rcc rId="147" sId="1">
    <oc r="AJ352">
      <f>165765.11+56722.24+28008.96+69100.38-9760.15+61890.51+86983.18</f>
    </oc>
    <nc r="AJ352">
      <f>165765.11+56722.24+28008.96+69100.38-9760.15+61890.51+86983.18+50044.51</f>
    </nc>
  </rcc>
  <rcc rId="148" sId="1">
    <oc r="AK352">
      <f>14377.08+10817.21+22576.59+11316.48+16588.12</f>
    </oc>
    <nc r="AK352">
      <f>14377.08+10817.21+22576.59+11316.48+16588.12+13157.91</f>
    </nc>
  </rcc>
  <rcc rId="149" sId="1">
    <oc r="AJ377">
      <f>95544.32-8902.54+79756.49+100684.35</f>
    </oc>
    <nc r="AJ377">
      <f>95544.32-8902.54+79756.49+100684.35-11646.04</f>
    </nc>
  </rcc>
  <rcc rId="150" sId="1">
    <oc r="AK377">
      <f>13512.19+19201.01</f>
    </oc>
    <nc r="AK377">
      <f>13512.19+19201.01+11646.04</f>
    </nc>
  </rcc>
  <rcc rId="151" sId="1">
    <oc r="AJ380">
      <f>97124.72-2315.04+144614.75</f>
    </oc>
    <nc r="AJ380">
      <f>97124.72-2315.04+144614.75+20673.18</f>
    </nc>
  </rcc>
  <rcc rId="152" sId="1">
    <oc r="AK380">
      <f>2315.04+24491.87</f>
    </oc>
    <nc r="AK380">
      <f>2315.04+24491.87+3942.46</f>
    </nc>
  </rcc>
  <rcc rId="153" sId="1">
    <oc r="AJ279">
      <f>83798.27+102389.01-8104.35</f>
    </oc>
    <nc r="AJ279">
      <f>83798.27+102389.01-8104.35+153466.67</f>
    </nc>
  </rcc>
  <rcc rId="154" sId="1">
    <oc r="AK279">
      <f>11201.73+6188.13+8104.35</f>
    </oc>
    <nc r="AK279">
      <f>11201.73+6188.13+8104.35+19616.99</f>
    </nc>
  </rcc>
  <rcc rId="155" sId="1">
    <oc r="AJ362">
      <f>99347-2141.53-5209.28</f>
    </oc>
    <nc r="AJ362">
      <f>99347-2141.53-5209.28+78190.33</f>
    </nc>
  </rcc>
  <rcc rId="156" sId="1">
    <oc r="AK362">
      <f>2141.53+5209.28</f>
    </oc>
    <nc r="AK362">
      <f>2141.53+5209.28+6119.81</f>
    </nc>
  </rcc>
  <rcc rId="157" sId="1">
    <oc r="AJ339">
      <f>97265.68-4932.42-9631.06+90930.16</f>
    </oc>
    <nc r="AJ339">
      <f>97265.68-4932.42-9631.06+90930.16+45566.01</f>
    </nc>
  </rcc>
  <rcc rId="158" sId="1">
    <oc r="AK339">
      <f>4932.42+9631.06</f>
    </oc>
    <nc r="AK339">
      <f>4932.42+9631.06+27238.7</f>
    </nc>
  </rcc>
  <rcc rId="159" sId="1">
    <oc r="AJ382">
      <f>99996.13-6665.57+73099.14-794.96</f>
    </oc>
    <nc r="AJ382">
      <f>99996.13-6665.57+73099.14-794.96+84527.06</f>
    </nc>
  </rcc>
  <rcc rId="160" sId="1">
    <oc r="AJ369">
      <f>99790.4-11343.79+72694.84+14258.38+9077.47</f>
    </oc>
    <nc r="AJ369">
      <f>99790.4-11343.79+72694.84+14258.38+9077.47+175834.51</f>
    </nc>
  </rcc>
  <rcc rId="161" sId="1">
    <oc r="AK369">
      <f>11343.79+2719.14+19935.24</f>
    </oc>
    <nc r="AK369">
      <f>11343.79+2719.14+19935.24+14501.99</f>
    </nc>
  </rcc>
  <rcc rId="162" sId="1">
    <oc r="AJ335">
      <f>99856.11-15338.74+81959.76+84034.35-9577.08</f>
    </oc>
    <nc r="AJ335">
      <f>99856.11-15338.74+81959.76+84034.35-9577.08+99856</f>
    </nc>
  </rcc>
  <rcc rId="163" sId="1">
    <oc r="AJ306">
      <f>239002.19+7716.3+76236.18+77866.17-9062.7</f>
    </oc>
    <nc r="AJ306">
      <f>239002.19+7716.3+76236.18+77866.17-9062.7+110648.92</f>
    </nc>
  </rcc>
  <rcc rId="164" sId="1">
    <oc r="AK306">
      <f>26726.95+18388.45+12471.15+9062.7</f>
    </oc>
    <nc r="AK306">
      <f>26726.95+18388.45+12471.15+9062.7+10310.26</f>
    </nc>
  </rcc>
  <rcc rId="165" sId="1">
    <oc r="AJ295">
      <f>140575.46+6566.7+79837.6+71604.41+17465.12</f>
    </oc>
    <nc r="AJ295">
      <f>140575.46+6566.7+79837.6+71604.41+17465.12+79837.6</f>
    </nc>
  </rcc>
  <rcc rId="166" sId="1">
    <oc r="AJ292">
      <f>81482.69+89509.54+12342.66</f>
    </oc>
    <nc r="AJ292">
      <f>81482.69+89509.54+12342.66+79890.06</f>
    </nc>
  </rcc>
  <rcc rId="167" sId="1">
    <oc r="AJ264">
      <f>281863.03+67706.32-7048.99+70335.64+92451.16</f>
    </oc>
    <nc r="AJ264">
      <f>281863.03+67706.32-7048.99+70335.64+92451.16+65330.08</f>
    </nc>
  </rcc>
  <rcc rId="168" sId="1">
    <oc r="AK264">
      <f>53450.47+7048.99+3931.35+17630.9</f>
    </oc>
    <nc r="AK264">
      <f>53450.47+7048.99+3931.35+17630.9+12458.8</f>
    </nc>
  </rcc>
  <rcc rId="169" sId="1">
    <oc r="AJ265">
      <f>89285.71-11964.69+140134-555.33+108178.82+21252.58+36085.35</f>
    </oc>
    <nc r="AJ265">
      <f>89285.71-11964.69+140134-555.33+108178.82+21252.58+36085.35+107586.93</f>
    </nc>
  </rcc>
  <rcc rId="170" sId="1">
    <oc r="AK265">
      <f>11964.69+11960.22+17298.63+11541.66+4052.98+14039.69</f>
    </oc>
    <nc r="AK265">
      <f>11964.69+11960.22+17298.63+11541.66+4052.98+14039.69+5043.38</f>
    </nc>
  </rcc>
  <rcc rId="171" sId="1">
    <oc r="AJ282">
      <f>103189.19-10344.17+64585.92</f>
    </oc>
    <nc r="AJ282">
      <f>103189.19-10344.17+64585.92+101525.85</f>
    </nc>
  </rcc>
  <rcc rId="172" sId="1">
    <oc r="AK282">
      <f>6891.88+10344.17</f>
    </oc>
    <nc r="AK282">
      <f>6891.88+10344.17+32148.26</f>
    </nc>
  </rcc>
  <rcc rId="173" sId="1">
    <oc r="AJ266">
      <f>85000+43282.16-11040.21+106472.55+153782.22-13315.84</f>
    </oc>
    <nc r="AJ266">
      <f>85000+43282.16-11040.21+106472.55+153782.22-13315.84+83140.14</f>
    </nc>
  </rcc>
  <rcc rId="174" sId="1">
    <oc r="AJ304">
      <f>151069.39+15306.08+96848.21+24994.02+61062.19</f>
    </oc>
    <nc r="AJ304">
      <f>151069.39+15306.08+96848.21+24994.02+61062.19+191670.85</f>
    </nc>
  </rcc>
  <rcc rId="175" sId="1">
    <oc r="AK304">
      <f>10340.24+21388.37+4766.48+30114.35</f>
    </oc>
    <nc r="AK304">
      <f>10340.24+21388.37+4766.48+30114.35+18083.14</f>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6" sId="1">
    <oc r="AJ304">
      <f>151069.39+15306.08+96848.21+24994.02+61062.19+191670.85</f>
    </oc>
    <nc r="AJ304">
      <f>151069.39+15306.08+96848.21+24994.02+61062.19+191670.85+84169.97</f>
    </nc>
  </rcc>
  <rcc rId="177" sId="1">
    <oc r="AK304">
      <f>10340.24+21388.37+4766.48+30114.35+18083.14</f>
    </oc>
    <nc r="AK304">
      <f>10340.24+21388.37+4766.48+30114.35+18083.14+159.94</f>
    </nc>
  </rcc>
  <rcc rId="178" sId="1">
    <oc r="AJ298">
      <f>98383.57+67957.2+131759+61030.49+98383.57-15548.08</f>
    </oc>
    <nc r="AJ298">
      <f>98383.57+67957.2+131759+61030.49+98383.57-15548.08+97077.59</f>
    </nc>
  </rcc>
  <rcc rId="179" sId="1">
    <oc r="AJ332">
      <f>57915.69+124630.09-868.64+54803.2</f>
    </oc>
    <nc r="AJ332">
      <f>57915.69+124630.09-868.64+54803.2+81029.88</f>
    </nc>
  </rcc>
  <rcc rId="180" sId="1">
    <oc r="AK332">
      <f>16617.93+10285.59</f>
    </oc>
    <nc r="AK332">
      <f>16617.93+10285.59+15452.81</f>
    </nc>
  </rcc>
  <rcc rId="181" sId="1">
    <oc r="AJ329">
      <f>97719.31+82606.17+3211.32+89251.39</f>
    </oc>
    <nc r="AJ329">
      <f>97719.31+82606.17+3211.32+89251.39-12691.77</f>
    </nc>
  </rcc>
  <rcc rId="182" sId="1">
    <oc r="AK329">
      <f>16734.59+7125.74+9148.44</f>
    </oc>
    <nc r="AK329">
      <f>16734.59+7125.74+9148.44+12691.77</f>
    </nc>
  </rcc>
  <rcc rId="183" sId="1">
    <oc r="AJ119">
      <f>28130+781.9+43081.69</f>
    </oc>
    <nc r="AJ119">
      <f>28130+781.9+43081.69+28130</f>
    </nc>
  </rcc>
  <rcc rId="184" sId="1" numFmtId="4">
    <oc r="AJ207">
      <v>0</v>
    </oc>
    <nc r="AJ207">
      <v>247345</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87F3E0E-3A8E-4B82-8170-33752259B7DB}" action="delete"/>
  <rdn rId="0" localSheetId="1" customView="1" name="Z_A87F3E0E_3A8E_4B82_8170_33752259B7DB_.wvu.PrintArea" hidden="1" oldHidden="1">
    <formula>Sheet1!$A$1:$AL$427</formula>
    <oldFormula>Sheet1!$A$1:$AL$427</oldFormula>
  </rdn>
  <rdn rId="0" localSheetId="1" customView="1" name="Z_A87F3E0E_3A8E_4B82_8170_33752259B7DB_.wvu.FilterData" hidden="1" oldHidden="1">
    <formula>Sheet1!$A$6:$AL$427</formula>
    <oldFormula>Sheet1!$A$6:$AL$427</oldFormula>
  </rdn>
  <rcv guid="{A87F3E0E-3A8E-4B82-8170-33752259B7DB}"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7" sId="1">
    <oc r="AJ330">
      <f>67020+7797+44875.55+3783.2+14368.2-5518.28</f>
    </oc>
    <nc r="AJ330">
      <f>67020+7797+44875.55+3783.2+14368.2-5518.28+131016.07</f>
    </nc>
  </rcc>
  <rcc rId="188" sId="1">
    <oc r="AK330">
      <f>8557.98+2208.4+1253.17+10049.33</f>
    </oc>
    <nc r="AK330">
      <f>8557.98+2208.4+1253.17+10049.33+13883.73</f>
    </nc>
  </rcc>
  <rcc rId="189" sId="1">
    <oc r="AJ321">
      <f>137170.68-7903.65+194328.98+89918.19+31054.2</f>
    </oc>
    <nc r="AJ321">
      <f>137170.68-7903.65+194328.98+89918.19+31054.2+67873.86</f>
    </nc>
  </rcc>
  <rcc rId="190" sId="1">
    <oc r="AK321">
      <f>10079.83+14572.02+20980.21+17147.84+5922.18</f>
    </oc>
    <nc r="AK321">
      <f>10079.83+14572.02+20980.21+17147.84+5922.18+12943.9</f>
    </nc>
  </rcc>
  <rcc rId="191" sId="1">
    <oc r="AJ362">
      <f>99347-2141.53-5209.28+78190.33</f>
    </oc>
    <nc r="AJ362">
      <f>99347-2141.53-5209.28+78190.23</f>
    </nc>
  </rcc>
  <rcc rId="192" sId="1">
    <oc r="AJ369">
      <f>99790.4-11343.79+72694.84+14258.38+9077.47+175834.51</f>
    </oc>
    <nc r="AJ369">
      <f>99790.4-11343.79+72694.84+14258.38+9077.47+175834.61</f>
    </nc>
  </rcc>
  <rcc rId="193" sId="1">
    <oc r="AJ264">
      <f>281863.03+67706.32-7048.99+70335.64+92451.16+65330.08</f>
    </oc>
    <nc r="AJ264">
      <f>281863.03+67706.32-7048.99+70335.64+92451.16+65330.18</f>
    </nc>
  </rcc>
  <rcc rId="194" sId="1">
    <oc r="AJ304">
      <f>151069.39+15306.08+96848.21+24994.02+61062.19+191670.85+84169.97</f>
    </oc>
    <nc r="AJ304">
      <f>151069.39+15306.08+96848.21+24994.02+61062.19+191670.85</f>
    </nc>
  </rcc>
  <rcc rId="195" sId="1">
    <oc r="AK304">
      <f>10340.24+21388.37+4766.48+30114.35+18083.14+159.94</f>
    </oc>
    <nc r="AK304">
      <f>10340.24+21388.37+4766.48+30114.35+18083.14</f>
    </nc>
  </rcc>
  <rcc rId="196" sId="1">
    <oc r="AJ302">
      <f>115253.85+83737.14+92702.34+29518.18</f>
    </oc>
    <nc r="AJ302">
      <f>115253.85+83737.14+92702.34+29518.18+84169.97</f>
    </nc>
  </rcc>
  <rcc rId="197" sId="1">
    <oc r="AK302">
      <f>18935.29+25587.45+13802.72</f>
    </oc>
    <nc r="AK302">
      <f>18935.29+25587.45+13802.72+159.94</f>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8" sId="1" numFmtId="4">
    <oc r="T272">
      <v>5625058.21</v>
    </oc>
    <nc r="T272">
      <v>5625058.2300000004</v>
    </nc>
  </rcc>
  <rcc rId="199" sId="1" numFmtId="4">
    <oc r="Z272">
      <v>992657.33</v>
    </oc>
    <nc r="Z272">
      <v>992657.31</v>
    </nc>
  </rcc>
  <rcc rId="200" sId="1">
    <oc r="AI272" t="inlineStr">
      <is>
        <t>n.a</t>
      </is>
    </oc>
    <nc r="AI272" t="inlineStr">
      <is>
        <t>OMDRAP nr. 1679/06.05.2019/Actul adițional nr.1/06.05.2019</t>
      </is>
    </nc>
  </rcc>
  <rcv guid="{901F9774-8BE7-424D-87C2-1026F3FA2E93}" action="delete"/>
  <rdn rId="0" localSheetId="1" customView="1" name="Z_901F9774_8BE7_424D_87C2_1026F3FA2E93_.wvu.PrintArea" hidden="1" oldHidden="1">
    <formula>Sheet1!$A$1:$AL$427</formula>
    <oldFormula>Sheet1!$A$1:$AL$427</oldFormula>
  </rdn>
  <rdn rId="0" localSheetId="1" customView="1" name="Z_901F9774_8BE7_424D_87C2_1026F3FA2E93_.wvu.FilterData" hidden="1" oldHidden="1">
    <formula>Sheet1!$C$1:$C$434</formula>
    <oldFormula>Sheet1!$C$1:$C$434</oldFormula>
  </rdn>
  <rcv guid="{901F9774-8BE7-424D-87C2-1026F3FA2E93}"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3" sId="1" numFmtId="19">
    <oc r="L272">
      <v>44121</v>
    </oc>
    <nc r="L272">
      <v>44302</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04" sId="1" numFmtId="4">
    <nc r="AJ57">
      <v>0</v>
    </nc>
  </rcc>
  <rcc rId="205" sId="1" numFmtId="4">
    <nc r="AK57">
      <v>0</v>
    </nc>
  </rcc>
  <rcc rId="206" sId="1" numFmtId="4">
    <oc r="AJ112">
      <v>0</v>
    </oc>
    <nc r="AJ112">
      <v>70000</v>
    </nc>
  </rcc>
  <rcc rId="207" sId="1" numFmtId="4">
    <oc r="AJ111">
      <v>0</v>
    </oc>
    <nc r="AJ111">
      <v>3500.5</v>
    </nc>
  </rcc>
  <rcc rId="208" sId="1" numFmtId="4">
    <oc r="AK111">
      <v>0</v>
    </oc>
    <nc r="AK111">
      <v>535.38</v>
    </nc>
  </rcc>
  <rfmt sheetId="1" sqref="AJ100:AK100" start="0" length="2147483647">
    <dxf>
      <font>
        <b val="0"/>
      </font>
    </dxf>
  </rfmt>
  <rcc rId="209" sId="1" numFmtId="4">
    <oc r="AJ100">
      <v>0</v>
    </oc>
    <nc r="AJ100">
      <v>61734</v>
    </nc>
  </rcc>
  <rfmt sheetId="1" sqref="AJ98:AK98" start="0" length="2147483647">
    <dxf>
      <font>
        <b val="0"/>
      </font>
    </dxf>
  </rfmt>
  <rcc rId="210" sId="1" odxf="1" dxf="1" numFmtId="4">
    <nc r="AJ156">
      <v>0</v>
    </nc>
    <ndxf>
      <font>
        <b val="0"/>
        <sz val="12"/>
        <color auto="1"/>
      </font>
      <numFmt numFmtId="4" formatCode="#,##0.00"/>
    </ndxf>
  </rcc>
  <rcc rId="211" sId="1" odxf="1" dxf="1" numFmtId="4">
    <nc r="AK156">
      <v>0</v>
    </nc>
    <ndxf>
      <font>
        <b val="0"/>
        <sz val="12"/>
        <color auto="1"/>
      </font>
      <numFmt numFmtId="4" formatCode="#,##0.00"/>
      <border outline="0">
        <top/>
      </border>
    </ndxf>
  </rcc>
  <rcc rId="212" sId="1" numFmtId="4">
    <nc r="AJ167">
      <v>0</v>
    </nc>
  </rcc>
  <rcc rId="213" sId="1" numFmtId="4">
    <nc r="AK167">
      <v>0</v>
    </nc>
  </rcc>
  <rcc rId="214" sId="1" odxf="1" dxf="1" numFmtId="4">
    <nc r="AJ188">
      <v>0</v>
    </nc>
    <ndxf>
      <font>
        <b val="0"/>
        <sz val="12"/>
        <color auto="1"/>
      </font>
      <numFmt numFmtId="4" formatCode="#,##0.00"/>
    </ndxf>
  </rcc>
  <rcc rId="215" sId="1" odxf="1" dxf="1" numFmtId="4">
    <nc r="AK188">
      <v>0</v>
    </nc>
    <ndxf>
      <font>
        <b val="0"/>
        <sz val="12"/>
        <color auto="1"/>
      </font>
      <numFmt numFmtId="4" formatCode="#,##0.00"/>
      <border outline="0">
        <top/>
      </border>
    </ndxf>
  </rcc>
  <rcc rId="216" sId="1" numFmtId="4">
    <nc r="AJ21">
      <v>0</v>
    </nc>
  </rcc>
  <rcc rId="217" sId="1" endOfListFormulaUpdate="1">
    <oc r="AJ22">
      <f>SUM(AJ18:AJ20)</f>
    </oc>
    <nc r="AJ22">
      <f>SUM(AJ18:AJ21)</f>
    </nc>
  </rcc>
  <rcc rId="218" sId="1" numFmtId="4">
    <nc r="AK21">
      <v>0</v>
    </nc>
  </rcc>
  <rcc rId="219" sId="1" endOfListFormulaUpdate="1">
    <oc r="AK22">
      <f>SUM(AK18:AK20)</f>
    </oc>
    <nc r="AK22">
      <f>SUM(AK18:AK21)</f>
    </nc>
  </rcc>
  <rcc rId="220" sId="1" odxf="1" dxf="1" numFmtId="4">
    <nc r="AJ39">
      <v>0</v>
    </nc>
    <ndxf>
      <font>
        <b val="0"/>
        <sz val="12"/>
        <color auto="1"/>
      </font>
      <numFmt numFmtId="4" formatCode="#,##0.00"/>
    </ndxf>
  </rcc>
  <rcc rId="221" sId="1" odxf="1" dxf="1" numFmtId="4">
    <nc r="AK39">
      <v>0</v>
    </nc>
    <ndxf>
      <font>
        <b val="0"/>
        <sz val="12"/>
        <color auto="1"/>
      </font>
      <numFmt numFmtId="4" formatCode="#,##0.00"/>
      <border outline="0">
        <top/>
      </border>
    </ndxf>
  </rcc>
  <rcc rId="222" sId="1" numFmtId="4">
    <nc r="AJ68">
      <v>0</v>
    </nc>
  </rcc>
  <rcc rId="223" sId="1" numFmtId="4">
    <nc r="AK68">
      <v>0</v>
    </nc>
  </rcc>
  <rfmt sheetId="1" sqref="AJ68:AK68" start="0" length="2147483647">
    <dxf>
      <font>
        <b val="0"/>
      </font>
    </dxf>
  </rfmt>
  <rcc rId="224" sId="1" numFmtId="4">
    <nc r="AJ134">
      <v>0</v>
    </nc>
  </rcc>
  <rcc rId="225" sId="1" numFmtId="4">
    <nc r="AK134">
      <v>0</v>
    </nc>
  </rcc>
  <rcc rId="226" sId="1" numFmtId="4">
    <nc r="AJ197">
      <v>0</v>
    </nc>
  </rcc>
  <rcc rId="227" sId="1" numFmtId="4">
    <nc r="AK197">
      <v>0</v>
    </nc>
  </rcc>
  <rcc rId="228" sId="1">
    <oc r="AJ419">
      <f>SUMIFS(AJ$7:AJ$400,$F$7:$F$400,$F419)</f>
    </oc>
    <nc r="AJ419">
      <f>SUMIFS(AJ$7:AJ$400,$F$7:$F$400,$F419)</f>
    </nc>
  </rcc>
  <rcc rId="229" sId="1">
    <oc r="AK419">
      <f>SUMIFS(AK$7:AK$400,$F$7:$F$400,$F419)</f>
    </oc>
    <nc r="AK419">
      <f>SUMIFS(AK$7:AK$400,$F$7:$F$400,$F419)</f>
    </nc>
  </rcc>
  <rcc rId="230" sId="1" numFmtId="4">
    <oc r="AJ138">
      <v>0</v>
    </oc>
    <nc r="AJ138">
      <v>283028.44</v>
    </nc>
  </rcc>
  <rcc rId="231" sId="1">
    <oc r="AJ137">
      <f>28871.96-265.54+15843.66+15843.66</f>
    </oc>
    <nc r="AJ137">
      <f>28871.96-265.54+15843.66+15843.66+10893.14</f>
    </nc>
  </rcc>
  <rcc rId="232" sId="1">
    <oc r="AK137">
      <f>4137.44+2795.94+2795.94</f>
    </oc>
    <nc r="AK137">
      <f>4137.44+2795.94+2795.94+1922.32</f>
    </nc>
  </rcc>
  <rcc rId="233" sId="1">
    <oc r="AJ150">
      <f>31913.97+11281.2</f>
    </oc>
    <nc r="AJ150">
      <f>31913.97+11281.2+7318.5</f>
    </nc>
  </rcc>
  <rcc rId="234" sId="1">
    <oc r="AK150">
      <f>5112.75+1725.36</f>
    </oc>
    <nc r="AK150">
      <f>5112.75+1725.36+1119.3</f>
    </nc>
  </rcc>
  <rcc rId="235" sId="1">
    <oc r="AJ24">
      <f>36499+66741.15</f>
    </oc>
    <nc r="AJ24">
      <f>36499+66741.15+31009.7</f>
    </nc>
  </rcc>
  <rcc rId="236" sId="1">
    <oc r="AK24">
      <f>5582.2+10207.47</f>
    </oc>
    <nc r="AK24">
      <f>5582.2+10207.47+4742.66</f>
    </nc>
  </rcc>
  <rcc rId="237" sId="1">
    <oc r="AJ60">
      <f>38178.44+14834.2+3.22</f>
    </oc>
    <nc r="AJ60">
      <f>38178.44+14834.2+3.22+14453.49</f>
    </nc>
  </rcc>
  <rcc rId="238" sId="1">
    <oc r="AK60">
      <f>3425.9+2621.59-3.22</f>
    </oc>
    <nc r="AK60">
      <f>3425.9+2621.59-3.22+2550.61</f>
    </nc>
  </rcc>
  <rcc rId="239" sId="1">
    <oc r="AJ29">
      <f>17436.62+39132.39-4546.98</f>
    </oc>
    <nc r="AJ29">
      <f>17436.62+39132.39-4546.98+30717.43</f>
    </nc>
  </rcc>
  <rcc rId="240" sId="1">
    <oc r="AK29">
      <f>2549.38+4546.98</f>
    </oc>
    <nc r="AK29">
      <f>2549.38+4546.98+4697.96</f>
    </nc>
  </rcc>
  <rcc rId="241" sId="1">
    <oc r="AK181">
      <v>5942.12</v>
    </oc>
    <nc r="AK181">
      <f>5942.12+6164.89</f>
    </nc>
  </rcc>
  <rcc rId="242" sId="1">
    <oc r="AJ181">
      <f>26729+12123.33</f>
    </oc>
    <nc r="AJ181">
      <f>26729+12123.33+40308.88</f>
    </nc>
  </rcc>
  <rcc rId="243" sId="1" numFmtId="4">
    <oc r="AJ11">
      <v>11570.2</v>
    </oc>
    <nc r="AJ11">
      <f>11570.2+74831.96</f>
    </nc>
  </rcc>
  <rcc rId="244" sId="1" numFmtId="4">
    <oc r="AK11">
      <v>1769.56</v>
    </oc>
    <nc r="AK11">
      <f>1769.56+11444.89</f>
    </nc>
  </rcc>
  <rcc rId="245" sId="1">
    <oc r="AJ104">
      <f>29969-3256.9+24552.01</f>
    </oc>
    <nc r="AJ104">
      <f>29969-3256.9+24552.01</f>
    </nc>
  </rcc>
  <rcc rId="246" sId="1" numFmtId="4">
    <oc r="AJ48">
      <v>56093.22</v>
    </oc>
    <nc r="AJ48">
      <f>56093.22+21812.7</f>
    </nc>
  </rcc>
  <rcc rId="247" sId="1" numFmtId="4">
    <oc r="AK48">
      <v>8578.9599999999991</v>
    </oc>
    <nc r="AK48">
      <f>8578.96+3336.06</f>
    </nc>
  </rcc>
  <rcc rId="248" sId="1">
    <oc r="AJ90">
      <f>20000+13556.78+14548.44</f>
    </oc>
    <nc r="AJ90">
      <f>20000+13556.78+14548.44+16155.2</f>
    </nc>
  </rcc>
  <rcc rId="249" sId="1">
    <oc r="AK90">
      <f>5449.34+2345.17</f>
    </oc>
    <nc r="AK90">
      <f>5449.34+2345.17+2850.92</f>
    </nc>
  </rcc>
  <rcc rId="250" sId="1">
    <oc r="AJ126">
      <f>28481.34-3066.97+23120.26</f>
    </oc>
    <nc r="AJ126">
      <f>28481.34-3066.97+23120.26-3309.72</f>
    </nc>
  </rcc>
  <rcc rId="251" sId="1">
    <oc r="AK126">
      <v>3066.97</v>
    </oc>
    <nc r="AK126">
      <f>3066.97+3309.72</f>
    </nc>
  </rcc>
  <rcc rId="252" sId="1">
    <oc r="AJ92">
      <f>28223.2-2998.75+22606.01+22326.95-3666.19</f>
    </oc>
    <nc r="AJ92">
      <f>28223.2-2998.75+22606.01+22326.95-3666.19+27637.47</f>
    </nc>
  </rcc>
  <rcc rId="253" sId="1">
    <oc r="AJ119">
      <f>28130+781.9+43081.69+28130</f>
    </oc>
    <nc r="AJ119">
      <f>28130+781.9+43081.69+28130</f>
    </nc>
  </rcc>
  <rcc rId="254" sId="1">
    <oc r="AJ257">
      <f>367086.52+3723.41+1413.34+18873.79</f>
    </oc>
    <nc r="AJ257">
      <f>367086.52+3723.41+1413.34+18873.79+125767.27</f>
    </nc>
  </rcc>
  <rcc rId="255" sId="1">
    <oc r="AJ259">
      <f>18028067.88+2522724.79+2940219.11+5150825.51+1054081.31+2107332.6</f>
    </oc>
    <nc r="AJ259">
      <f>18028067.88+2522724.79+2940219.11+5150825.51+1054081.31+2107332.6+2141049.72</f>
    </nc>
  </rcc>
  <rcc rId="256" sId="1">
    <oc r="AJ316">
      <f>43102.2+366371.99+199.89</f>
    </oc>
    <nc r="AJ316">
      <f>43102.2+366371.99+199.89+120510.92</f>
    </nc>
  </rcc>
  <rcc rId="257" sId="1">
    <oc r="AJ350">
      <f>162179.72+66847.3+174727.59+128489.76</f>
    </oc>
    <nc r="AJ350">
      <f>162179.72+66847.3+174727.59+128489.76+146998.55</f>
    </nc>
  </rcc>
  <rcc rId="258" sId="1">
    <oc r="AJ409">
      <f>SUM(AJ401:AJ408)</f>
    </oc>
    <nc r="AJ409">
      <f>SUM(AJ401:AJ408)</f>
    </nc>
  </rcc>
  <rcc rId="259" sId="1">
    <oc r="AJ260">
      <f>340951.1+52774.1+61862.32+16616.16+1069.94+8813.14</f>
    </oc>
    <nc r="AJ260">
      <f>340951.1+52774.1+61862.22+16616.16+1069.94+8813.14+48351.34</f>
    </nc>
  </rcc>
  <rcc rId="260" sId="1">
    <oc r="AJ369">
      <f>99790.4-11343.79+72694.84+14258.38+9077.47+175834.61</f>
    </oc>
    <nc r="AJ369">
      <f>99790.4-11343.79+72694.84+14258.38+9077.47+175834.51</f>
    </nc>
  </rcc>
  <rfmt sheetId="1" sqref="AJ260">
    <dxf>
      <fill>
        <patternFill patternType="solid">
          <bgColor rgb="FF92D050"/>
        </patternFill>
      </fill>
    </dxf>
  </rfmt>
  <rfmt sheetId="1" sqref="AK260">
    <dxf>
      <fill>
        <patternFill patternType="solid">
          <bgColor rgb="FF92D050"/>
        </patternFill>
      </fill>
    </dxf>
  </rfmt>
  <rfmt sheetId="1" sqref="AJ264:AK264">
    <dxf>
      <fill>
        <patternFill patternType="solid">
          <bgColor rgb="FF92D050"/>
        </patternFill>
      </fill>
    </dxf>
  </rfmt>
  <rfmt sheetId="1" sqref="AJ265:AK265">
    <dxf>
      <fill>
        <patternFill patternType="solid">
          <bgColor rgb="FF92D050"/>
        </patternFill>
      </fill>
    </dxf>
  </rfmt>
  <rfmt sheetId="1" sqref="AJ266:AK266">
    <dxf>
      <fill>
        <patternFill patternType="solid">
          <bgColor rgb="FF92D050"/>
        </patternFill>
      </fill>
    </dxf>
  </rfmt>
  <rfmt sheetId="1" sqref="AJ267:AK267">
    <dxf>
      <fill>
        <patternFill patternType="solid">
          <bgColor rgb="FF92D050"/>
        </patternFill>
      </fill>
    </dxf>
  </rfmt>
  <rfmt sheetId="1" sqref="AJ268:AK268">
    <dxf>
      <fill>
        <patternFill patternType="solid">
          <bgColor rgb="FF92D050"/>
        </patternFill>
      </fill>
    </dxf>
  </rfmt>
  <rfmt sheetId="1" sqref="AJ269:AK269">
    <dxf>
      <fill>
        <patternFill patternType="solid">
          <bgColor rgb="FF92D050"/>
        </patternFill>
      </fill>
    </dxf>
  </rfmt>
  <rfmt sheetId="1" sqref="AJ270:AK270">
    <dxf>
      <fill>
        <patternFill patternType="solid">
          <bgColor rgb="FF92D050"/>
        </patternFill>
      </fill>
    </dxf>
  </rfmt>
  <rfmt sheetId="1" sqref="AJ271:AK271">
    <dxf>
      <fill>
        <patternFill patternType="solid">
          <bgColor rgb="FF92D050"/>
        </patternFill>
      </fill>
    </dxf>
  </rfmt>
  <rfmt sheetId="1" sqref="AJ273:AK273">
    <dxf>
      <fill>
        <patternFill patternType="solid">
          <bgColor rgb="FF92D050"/>
        </patternFill>
      </fill>
    </dxf>
  </rfmt>
  <rcc rId="261" sId="1">
    <oc r="AJ274">
      <f>312590.47-8868.28+88856.3+55475.75+101165.84</f>
    </oc>
    <nc r="AJ274">
      <f>312590.47-8868.28+88856.3+55475.75+73233.76</f>
    </nc>
  </rcc>
  <rfmt sheetId="1" sqref="AJ274:AK274">
    <dxf>
      <fill>
        <patternFill patternType="solid">
          <bgColor rgb="FF92D050"/>
        </patternFill>
      </fill>
    </dxf>
  </rfmt>
  <rfmt sheetId="1" sqref="AJ275:AK275">
    <dxf>
      <fill>
        <patternFill patternType="solid">
          <bgColor rgb="FF92D050"/>
        </patternFill>
      </fill>
    </dxf>
  </rfmt>
  <rfmt sheetId="1" sqref="AJ276:AK276">
    <dxf>
      <fill>
        <patternFill patternType="solid">
          <bgColor rgb="FF92D050"/>
        </patternFill>
      </fill>
    </dxf>
  </rfmt>
  <rfmt sheetId="1" sqref="AJ277:AK277">
    <dxf>
      <fill>
        <patternFill patternType="solid">
          <bgColor rgb="FF92D050"/>
        </patternFill>
      </fill>
    </dxf>
  </rfmt>
  <rfmt sheetId="1" sqref="AJ278:AK278">
    <dxf>
      <fill>
        <patternFill patternType="solid">
          <bgColor rgb="FF92D050"/>
        </patternFill>
      </fill>
    </dxf>
  </rfmt>
  <rfmt sheetId="1" sqref="AJ279:AK279">
    <dxf>
      <fill>
        <patternFill patternType="solid">
          <bgColor rgb="FF92D050"/>
        </patternFill>
      </fill>
    </dxf>
  </rfmt>
  <rfmt sheetId="1" sqref="AJ280:AK280">
    <dxf>
      <fill>
        <patternFill patternType="solid">
          <bgColor rgb="FF92D050"/>
        </patternFill>
      </fill>
    </dxf>
  </rfmt>
  <rfmt sheetId="1" sqref="AJ281:AK281">
    <dxf>
      <fill>
        <patternFill patternType="solid">
          <bgColor rgb="FF92D050"/>
        </patternFill>
      </fill>
    </dxf>
  </rfmt>
  <rfmt sheetId="1" sqref="AJ282:AK282">
    <dxf>
      <fill>
        <patternFill patternType="solid">
          <bgColor rgb="FF92D050"/>
        </patternFill>
      </fill>
    </dxf>
  </rfmt>
  <rfmt sheetId="1" sqref="AJ286:AK286">
    <dxf>
      <fill>
        <patternFill patternType="solid">
          <bgColor rgb="FF92D050"/>
        </patternFill>
      </fill>
    </dxf>
  </rfmt>
  <rfmt sheetId="1" sqref="AJ287:AK287">
    <dxf>
      <fill>
        <patternFill patternType="solid">
          <bgColor rgb="FF92D050"/>
        </patternFill>
      </fill>
    </dxf>
  </rfmt>
  <rfmt sheetId="1" sqref="AJ289:AK289">
    <dxf>
      <fill>
        <patternFill patternType="solid">
          <bgColor rgb="FF92D050"/>
        </patternFill>
      </fill>
    </dxf>
  </rfmt>
  <rfmt sheetId="1" sqref="AJ291:AK291">
    <dxf>
      <fill>
        <patternFill patternType="solid">
          <bgColor rgb="FF92D050"/>
        </patternFill>
      </fill>
    </dxf>
  </rfmt>
  <rfmt sheetId="1" sqref="AJ292:AK292">
    <dxf>
      <fill>
        <patternFill patternType="solid">
          <bgColor rgb="FF92D050"/>
        </patternFill>
      </fill>
    </dxf>
  </rfmt>
  <rfmt sheetId="1" sqref="AJ293:AK293">
    <dxf>
      <fill>
        <patternFill patternType="solid">
          <bgColor rgb="FF92D050"/>
        </patternFill>
      </fill>
    </dxf>
  </rfmt>
  <rfmt sheetId="1" sqref="AJ294:AK294">
    <dxf>
      <fill>
        <patternFill patternType="solid">
          <bgColor rgb="FF92D050"/>
        </patternFill>
      </fill>
    </dxf>
  </rfmt>
  <rfmt sheetId="1" sqref="AJ295:AK295">
    <dxf>
      <fill>
        <patternFill patternType="solid">
          <bgColor rgb="FF92D050"/>
        </patternFill>
      </fill>
    </dxf>
  </rfmt>
  <rfmt sheetId="1" sqref="AJ298:AK298">
    <dxf>
      <fill>
        <patternFill patternType="solid">
          <bgColor rgb="FF92D050"/>
        </patternFill>
      </fill>
    </dxf>
  </rfmt>
  <rfmt sheetId="1" sqref="AJ299:AK299">
    <dxf>
      <fill>
        <patternFill patternType="solid">
          <bgColor rgb="FF92D050"/>
        </patternFill>
      </fill>
    </dxf>
  </rfmt>
  <rfmt sheetId="1" sqref="AJ302:AK302">
    <dxf>
      <fill>
        <patternFill patternType="solid">
          <bgColor rgb="FF92D050"/>
        </patternFill>
      </fill>
    </dxf>
  </rfmt>
  <rfmt sheetId="1" sqref="AJ303:AK303">
    <dxf>
      <fill>
        <patternFill patternType="solid">
          <bgColor rgb="FF92D050"/>
        </patternFill>
      </fill>
    </dxf>
  </rfmt>
  <rcc rId="262" sId="1">
    <oc r="AJ304">
      <f>151069.39+15306.08+96848.21+24994.02+61062.19+191670.85</f>
    </oc>
    <nc r="AJ304">
      <f>151069.39+15306.08+96848.21+24994.02+61062.29+191670.85</f>
    </nc>
  </rcc>
  <rfmt sheetId="1" sqref="AJ304:AK304">
    <dxf>
      <fill>
        <patternFill patternType="solid">
          <bgColor rgb="FF92D050"/>
        </patternFill>
      </fill>
    </dxf>
  </rfmt>
  <rfmt sheetId="1" sqref="AJ305:AK305">
    <dxf>
      <fill>
        <patternFill patternType="solid">
          <bgColor rgb="FF92D050"/>
        </patternFill>
      </fill>
    </dxf>
  </rfmt>
  <rfmt sheetId="1" sqref="AJ306:AK306">
    <dxf>
      <fill>
        <patternFill patternType="solid">
          <bgColor rgb="FF92D050"/>
        </patternFill>
      </fill>
    </dxf>
  </rfmt>
  <rfmt sheetId="1" sqref="AJ307:AK307">
    <dxf>
      <fill>
        <patternFill patternType="solid">
          <bgColor rgb="FF92D050"/>
        </patternFill>
      </fill>
    </dxf>
  </rfmt>
  <rfmt sheetId="1" sqref="AJ308:AK308">
    <dxf>
      <fill>
        <patternFill patternType="solid">
          <bgColor rgb="FF92D050"/>
        </patternFill>
      </fill>
    </dxf>
  </rfmt>
  <rfmt sheetId="1" sqref="AJ309:AK309">
    <dxf>
      <fill>
        <patternFill patternType="solid">
          <bgColor rgb="FF92D050"/>
        </patternFill>
      </fill>
    </dxf>
  </rfmt>
  <rfmt sheetId="1" sqref="AJ310:AK310">
    <dxf>
      <fill>
        <patternFill patternType="solid">
          <bgColor rgb="FF92D050"/>
        </patternFill>
      </fill>
    </dxf>
  </rfmt>
  <rfmt sheetId="1" sqref="AJ311:AK311">
    <dxf>
      <fill>
        <patternFill patternType="solid">
          <bgColor rgb="FF92D050"/>
        </patternFill>
      </fill>
    </dxf>
  </rfmt>
  <rfmt sheetId="1" sqref="AJ312:AK312">
    <dxf>
      <fill>
        <patternFill patternType="solid">
          <bgColor rgb="FF92D050"/>
        </patternFill>
      </fill>
    </dxf>
  </rfmt>
  <rfmt sheetId="1" sqref="AJ313:AK313">
    <dxf>
      <fill>
        <patternFill patternType="solid">
          <bgColor rgb="FF92D050"/>
        </patternFill>
      </fill>
    </dxf>
  </rfmt>
  <rfmt sheetId="1" sqref="AJ315:AK315">
    <dxf>
      <fill>
        <patternFill patternType="solid">
          <bgColor rgb="FF92D050"/>
        </patternFill>
      </fill>
    </dxf>
  </rfmt>
  <rfmt sheetId="1" sqref="AJ318:AK318">
    <dxf>
      <fill>
        <patternFill patternType="solid">
          <bgColor rgb="FF92D050"/>
        </patternFill>
      </fill>
    </dxf>
  </rfmt>
  <rfmt sheetId="1" sqref="AJ319:AK319">
    <dxf>
      <fill>
        <patternFill patternType="solid">
          <bgColor rgb="FF92D050"/>
        </patternFill>
      </fill>
    </dxf>
  </rfmt>
  <rfmt sheetId="1" sqref="AJ321:AK321">
    <dxf>
      <fill>
        <patternFill patternType="solid">
          <bgColor rgb="FF92D050"/>
        </patternFill>
      </fill>
    </dxf>
  </rfmt>
  <rfmt sheetId="1" sqref="AJ322:AK322">
    <dxf>
      <fill>
        <patternFill patternType="solid">
          <bgColor rgb="FF92D050"/>
        </patternFill>
      </fill>
    </dxf>
  </rfmt>
  <rfmt sheetId="1" sqref="AJ323:AK323">
    <dxf>
      <fill>
        <patternFill patternType="solid">
          <bgColor rgb="FF92D050"/>
        </patternFill>
      </fill>
    </dxf>
  </rfmt>
  <rfmt sheetId="1" sqref="AJ324:AK324">
    <dxf>
      <fill>
        <patternFill patternType="solid">
          <bgColor rgb="FF92D050"/>
        </patternFill>
      </fill>
    </dxf>
  </rfmt>
  <rfmt sheetId="1" sqref="AJ326:AK326">
    <dxf>
      <fill>
        <patternFill patternType="solid">
          <bgColor rgb="FF92D050"/>
        </patternFill>
      </fill>
    </dxf>
  </rfmt>
  <rfmt sheetId="1" sqref="AJ327:AK327">
    <dxf>
      <fill>
        <patternFill patternType="solid">
          <bgColor rgb="FF92D050"/>
        </patternFill>
      </fill>
    </dxf>
  </rfmt>
  <rfmt sheetId="1" sqref="AJ329:AK329">
    <dxf>
      <fill>
        <patternFill patternType="solid">
          <bgColor rgb="FF92D050"/>
        </patternFill>
      </fill>
    </dxf>
  </rfmt>
  <rfmt sheetId="1" sqref="AJ330:AK330">
    <dxf>
      <fill>
        <patternFill patternType="solid">
          <bgColor rgb="FF92D050"/>
        </patternFill>
      </fill>
    </dxf>
  </rfmt>
  <rfmt sheetId="1" sqref="AK331">
    <dxf>
      <fill>
        <patternFill patternType="solid">
          <bgColor rgb="FF92D050"/>
        </patternFill>
      </fill>
    </dxf>
  </rfmt>
  <rfmt sheetId="1" sqref="AJ331">
    <dxf>
      <fill>
        <patternFill patternType="solid">
          <bgColor rgb="FF92D050"/>
        </patternFill>
      </fill>
    </dxf>
  </rfmt>
  <rfmt sheetId="1" sqref="AJ332:AK332">
    <dxf>
      <fill>
        <patternFill patternType="solid">
          <bgColor rgb="FF92D050"/>
        </patternFill>
      </fill>
    </dxf>
  </rfmt>
  <rfmt sheetId="1" sqref="AJ333:AK333">
    <dxf>
      <fill>
        <patternFill patternType="solid">
          <bgColor rgb="FF92D050"/>
        </patternFill>
      </fill>
    </dxf>
  </rfmt>
  <rfmt sheetId="1" sqref="AJ334:AK334">
    <dxf>
      <fill>
        <patternFill patternType="solid">
          <bgColor rgb="FF92D050"/>
        </patternFill>
      </fill>
    </dxf>
  </rfmt>
  <rfmt sheetId="1" sqref="AJ335:AK335">
    <dxf>
      <fill>
        <patternFill patternType="solid">
          <bgColor rgb="FF92D050"/>
        </patternFill>
      </fill>
    </dxf>
  </rfmt>
  <rfmt sheetId="1" sqref="AJ336:AK336">
    <dxf>
      <fill>
        <patternFill patternType="solid">
          <bgColor rgb="FF92D050"/>
        </patternFill>
      </fill>
    </dxf>
  </rfmt>
  <rfmt sheetId="1" sqref="AJ337:AK337">
    <dxf>
      <fill>
        <patternFill patternType="solid">
          <bgColor rgb="FF92D050"/>
        </patternFill>
      </fill>
    </dxf>
  </rfmt>
  <rfmt sheetId="1" sqref="AJ338:AK338">
    <dxf>
      <fill>
        <patternFill patternType="solid">
          <bgColor rgb="FF92D050"/>
        </patternFill>
      </fill>
    </dxf>
  </rfmt>
</revisions>
</file>

<file path=xl/revisions/userNames1.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356"/>
  <sheetViews>
    <sheetView tabSelected="1" zoomScale="70" zoomScaleNormal="70" workbookViewId="0">
      <selection sqref="A1:A3"/>
    </sheetView>
  </sheetViews>
  <sheetFormatPr defaultColWidth="9.140625" defaultRowHeight="15" x14ac:dyDescent="0.25"/>
  <cols>
    <col min="1" max="1" width="11.7109375" style="4" customWidth="1"/>
    <col min="2" max="2" width="13.140625" style="4" bestFit="1" customWidth="1"/>
    <col min="3" max="3" width="11.28515625" style="143" bestFit="1" customWidth="1"/>
    <col min="4" max="4" width="11.42578125" style="4" customWidth="1"/>
    <col min="5" max="5" width="14.28515625" style="4" customWidth="1"/>
    <col min="6" max="6" width="18.5703125" style="4" customWidth="1"/>
    <col min="7" max="7" width="46.140625" style="144" customWidth="1"/>
    <col min="8" max="8" width="26" style="144" customWidth="1"/>
    <col min="9" max="9" width="23.85546875" style="145" customWidth="1"/>
    <col min="10" max="10" width="137.42578125" style="4" customWidth="1"/>
    <col min="11" max="11" width="20.5703125" style="145" customWidth="1"/>
    <col min="12" max="12" width="20" style="145" customWidth="1"/>
    <col min="13" max="13" width="24.28515625" style="145" customWidth="1"/>
    <col min="14" max="14" width="24.42578125" style="145" customWidth="1"/>
    <col min="15" max="15" width="31.85546875" style="145" customWidth="1"/>
    <col min="16" max="16" width="15.42578125" style="145" customWidth="1"/>
    <col min="17" max="17" width="17" style="145" customWidth="1"/>
    <col min="18" max="18" width="29.140625" style="145" customWidth="1"/>
    <col min="19" max="21" width="21.85546875" style="4" customWidth="1"/>
    <col min="22" max="22" width="15.5703125" style="4" customWidth="1"/>
    <col min="23" max="23" width="24" style="4" customWidth="1"/>
    <col min="24" max="24" width="15" style="4" customWidth="1"/>
    <col min="25" max="26" width="19.42578125" style="4" customWidth="1"/>
    <col min="27" max="27" width="19.85546875" style="4" customWidth="1"/>
    <col min="28" max="28" width="19.5703125" style="4" customWidth="1"/>
    <col min="29" max="29" width="20" style="4" customWidth="1"/>
    <col min="30" max="30" width="13.42578125" style="4" customWidth="1"/>
    <col min="31" max="31" width="29" style="4" customWidth="1"/>
    <col min="32" max="32" width="16" style="4" customWidth="1"/>
    <col min="33" max="33" width="21.85546875" style="4" customWidth="1"/>
    <col min="34" max="34" width="27.7109375" style="4" bestFit="1" customWidth="1"/>
    <col min="35" max="35" width="25" style="87" customWidth="1"/>
    <col min="36" max="36" width="18.28515625" style="4" bestFit="1" customWidth="1"/>
    <col min="37" max="37" width="22.42578125" style="4" bestFit="1" customWidth="1"/>
    <col min="38" max="16384" width="9.140625" style="4"/>
  </cols>
  <sheetData>
    <row r="1" spans="1:37" ht="76.150000000000006" customHeight="1" x14ac:dyDescent="0.25">
      <c r="A1" s="147" t="s">
        <v>0</v>
      </c>
      <c r="B1" s="148" t="s">
        <v>464</v>
      </c>
      <c r="C1" s="148" t="s">
        <v>159</v>
      </c>
      <c r="D1" s="147" t="s">
        <v>160</v>
      </c>
      <c r="E1" s="147" t="s">
        <v>9</v>
      </c>
      <c r="F1" s="147" t="s">
        <v>164</v>
      </c>
      <c r="G1" s="149" t="s">
        <v>1</v>
      </c>
      <c r="H1" s="150" t="s">
        <v>15</v>
      </c>
      <c r="I1" s="147" t="s">
        <v>191</v>
      </c>
      <c r="J1" s="147" t="s">
        <v>17</v>
      </c>
      <c r="K1" s="147" t="s">
        <v>16</v>
      </c>
      <c r="L1" s="147" t="s">
        <v>18</v>
      </c>
      <c r="M1" s="147" t="s">
        <v>19</v>
      </c>
      <c r="N1" s="147" t="s">
        <v>2</v>
      </c>
      <c r="O1" s="147" t="s">
        <v>20</v>
      </c>
      <c r="P1" s="147" t="s">
        <v>3</v>
      </c>
      <c r="Q1" s="147" t="s">
        <v>4</v>
      </c>
      <c r="R1" s="147" t="s">
        <v>21</v>
      </c>
      <c r="S1" s="151" t="s">
        <v>10</v>
      </c>
      <c r="T1" s="151"/>
      <c r="U1" s="151"/>
      <c r="V1" s="151"/>
      <c r="W1" s="151"/>
      <c r="X1" s="151"/>
      <c r="Y1" s="151"/>
      <c r="Z1" s="152"/>
      <c r="AA1" s="152"/>
      <c r="AB1" s="152"/>
      <c r="AC1" s="153"/>
      <c r="AD1" s="153"/>
      <c r="AE1" s="154" t="s">
        <v>158</v>
      </c>
      <c r="AF1" s="155"/>
      <c r="AG1" s="154" t="s">
        <v>5</v>
      </c>
      <c r="AH1" s="156" t="s">
        <v>14</v>
      </c>
      <c r="AI1" s="156" t="s">
        <v>6</v>
      </c>
      <c r="AJ1" s="154" t="s">
        <v>23</v>
      </c>
      <c r="AK1" s="154"/>
    </row>
    <row r="2" spans="1:37" ht="15.75" customHeight="1" x14ac:dyDescent="0.25">
      <c r="A2" s="147"/>
      <c r="B2" s="148"/>
      <c r="C2" s="148"/>
      <c r="D2" s="147"/>
      <c r="E2" s="147"/>
      <c r="F2" s="147"/>
      <c r="G2" s="149"/>
      <c r="H2" s="150"/>
      <c r="I2" s="147"/>
      <c r="J2" s="147"/>
      <c r="K2" s="147"/>
      <c r="L2" s="147"/>
      <c r="M2" s="147"/>
      <c r="N2" s="147"/>
      <c r="O2" s="147"/>
      <c r="P2" s="147"/>
      <c r="Q2" s="147"/>
      <c r="R2" s="147"/>
      <c r="S2" s="151" t="s">
        <v>11</v>
      </c>
      <c r="T2" s="151"/>
      <c r="U2" s="151"/>
      <c r="V2" s="151"/>
      <c r="W2" s="152"/>
      <c r="X2" s="152"/>
      <c r="Y2" s="154" t="s">
        <v>13</v>
      </c>
      <c r="Z2" s="155"/>
      <c r="AA2" s="155"/>
      <c r="AB2" s="154" t="s">
        <v>22</v>
      </c>
      <c r="AC2" s="155"/>
      <c r="AD2" s="155"/>
      <c r="AE2" s="154"/>
      <c r="AF2" s="154" t="s">
        <v>7</v>
      </c>
      <c r="AG2" s="154"/>
      <c r="AH2" s="156"/>
      <c r="AI2" s="156"/>
      <c r="AJ2" s="154" t="s">
        <v>8</v>
      </c>
      <c r="AK2" s="154" t="s">
        <v>24</v>
      </c>
    </row>
    <row r="3" spans="1:37" ht="36.75" customHeight="1" x14ac:dyDescent="0.25">
      <c r="A3" s="147"/>
      <c r="B3" s="148"/>
      <c r="C3" s="148"/>
      <c r="D3" s="147"/>
      <c r="E3" s="147"/>
      <c r="F3" s="147"/>
      <c r="G3" s="149"/>
      <c r="H3" s="150"/>
      <c r="I3" s="147"/>
      <c r="J3" s="147"/>
      <c r="K3" s="147"/>
      <c r="L3" s="147"/>
      <c r="M3" s="147"/>
      <c r="N3" s="147"/>
      <c r="O3" s="147"/>
      <c r="P3" s="147"/>
      <c r="Q3" s="147"/>
      <c r="R3" s="147"/>
      <c r="S3" s="155" t="s">
        <v>8</v>
      </c>
      <c r="T3" s="155" t="s">
        <v>184</v>
      </c>
      <c r="U3" s="155" t="s">
        <v>183</v>
      </c>
      <c r="V3" s="155" t="s">
        <v>12</v>
      </c>
      <c r="W3" s="155" t="s">
        <v>184</v>
      </c>
      <c r="X3" s="155" t="s">
        <v>183</v>
      </c>
      <c r="Y3" s="154"/>
      <c r="Z3" s="155" t="s">
        <v>184</v>
      </c>
      <c r="AA3" s="155" t="s">
        <v>183</v>
      </c>
      <c r="AB3" s="154"/>
      <c r="AC3" s="155" t="s">
        <v>184</v>
      </c>
      <c r="AD3" s="155" t="s">
        <v>183</v>
      </c>
      <c r="AE3" s="154"/>
      <c r="AF3" s="154"/>
      <c r="AG3" s="154"/>
      <c r="AH3" s="156"/>
      <c r="AI3" s="156"/>
      <c r="AJ3" s="154"/>
      <c r="AK3" s="154"/>
    </row>
    <row r="4" spans="1:37" ht="89.25" customHeight="1" x14ac:dyDescent="0.25">
      <c r="A4" s="157" t="s">
        <v>228</v>
      </c>
      <c r="B4" s="157" t="s">
        <v>465</v>
      </c>
      <c r="C4" s="157" t="s">
        <v>232</v>
      </c>
      <c r="D4" s="157" t="s">
        <v>160</v>
      </c>
      <c r="E4" s="157" t="s">
        <v>229</v>
      </c>
      <c r="F4" s="157" t="s">
        <v>230</v>
      </c>
      <c r="G4" s="157" t="s">
        <v>231</v>
      </c>
      <c r="H4" s="157" t="s">
        <v>233</v>
      </c>
      <c r="I4" s="157" t="s">
        <v>234</v>
      </c>
      <c r="J4" s="157" t="s">
        <v>235</v>
      </c>
      <c r="K4" s="1" t="s">
        <v>236</v>
      </c>
      <c r="L4" s="157" t="s">
        <v>237</v>
      </c>
      <c r="M4" s="157" t="s">
        <v>241</v>
      </c>
      <c r="N4" s="157" t="s">
        <v>238</v>
      </c>
      <c r="O4" s="157" t="s">
        <v>239</v>
      </c>
      <c r="P4" s="157" t="s">
        <v>240</v>
      </c>
      <c r="Q4" s="157" t="s">
        <v>242</v>
      </c>
      <c r="R4" s="157" t="s">
        <v>243</v>
      </c>
      <c r="S4" s="158" t="s">
        <v>244</v>
      </c>
      <c r="T4" s="158"/>
      <c r="U4" s="158"/>
      <c r="V4" s="158"/>
      <c r="W4" s="158"/>
      <c r="X4" s="158"/>
      <c r="Y4" s="158"/>
      <c r="Z4" s="159"/>
      <c r="AA4" s="159"/>
      <c r="AB4" s="159"/>
      <c r="AC4" s="160"/>
      <c r="AD4" s="160"/>
      <c r="AE4" s="3" t="s">
        <v>251</v>
      </c>
      <c r="AF4" s="3" t="s">
        <v>252</v>
      </c>
      <c r="AG4" s="3" t="s">
        <v>253</v>
      </c>
      <c r="AH4" s="161" t="s">
        <v>254</v>
      </c>
      <c r="AI4" s="162" t="s">
        <v>255</v>
      </c>
      <c r="AJ4" s="3" t="s">
        <v>245</v>
      </c>
      <c r="AK4" s="3" t="s">
        <v>256</v>
      </c>
    </row>
    <row r="5" spans="1:37" ht="56.25" customHeight="1" x14ac:dyDescent="0.25">
      <c r="A5" s="157"/>
      <c r="B5" s="157"/>
      <c r="C5" s="157"/>
      <c r="D5" s="157"/>
      <c r="E5" s="157"/>
      <c r="F5" s="157"/>
      <c r="G5" s="157"/>
      <c r="H5" s="157"/>
      <c r="I5" s="157"/>
      <c r="J5" s="157"/>
      <c r="K5" s="1"/>
      <c r="L5" s="157"/>
      <c r="M5" s="157"/>
      <c r="N5" s="157"/>
      <c r="O5" s="157"/>
      <c r="P5" s="157"/>
      <c r="Q5" s="157"/>
      <c r="R5" s="157"/>
      <c r="S5" s="2" t="s">
        <v>245</v>
      </c>
      <c r="T5" s="2" t="s">
        <v>247</v>
      </c>
      <c r="U5" s="2" t="s">
        <v>246</v>
      </c>
      <c r="V5" s="2" t="s">
        <v>248</v>
      </c>
      <c r="W5" s="2" t="s">
        <v>247</v>
      </c>
      <c r="X5" s="2" t="s">
        <v>246</v>
      </c>
      <c r="Y5" s="2" t="s">
        <v>249</v>
      </c>
      <c r="Z5" s="2" t="s">
        <v>247</v>
      </c>
      <c r="AA5" s="2" t="s">
        <v>246</v>
      </c>
      <c r="AB5" s="2" t="s">
        <v>250</v>
      </c>
      <c r="AC5" s="2" t="s">
        <v>247</v>
      </c>
      <c r="AD5" s="2" t="s">
        <v>246</v>
      </c>
      <c r="AE5" s="3"/>
      <c r="AF5" s="3"/>
      <c r="AG5" s="3"/>
      <c r="AH5" s="161"/>
      <c r="AI5" s="162"/>
      <c r="AJ5" s="3"/>
      <c r="AK5" s="3"/>
    </row>
    <row r="6" spans="1:37" s="165" customFormat="1" ht="40.5" customHeight="1" x14ac:dyDescent="0.25">
      <c r="A6" s="5">
        <v>0</v>
      </c>
      <c r="B6" s="6"/>
      <c r="C6" s="11">
        <v>1</v>
      </c>
      <c r="D6" s="7" t="s">
        <v>179</v>
      </c>
      <c r="E6" s="7">
        <v>2</v>
      </c>
      <c r="F6" s="7">
        <v>3</v>
      </c>
      <c r="G6" s="7">
        <v>4</v>
      </c>
      <c r="H6" s="7">
        <v>5</v>
      </c>
      <c r="I6" s="7">
        <v>6</v>
      </c>
      <c r="J6" s="7">
        <v>7</v>
      </c>
      <c r="K6" s="7">
        <v>8</v>
      </c>
      <c r="L6" s="7">
        <v>9</v>
      </c>
      <c r="M6" s="7">
        <v>10</v>
      </c>
      <c r="N6" s="7">
        <v>11</v>
      </c>
      <c r="O6" s="7">
        <v>12</v>
      </c>
      <c r="P6" s="7">
        <v>13</v>
      </c>
      <c r="Q6" s="7">
        <v>14</v>
      </c>
      <c r="R6" s="7">
        <v>15</v>
      </c>
      <c r="S6" s="52">
        <v>16</v>
      </c>
      <c r="T6" s="52"/>
      <c r="U6" s="52"/>
      <c r="V6" s="52">
        <v>17</v>
      </c>
      <c r="W6" s="52"/>
      <c r="X6" s="52"/>
      <c r="Y6" s="52">
        <v>18</v>
      </c>
      <c r="Z6" s="163"/>
      <c r="AA6" s="163"/>
      <c r="AB6" s="52">
        <v>19</v>
      </c>
      <c r="AC6" s="52"/>
      <c r="AD6" s="52"/>
      <c r="AE6" s="163" t="s">
        <v>180</v>
      </c>
      <c r="AF6" s="164">
        <v>20</v>
      </c>
      <c r="AG6" s="164">
        <v>21</v>
      </c>
      <c r="AH6" s="164">
        <v>22</v>
      </c>
      <c r="AI6" s="164">
        <v>23</v>
      </c>
      <c r="AJ6" s="164">
        <v>24</v>
      </c>
      <c r="AK6" s="164">
        <v>25</v>
      </c>
    </row>
    <row r="7" spans="1:37" s="165" customFormat="1" ht="310.5" customHeight="1" x14ac:dyDescent="0.25">
      <c r="A7" s="7">
        <v>1</v>
      </c>
      <c r="B7" s="7">
        <v>110755</v>
      </c>
      <c r="C7" s="11">
        <v>121</v>
      </c>
      <c r="D7" s="7" t="s">
        <v>172</v>
      </c>
      <c r="E7" s="8" t="s">
        <v>998</v>
      </c>
      <c r="F7" s="9" t="s">
        <v>361</v>
      </c>
      <c r="G7" s="10" t="s">
        <v>285</v>
      </c>
      <c r="H7" s="10" t="s">
        <v>286</v>
      </c>
      <c r="I7" s="11" t="s">
        <v>185</v>
      </c>
      <c r="J7" s="12" t="s">
        <v>545</v>
      </c>
      <c r="K7" s="13">
        <v>43145</v>
      </c>
      <c r="L7" s="13">
        <v>43630</v>
      </c>
      <c r="M7" s="14">
        <f t="shared" ref="M7:M13" si="0">S7/AE7*100</f>
        <v>84.999999517641427</v>
      </c>
      <c r="N7" s="7">
        <v>7</v>
      </c>
      <c r="O7" s="7" t="s">
        <v>295</v>
      </c>
      <c r="P7" s="7" t="s">
        <v>289</v>
      </c>
      <c r="Q7" s="15" t="s">
        <v>213</v>
      </c>
      <c r="R7" s="11" t="s">
        <v>36</v>
      </c>
      <c r="S7" s="16">
        <f t="shared" ref="S7:S9" si="1">T7+U7</f>
        <v>352434.92</v>
      </c>
      <c r="T7" s="17">
        <v>352434.92</v>
      </c>
      <c r="U7" s="16">
        <v>0</v>
      </c>
      <c r="V7" s="18">
        <f t="shared" ref="V7:V14" si="2">W7+X7</f>
        <v>53844.59</v>
      </c>
      <c r="W7" s="17">
        <v>53844.59</v>
      </c>
      <c r="X7" s="18">
        <v>0</v>
      </c>
      <c r="Y7" s="18">
        <f t="shared" ref="Y7" si="3">Z7+AA7</f>
        <v>8349.81</v>
      </c>
      <c r="Z7" s="17">
        <v>8349.81</v>
      </c>
      <c r="AA7" s="18">
        <v>0</v>
      </c>
      <c r="AB7" s="19">
        <f>AC7+AD7</f>
        <v>0</v>
      </c>
      <c r="AC7" s="19"/>
      <c r="AD7" s="19"/>
      <c r="AE7" s="19">
        <f>S7+V7+Y7+AB7</f>
        <v>414629.32</v>
      </c>
      <c r="AF7" s="19">
        <v>0</v>
      </c>
      <c r="AG7" s="19">
        <f t="shared" ref="AG7:AG13" si="4">AE7+AF7</f>
        <v>414629.32</v>
      </c>
      <c r="AH7" s="20" t="s">
        <v>615</v>
      </c>
      <c r="AI7" s="21" t="s">
        <v>185</v>
      </c>
      <c r="AJ7" s="22">
        <f>18251.2+30807.23+59702.3</f>
        <v>108760.73000000001</v>
      </c>
      <c r="AK7" s="23">
        <f>2788.4+4706.69+9121.25</f>
        <v>16616.34</v>
      </c>
    </row>
    <row r="8" spans="1:37" s="165" customFormat="1" ht="123" customHeight="1" x14ac:dyDescent="0.25">
      <c r="A8" s="7">
        <v>2</v>
      </c>
      <c r="B8" s="7">
        <v>109854</v>
      </c>
      <c r="C8" s="11">
        <v>116</v>
      </c>
      <c r="D8" s="7" t="s">
        <v>173</v>
      </c>
      <c r="E8" s="8" t="s">
        <v>998</v>
      </c>
      <c r="F8" s="9" t="s">
        <v>361</v>
      </c>
      <c r="G8" s="24" t="s">
        <v>387</v>
      </c>
      <c r="H8" s="10" t="s">
        <v>388</v>
      </c>
      <c r="I8" s="11" t="s">
        <v>388</v>
      </c>
      <c r="J8" s="25" t="s">
        <v>391</v>
      </c>
      <c r="K8" s="13">
        <v>43186</v>
      </c>
      <c r="L8" s="13">
        <v>43551</v>
      </c>
      <c r="M8" s="14">
        <f t="shared" si="0"/>
        <v>85.000000944809514</v>
      </c>
      <c r="N8" s="7">
        <v>7</v>
      </c>
      <c r="O8" s="7" t="s">
        <v>295</v>
      </c>
      <c r="P8" s="7" t="s">
        <v>389</v>
      </c>
      <c r="Q8" s="15" t="s">
        <v>213</v>
      </c>
      <c r="R8" s="7" t="s">
        <v>36</v>
      </c>
      <c r="S8" s="18">
        <f t="shared" si="1"/>
        <v>359860.9</v>
      </c>
      <c r="T8" s="16">
        <v>359860.9</v>
      </c>
      <c r="U8" s="16">
        <v>0</v>
      </c>
      <c r="V8" s="18">
        <f t="shared" si="2"/>
        <v>55037.54</v>
      </c>
      <c r="W8" s="16">
        <v>55037.54</v>
      </c>
      <c r="X8" s="16">
        <v>0</v>
      </c>
      <c r="Y8" s="18">
        <f>Z8+AA8</f>
        <v>8467.32</v>
      </c>
      <c r="Z8" s="16">
        <v>8467.32</v>
      </c>
      <c r="AA8" s="16">
        <v>0</v>
      </c>
      <c r="AB8" s="19">
        <f t="shared" ref="AB8:AB14" si="5">AC8+AD8</f>
        <v>0</v>
      </c>
      <c r="AC8" s="16"/>
      <c r="AD8" s="16"/>
      <c r="AE8" s="16">
        <f>S8+V8+Y8+AB8</f>
        <v>423365.76</v>
      </c>
      <c r="AF8" s="16">
        <v>0</v>
      </c>
      <c r="AG8" s="16">
        <f t="shared" si="4"/>
        <v>423365.76</v>
      </c>
      <c r="AH8" s="20" t="s">
        <v>1103</v>
      </c>
      <c r="AI8" s="21" t="s">
        <v>380</v>
      </c>
      <c r="AJ8" s="22">
        <f>21516.9+45941.89+93672.06</f>
        <v>161130.85</v>
      </c>
      <c r="AK8" s="23">
        <f>3290.82+7026.4+14326.31</f>
        <v>24643.53</v>
      </c>
    </row>
    <row r="9" spans="1:37" s="165" customFormat="1" ht="204.75" x14ac:dyDescent="0.25">
      <c r="A9" s="7">
        <v>3</v>
      </c>
      <c r="B9" s="7">
        <v>119560</v>
      </c>
      <c r="C9" s="11">
        <v>471</v>
      </c>
      <c r="D9" s="7" t="s">
        <v>177</v>
      </c>
      <c r="E9" s="11" t="s">
        <v>1071</v>
      </c>
      <c r="F9" s="9" t="s">
        <v>574</v>
      </c>
      <c r="G9" s="8" t="s">
        <v>637</v>
      </c>
      <c r="H9" s="11" t="s">
        <v>636</v>
      </c>
      <c r="I9" s="11" t="s">
        <v>368</v>
      </c>
      <c r="J9" s="8" t="s">
        <v>638</v>
      </c>
      <c r="K9" s="26">
        <v>43265</v>
      </c>
      <c r="L9" s="26">
        <v>43752</v>
      </c>
      <c r="M9" s="14">
        <f t="shared" si="0"/>
        <v>84.216178284166972</v>
      </c>
      <c r="N9" s="7">
        <v>7</v>
      </c>
      <c r="O9" s="7" t="s">
        <v>295</v>
      </c>
      <c r="P9" s="7" t="s">
        <v>639</v>
      </c>
      <c r="Q9" s="15" t="s">
        <v>213</v>
      </c>
      <c r="R9" s="7" t="s">
        <v>36</v>
      </c>
      <c r="S9" s="18">
        <f t="shared" si="1"/>
        <v>336316.07</v>
      </c>
      <c r="T9" s="16">
        <v>336316.07</v>
      </c>
      <c r="U9" s="16">
        <v>0</v>
      </c>
      <c r="V9" s="18">
        <f t="shared" si="2"/>
        <v>55045.45</v>
      </c>
      <c r="W9" s="16">
        <v>55045.45</v>
      </c>
      <c r="X9" s="16">
        <v>0</v>
      </c>
      <c r="Y9" s="18">
        <f t="shared" ref="Y9:Y16" si="6">Z9+AA9</f>
        <v>7987.01</v>
      </c>
      <c r="Z9" s="16">
        <v>7987.01</v>
      </c>
      <c r="AA9" s="16">
        <v>0</v>
      </c>
      <c r="AB9" s="19">
        <f t="shared" si="5"/>
        <v>0</v>
      </c>
      <c r="AC9" s="16">
        <v>0</v>
      </c>
      <c r="AD9" s="16">
        <v>0</v>
      </c>
      <c r="AE9" s="16">
        <f t="shared" ref="AE9:AE14" si="7">S9+V9+Y9</f>
        <v>399348.53</v>
      </c>
      <c r="AF9" s="16"/>
      <c r="AG9" s="16">
        <f t="shared" si="4"/>
        <v>399348.53</v>
      </c>
      <c r="AH9" s="20" t="s">
        <v>615</v>
      </c>
      <c r="AI9" s="21" t="s">
        <v>380</v>
      </c>
      <c r="AJ9" s="22">
        <f>49080.06+14949.98+41134.39-2384.82+15898.81</f>
        <v>118678.41999999998</v>
      </c>
      <c r="AK9" s="23">
        <f>3856+2638.23+7747.66+2384.82</f>
        <v>16626.71</v>
      </c>
    </row>
    <row r="10" spans="1:37" s="165" customFormat="1" ht="141.75" x14ac:dyDescent="0.25">
      <c r="A10" s="7">
        <v>4</v>
      </c>
      <c r="B10" s="7">
        <v>117934</v>
      </c>
      <c r="C10" s="11">
        <v>417</v>
      </c>
      <c r="D10" s="7" t="s">
        <v>873</v>
      </c>
      <c r="E10" s="8" t="s">
        <v>733</v>
      </c>
      <c r="F10" s="9" t="s">
        <v>640</v>
      </c>
      <c r="G10" s="8" t="s">
        <v>689</v>
      </c>
      <c r="H10" s="11" t="s">
        <v>636</v>
      </c>
      <c r="I10" s="7" t="s">
        <v>185</v>
      </c>
      <c r="J10" s="8" t="s">
        <v>690</v>
      </c>
      <c r="K10" s="26">
        <v>43275</v>
      </c>
      <c r="L10" s="26">
        <v>43765</v>
      </c>
      <c r="M10" s="14">
        <f t="shared" si="0"/>
        <v>84.999998780098935</v>
      </c>
      <c r="N10" s="7">
        <v>7</v>
      </c>
      <c r="O10" s="7" t="s">
        <v>295</v>
      </c>
      <c r="P10" s="7" t="s">
        <v>639</v>
      </c>
      <c r="Q10" s="15" t="s">
        <v>213</v>
      </c>
      <c r="R10" s="7" t="s">
        <v>36</v>
      </c>
      <c r="S10" s="18">
        <f>T10+U10</f>
        <v>243872.23</v>
      </c>
      <c r="T10" s="16">
        <v>243872.23</v>
      </c>
      <c r="U10" s="16">
        <v>0</v>
      </c>
      <c r="V10" s="18">
        <f t="shared" si="2"/>
        <v>37298.080000000002</v>
      </c>
      <c r="W10" s="16">
        <v>37298.080000000002</v>
      </c>
      <c r="X10" s="16">
        <v>0</v>
      </c>
      <c r="Y10" s="18">
        <f t="shared" si="6"/>
        <v>5738.2</v>
      </c>
      <c r="Z10" s="16">
        <v>5738.2</v>
      </c>
      <c r="AA10" s="16">
        <v>0</v>
      </c>
      <c r="AB10" s="19">
        <f t="shared" si="5"/>
        <v>0</v>
      </c>
      <c r="AC10" s="31">
        <v>0</v>
      </c>
      <c r="AD10" s="31">
        <v>0</v>
      </c>
      <c r="AE10" s="16">
        <f t="shared" si="7"/>
        <v>286908.51</v>
      </c>
      <c r="AF10" s="16">
        <v>0</v>
      </c>
      <c r="AG10" s="16">
        <f t="shared" si="4"/>
        <v>286908.51</v>
      </c>
      <c r="AH10" s="20" t="s">
        <v>615</v>
      </c>
      <c r="AI10" s="63"/>
      <c r="AJ10" s="16">
        <f>25442.69+26921.69+6885.52</f>
        <v>59249.899999999994</v>
      </c>
      <c r="AK10" s="16">
        <f>3248.16+4760.51+1053.08</f>
        <v>9061.75</v>
      </c>
    </row>
    <row r="11" spans="1:37" s="165" customFormat="1" ht="230.25" customHeight="1" x14ac:dyDescent="0.25">
      <c r="A11" s="7">
        <v>5</v>
      </c>
      <c r="B11" s="11">
        <v>118740</v>
      </c>
      <c r="C11" s="11">
        <v>436</v>
      </c>
      <c r="D11" s="11" t="s">
        <v>177</v>
      </c>
      <c r="E11" s="8" t="s">
        <v>733</v>
      </c>
      <c r="F11" s="9" t="s">
        <v>640</v>
      </c>
      <c r="G11" s="8" t="s">
        <v>936</v>
      </c>
      <c r="H11" s="11" t="s">
        <v>286</v>
      </c>
      <c r="I11" s="7" t="s">
        <v>185</v>
      </c>
      <c r="J11" s="8" t="s">
        <v>937</v>
      </c>
      <c r="K11" s="26">
        <v>43321</v>
      </c>
      <c r="L11" s="26">
        <v>43808</v>
      </c>
      <c r="M11" s="14">
        <f t="shared" si="0"/>
        <v>85.000000362805537</v>
      </c>
      <c r="N11" s="7">
        <v>7</v>
      </c>
      <c r="O11" s="7" t="s">
        <v>295</v>
      </c>
      <c r="P11" s="7" t="s">
        <v>289</v>
      </c>
      <c r="Q11" s="15" t="s">
        <v>213</v>
      </c>
      <c r="R11" s="7" t="s">
        <v>36</v>
      </c>
      <c r="S11" s="18">
        <f t="shared" ref="S11:S13" si="8">T11+U11</f>
        <v>234285.28</v>
      </c>
      <c r="T11" s="16">
        <v>234285.28</v>
      </c>
      <c r="U11" s="16">
        <v>0</v>
      </c>
      <c r="V11" s="18">
        <f t="shared" si="2"/>
        <v>35831.870000000003</v>
      </c>
      <c r="W11" s="16">
        <v>35831.870000000003</v>
      </c>
      <c r="X11" s="16"/>
      <c r="Y11" s="18">
        <f t="shared" si="6"/>
        <v>5512.59</v>
      </c>
      <c r="Z11" s="16">
        <v>5512.59</v>
      </c>
      <c r="AA11" s="16">
        <v>0</v>
      </c>
      <c r="AB11" s="19">
        <f t="shared" si="5"/>
        <v>0</v>
      </c>
      <c r="AC11" s="31">
        <v>0</v>
      </c>
      <c r="AD11" s="31">
        <v>0</v>
      </c>
      <c r="AE11" s="16">
        <f t="shared" si="7"/>
        <v>275629.74000000005</v>
      </c>
      <c r="AF11" s="16"/>
      <c r="AG11" s="16">
        <f t="shared" si="4"/>
        <v>275629.74000000005</v>
      </c>
      <c r="AH11" s="20" t="s">
        <v>615</v>
      </c>
      <c r="AI11" s="63"/>
      <c r="AJ11" s="16">
        <f>11570.2+74831.96</f>
        <v>86402.16</v>
      </c>
      <c r="AK11" s="16">
        <f>1769.56+11444.89</f>
        <v>13214.449999999999</v>
      </c>
    </row>
    <row r="12" spans="1:37" s="165" customFormat="1" ht="219.6" customHeight="1" x14ac:dyDescent="0.25">
      <c r="A12" s="7">
        <v>6</v>
      </c>
      <c r="B12" s="11">
        <v>119862</v>
      </c>
      <c r="C12" s="11">
        <v>483</v>
      </c>
      <c r="D12" s="11" t="s">
        <v>172</v>
      </c>
      <c r="E12" s="11" t="s">
        <v>1071</v>
      </c>
      <c r="F12" s="11" t="s">
        <v>574</v>
      </c>
      <c r="G12" s="8" t="s">
        <v>959</v>
      </c>
      <c r="H12" s="11" t="s">
        <v>960</v>
      </c>
      <c r="I12" s="7" t="s">
        <v>185</v>
      </c>
      <c r="J12" s="8" t="s">
        <v>961</v>
      </c>
      <c r="K12" s="26">
        <v>43325</v>
      </c>
      <c r="L12" s="26">
        <v>43629</v>
      </c>
      <c r="M12" s="14">
        <f t="shared" si="0"/>
        <v>84.999998288155666</v>
      </c>
      <c r="N12" s="7">
        <v>7</v>
      </c>
      <c r="O12" s="7" t="s">
        <v>962</v>
      </c>
      <c r="P12" s="7" t="s">
        <v>963</v>
      </c>
      <c r="Q12" s="15" t="s">
        <v>213</v>
      </c>
      <c r="R12" s="7" t="s">
        <v>36</v>
      </c>
      <c r="S12" s="18">
        <f t="shared" si="8"/>
        <v>223443.21</v>
      </c>
      <c r="T12" s="16">
        <v>223443.21</v>
      </c>
      <c r="U12" s="16">
        <v>0</v>
      </c>
      <c r="V12" s="18">
        <f t="shared" si="2"/>
        <v>34173.67</v>
      </c>
      <c r="W12" s="16">
        <v>34173.67</v>
      </c>
      <c r="X12" s="16">
        <v>0</v>
      </c>
      <c r="Y12" s="18">
        <f t="shared" si="6"/>
        <v>5257.4900000000007</v>
      </c>
      <c r="Z12" s="16">
        <v>5257.4900000000007</v>
      </c>
      <c r="AA12" s="16">
        <v>0</v>
      </c>
      <c r="AB12" s="19">
        <f t="shared" si="5"/>
        <v>0</v>
      </c>
      <c r="AC12" s="27">
        <v>0</v>
      </c>
      <c r="AD12" s="27">
        <v>0</v>
      </c>
      <c r="AE12" s="16">
        <f t="shared" si="7"/>
        <v>262874.37</v>
      </c>
      <c r="AF12" s="16"/>
      <c r="AG12" s="16">
        <f t="shared" si="4"/>
        <v>262874.37</v>
      </c>
      <c r="AH12" s="20" t="s">
        <v>901</v>
      </c>
      <c r="AI12" s="63"/>
      <c r="AJ12" s="28">
        <f>24006.26+36929.64+11537.62</f>
        <v>72473.51999999999</v>
      </c>
      <c r="AK12" s="22">
        <f>3671.55+5648.06+1764.58</f>
        <v>11084.19</v>
      </c>
    </row>
    <row r="13" spans="1:37" s="165" customFormat="1" ht="219.6" customHeight="1" x14ac:dyDescent="0.25">
      <c r="A13" s="7">
        <v>7</v>
      </c>
      <c r="B13" s="11">
        <v>126492</v>
      </c>
      <c r="C13" s="11">
        <v>568</v>
      </c>
      <c r="D13" s="11" t="s">
        <v>177</v>
      </c>
      <c r="E13" s="11" t="s">
        <v>1071</v>
      </c>
      <c r="F13" s="11" t="s">
        <v>1165</v>
      </c>
      <c r="G13" s="8" t="s">
        <v>1247</v>
      </c>
      <c r="H13" s="11" t="s">
        <v>1350</v>
      </c>
      <c r="I13" s="7" t="s">
        <v>185</v>
      </c>
      <c r="J13" s="8" t="s">
        <v>1248</v>
      </c>
      <c r="K13" s="26">
        <v>43462</v>
      </c>
      <c r="L13" s="26">
        <v>44132</v>
      </c>
      <c r="M13" s="14">
        <f t="shared" si="0"/>
        <v>85.000000278232704</v>
      </c>
      <c r="N13" s="7">
        <v>7</v>
      </c>
      <c r="O13" s="7" t="s">
        <v>962</v>
      </c>
      <c r="P13" s="7" t="s">
        <v>389</v>
      </c>
      <c r="Q13" s="15" t="s">
        <v>213</v>
      </c>
      <c r="R13" s="7" t="s">
        <v>36</v>
      </c>
      <c r="S13" s="18">
        <f t="shared" si="8"/>
        <v>1221998.73</v>
      </c>
      <c r="T13" s="16">
        <v>1221998.73</v>
      </c>
      <c r="U13" s="16">
        <v>0</v>
      </c>
      <c r="V13" s="18">
        <f t="shared" si="2"/>
        <v>186893.92</v>
      </c>
      <c r="W13" s="16">
        <v>186893.92</v>
      </c>
      <c r="X13" s="16">
        <v>0</v>
      </c>
      <c r="Y13" s="18">
        <f t="shared" si="6"/>
        <v>28752.91</v>
      </c>
      <c r="Z13" s="16">
        <v>28752.91</v>
      </c>
      <c r="AA13" s="16">
        <v>0</v>
      </c>
      <c r="AB13" s="19">
        <f t="shared" si="5"/>
        <v>0</v>
      </c>
      <c r="AC13" s="27">
        <v>0</v>
      </c>
      <c r="AD13" s="27">
        <v>0</v>
      </c>
      <c r="AE13" s="16">
        <f t="shared" si="7"/>
        <v>1437645.5599999998</v>
      </c>
      <c r="AF13" s="16"/>
      <c r="AG13" s="16">
        <f t="shared" si="4"/>
        <v>1437645.5599999998</v>
      </c>
      <c r="AH13" s="20" t="s">
        <v>615</v>
      </c>
      <c r="AI13" s="63"/>
      <c r="AJ13" s="28">
        <v>30000</v>
      </c>
      <c r="AK13" s="22">
        <v>0</v>
      </c>
    </row>
    <row r="14" spans="1:37" s="165" customFormat="1" ht="294.75" customHeight="1" x14ac:dyDescent="0.25">
      <c r="A14" s="7">
        <v>8</v>
      </c>
      <c r="B14" s="11">
        <v>126520</v>
      </c>
      <c r="C14" s="11">
        <v>550</v>
      </c>
      <c r="D14" s="11" t="s">
        <v>177</v>
      </c>
      <c r="E14" s="11" t="s">
        <v>1071</v>
      </c>
      <c r="F14" s="11" t="s">
        <v>1165</v>
      </c>
      <c r="G14" s="8" t="s">
        <v>1283</v>
      </c>
      <c r="H14" s="11" t="s">
        <v>1285</v>
      </c>
      <c r="I14" s="7" t="s">
        <v>185</v>
      </c>
      <c r="J14" s="29" t="s">
        <v>1284</v>
      </c>
      <c r="K14" s="26">
        <v>43504</v>
      </c>
      <c r="L14" s="26">
        <v>44294</v>
      </c>
      <c r="M14" s="14">
        <f t="shared" ref="M14" si="9">S14/AE14*100</f>
        <v>84.999999485666919</v>
      </c>
      <c r="N14" s="7">
        <v>7</v>
      </c>
      <c r="O14" s="7" t="s">
        <v>962</v>
      </c>
      <c r="P14" s="7" t="s">
        <v>389</v>
      </c>
      <c r="Q14" s="15" t="s">
        <v>213</v>
      </c>
      <c r="R14" s="7" t="s">
        <v>36</v>
      </c>
      <c r="S14" s="18">
        <f t="shared" ref="S14:S16" si="10">T14+U14</f>
        <v>2231044.5499999998</v>
      </c>
      <c r="T14" s="16">
        <v>2231044.5499999998</v>
      </c>
      <c r="U14" s="16">
        <v>0</v>
      </c>
      <c r="V14" s="18">
        <f t="shared" si="2"/>
        <v>341218.6</v>
      </c>
      <c r="W14" s="16">
        <v>341218.6</v>
      </c>
      <c r="X14" s="16"/>
      <c r="Y14" s="18">
        <f t="shared" si="6"/>
        <v>52495.16</v>
      </c>
      <c r="Z14" s="16">
        <v>52495.16</v>
      </c>
      <c r="AA14" s="16">
        <v>0</v>
      </c>
      <c r="AB14" s="19">
        <f t="shared" si="5"/>
        <v>0</v>
      </c>
      <c r="AC14" s="27">
        <v>0</v>
      </c>
      <c r="AD14" s="27">
        <v>0</v>
      </c>
      <c r="AE14" s="16">
        <f t="shared" si="7"/>
        <v>2624758.31</v>
      </c>
      <c r="AF14" s="16"/>
      <c r="AG14" s="16">
        <f t="shared" ref="AG14:AG16" si="11">AE14+AF14</f>
        <v>2624758.31</v>
      </c>
      <c r="AH14" s="20" t="s">
        <v>615</v>
      </c>
      <c r="AI14" s="63"/>
      <c r="AJ14" s="28">
        <v>0</v>
      </c>
      <c r="AK14" s="22">
        <v>0</v>
      </c>
    </row>
    <row r="15" spans="1:37" s="165" customFormat="1" ht="294.75" customHeight="1" x14ac:dyDescent="0.25">
      <c r="A15" s="7">
        <v>9</v>
      </c>
      <c r="B15" s="11">
        <v>126539</v>
      </c>
      <c r="C15" s="11">
        <v>574</v>
      </c>
      <c r="D15" s="11" t="s">
        <v>174</v>
      </c>
      <c r="E15" s="11" t="s">
        <v>998</v>
      </c>
      <c r="F15" s="11" t="s">
        <v>1165</v>
      </c>
      <c r="G15" s="8" t="s">
        <v>1358</v>
      </c>
      <c r="H15" s="11" t="s">
        <v>286</v>
      </c>
      <c r="I15" s="7" t="s">
        <v>185</v>
      </c>
      <c r="J15" s="29" t="s">
        <v>1359</v>
      </c>
      <c r="K15" s="26">
        <v>43552</v>
      </c>
      <c r="L15" s="26">
        <v>44467</v>
      </c>
      <c r="M15" s="14">
        <f>S15/AE15*100</f>
        <v>85.000000056453686</v>
      </c>
      <c r="N15" s="7">
        <v>7</v>
      </c>
      <c r="O15" s="7" t="s">
        <v>295</v>
      </c>
      <c r="P15" s="7" t="s">
        <v>289</v>
      </c>
      <c r="Q15" s="15" t="s">
        <v>213</v>
      </c>
      <c r="R15" s="7" t="s">
        <v>36</v>
      </c>
      <c r="S15" s="18">
        <f t="shared" si="10"/>
        <v>3011318.02</v>
      </c>
      <c r="T15" s="16">
        <v>3011318.02</v>
      </c>
      <c r="U15" s="16">
        <v>0</v>
      </c>
      <c r="V15" s="18">
        <f t="shared" ref="V15:V16" si="12">W15+X15</f>
        <v>460554.52</v>
      </c>
      <c r="W15" s="16">
        <v>460554.52</v>
      </c>
      <c r="X15" s="16">
        <v>0</v>
      </c>
      <c r="Y15" s="18">
        <f t="shared" si="6"/>
        <v>70854.539999999994</v>
      </c>
      <c r="Z15" s="16">
        <v>70854.539999999994</v>
      </c>
      <c r="AA15" s="16">
        <v>0</v>
      </c>
      <c r="AB15" s="19">
        <f>AC15+AD15</f>
        <v>0</v>
      </c>
      <c r="AC15" s="27">
        <v>0</v>
      </c>
      <c r="AD15" s="27">
        <v>0</v>
      </c>
      <c r="AE15" s="16">
        <f>S15+V15+Y15+AB15</f>
        <v>3542727.08</v>
      </c>
      <c r="AF15" s="16">
        <v>65688</v>
      </c>
      <c r="AG15" s="16">
        <f t="shared" si="11"/>
        <v>3608415.08</v>
      </c>
      <c r="AH15" s="20" t="s">
        <v>615</v>
      </c>
      <c r="AI15" s="63" t="s">
        <v>185</v>
      </c>
      <c r="AJ15" s="28">
        <v>0</v>
      </c>
      <c r="AK15" s="22">
        <v>0</v>
      </c>
    </row>
    <row r="16" spans="1:37" s="165" customFormat="1" ht="267.75" x14ac:dyDescent="0.25">
      <c r="A16" s="7">
        <v>10</v>
      </c>
      <c r="B16" s="11">
        <v>126063</v>
      </c>
      <c r="C16" s="11">
        <v>512</v>
      </c>
      <c r="D16" s="11" t="s">
        <v>176</v>
      </c>
      <c r="E16" s="11" t="s">
        <v>998</v>
      </c>
      <c r="F16" s="11" t="s">
        <v>1165</v>
      </c>
      <c r="G16" s="66" t="s">
        <v>1367</v>
      </c>
      <c r="H16" s="11" t="s">
        <v>636</v>
      </c>
      <c r="I16" s="11" t="s">
        <v>811</v>
      </c>
      <c r="J16" s="29" t="s">
        <v>1368</v>
      </c>
      <c r="K16" s="26">
        <v>43552</v>
      </c>
      <c r="L16" s="26">
        <v>44467</v>
      </c>
      <c r="M16" s="14">
        <f t="shared" ref="M16" si="13">S16/AE16*100</f>
        <v>84.408145121705388</v>
      </c>
      <c r="N16" s="7">
        <v>7</v>
      </c>
      <c r="O16" s="7" t="s">
        <v>295</v>
      </c>
      <c r="P16" s="7" t="s">
        <v>639</v>
      </c>
      <c r="Q16" s="15" t="s">
        <v>213</v>
      </c>
      <c r="R16" s="7" t="s">
        <v>36</v>
      </c>
      <c r="S16" s="18">
        <f t="shared" si="10"/>
        <v>2846403.24</v>
      </c>
      <c r="T16" s="16">
        <v>2846403.24</v>
      </c>
      <c r="U16" s="16">
        <v>0</v>
      </c>
      <c r="V16" s="18">
        <f t="shared" si="12"/>
        <v>458343.2</v>
      </c>
      <c r="W16" s="16">
        <v>458343.2</v>
      </c>
      <c r="X16" s="16">
        <v>0</v>
      </c>
      <c r="Y16" s="18">
        <f t="shared" si="6"/>
        <v>43963.23</v>
      </c>
      <c r="Z16" s="16">
        <v>43963.23</v>
      </c>
      <c r="AA16" s="16">
        <v>0</v>
      </c>
      <c r="AB16" s="19">
        <f t="shared" ref="AB16" si="14">AC16+AD16</f>
        <v>23480.58</v>
      </c>
      <c r="AC16" s="27">
        <v>23480.58</v>
      </c>
      <c r="AD16" s="27">
        <v>0</v>
      </c>
      <c r="AE16" s="16">
        <f t="shared" ref="AE16" si="15">S16+V16+Y16+AB16</f>
        <v>3372190.2500000005</v>
      </c>
      <c r="AF16" s="16">
        <v>0</v>
      </c>
      <c r="AG16" s="16">
        <f t="shared" si="11"/>
        <v>3372190.2500000005</v>
      </c>
      <c r="AH16" s="20" t="s">
        <v>615</v>
      </c>
      <c r="AI16" s="63" t="s">
        <v>185</v>
      </c>
      <c r="AJ16" s="28">
        <v>0</v>
      </c>
      <c r="AK16" s="22">
        <v>0</v>
      </c>
    </row>
    <row r="17" spans="1:37" s="165" customFormat="1" ht="141.75" x14ac:dyDescent="0.25">
      <c r="A17" s="7">
        <v>11</v>
      </c>
      <c r="B17" s="7">
        <v>120637</v>
      </c>
      <c r="C17" s="11">
        <v>86</v>
      </c>
      <c r="D17" s="7" t="s">
        <v>171</v>
      </c>
      <c r="E17" s="8" t="s">
        <v>998</v>
      </c>
      <c r="F17" s="9" t="s">
        <v>361</v>
      </c>
      <c r="G17" s="10" t="s">
        <v>302</v>
      </c>
      <c r="H17" s="11" t="s">
        <v>303</v>
      </c>
      <c r="I17" s="7" t="s">
        <v>185</v>
      </c>
      <c r="J17" s="12" t="s">
        <v>1318</v>
      </c>
      <c r="K17" s="13">
        <v>43145</v>
      </c>
      <c r="L17" s="13">
        <v>43510</v>
      </c>
      <c r="M17" s="14">
        <f t="shared" ref="M17:M19" si="16">S17/AE17*100</f>
        <v>85.000001183738732</v>
      </c>
      <c r="N17" s="7">
        <v>5</v>
      </c>
      <c r="O17" s="7" t="s">
        <v>304</v>
      </c>
      <c r="P17" s="7" t="s">
        <v>304</v>
      </c>
      <c r="Q17" s="30" t="s">
        <v>213</v>
      </c>
      <c r="R17" s="7" t="s">
        <v>36</v>
      </c>
      <c r="S17" s="16">
        <f t="shared" ref="S17:S19" si="17">T17+U17</f>
        <v>359031.93</v>
      </c>
      <c r="T17" s="17">
        <v>359031.93</v>
      </c>
      <c r="U17" s="16">
        <v>0</v>
      </c>
      <c r="V17" s="16">
        <f t="shared" ref="V17:V19" si="18">W17+X17</f>
        <v>54910.76</v>
      </c>
      <c r="W17" s="16">
        <v>54910.76</v>
      </c>
      <c r="X17" s="16">
        <v>0</v>
      </c>
      <c r="Y17" s="16">
        <f t="shared" ref="Y17:Y19" si="19">Z17+AA17</f>
        <v>8447.81</v>
      </c>
      <c r="Z17" s="16">
        <v>8447.81</v>
      </c>
      <c r="AA17" s="16">
        <v>0</v>
      </c>
      <c r="AB17" s="16">
        <f>AC17+AD17</f>
        <v>0</v>
      </c>
      <c r="AC17" s="16"/>
      <c r="AD17" s="16"/>
      <c r="AE17" s="16">
        <f>S17+V17+Y17+AB17</f>
        <v>422390.5</v>
      </c>
      <c r="AF17" s="16">
        <v>0</v>
      </c>
      <c r="AG17" s="16">
        <f t="shared" ref="AG17:AG19" si="20">AE17+AF17</f>
        <v>422390.5</v>
      </c>
      <c r="AH17" s="20" t="s">
        <v>1103</v>
      </c>
      <c r="AI17" s="21" t="s">
        <v>185</v>
      </c>
      <c r="AJ17" s="22">
        <f>50.58+71118.57+211342.81</f>
        <v>282511.96000000002</v>
      </c>
      <c r="AK17" s="23">
        <f>7.73+10876.95+32323.01</f>
        <v>43207.69</v>
      </c>
    </row>
    <row r="18" spans="1:37" s="165" customFormat="1" ht="141.75" x14ac:dyDescent="0.25">
      <c r="A18" s="7">
        <v>12</v>
      </c>
      <c r="B18" s="7">
        <v>119520</v>
      </c>
      <c r="C18" s="7">
        <v>465</v>
      </c>
      <c r="D18" s="7" t="s">
        <v>714</v>
      </c>
      <c r="E18" s="11" t="s">
        <v>1071</v>
      </c>
      <c r="F18" s="8" t="s">
        <v>574</v>
      </c>
      <c r="G18" s="8" t="s">
        <v>786</v>
      </c>
      <c r="H18" s="11" t="s">
        <v>787</v>
      </c>
      <c r="I18" s="11" t="s">
        <v>788</v>
      </c>
      <c r="J18" s="8" t="s">
        <v>789</v>
      </c>
      <c r="K18" s="26">
        <v>43292</v>
      </c>
      <c r="L18" s="26">
        <v>43780</v>
      </c>
      <c r="M18" s="14">
        <f t="shared" si="16"/>
        <v>85.000001465751467</v>
      </c>
      <c r="N18" s="7">
        <v>5</v>
      </c>
      <c r="O18" s="7" t="s">
        <v>304</v>
      </c>
      <c r="P18" s="7" t="s">
        <v>304</v>
      </c>
      <c r="Q18" s="7" t="s">
        <v>213</v>
      </c>
      <c r="R18" s="7" t="s">
        <v>36</v>
      </c>
      <c r="S18" s="16">
        <f t="shared" si="17"/>
        <v>231962.93</v>
      </c>
      <c r="T18" s="23">
        <v>231962.93</v>
      </c>
      <c r="U18" s="31">
        <v>0</v>
      </c>
      <c r="V18" s="16">
        <f t="shared" si="18"/>
        <v>35476.67</v>
      </c>
      <c r="W18" s="23">
        <v>35476.67</v>
      </c>
      <c r="X18" s="31">
        <v>0</v>
      </c>
      <c r="Y18" s="16">
        <f t="shared" si="19"/>
        <v>5457.96</v>
      </c>
      <c r="Z18" s="23">
        <v>5457.96</v>
      </c>
      <c r="AA18" s="23">
        <v>0</v>
      </c>
      <c r="AB18" s="16">
        <f t="shared" ref="AB18:AB19" si="21">AC18+AD18</f>
        <v>0</v>
      </c>
      <c r="AC18" s="27">
        <v>0</v>
      </c>
      <c r="AD18" s="27">
        <v>0</v>
      </c>
      <c r="AE18" s="16">
        <f t="shared" ref="AE18:AE19" si="22">S18+V18+Y18+AB18</f>
        <v>272897.56</v>
      </c>
      <c r="AF18" s="63">
        <v>0</v>
      </c>
      <c r="AG18" s="16">
        <f t="shared" si="20"/>
        <v>272897.56</v>
      </c>
      <c r="AH18" s="20" t="s">
        <v>615</v>
      </c>
      <c r="AI18" s="63" t="s">
        <v>185</v>
      </c>
      <c r="AJ18" s="22">
        <v>24243.73</v>
      </c>
      <c r="AK18" s="23">
        <v>3707.87</v>
      </c>
    </row>
    <row r="19" spans="1:37" s="166" customFormat="1" ht="141.75" x14ac:dyDescent="0.25">
      <c r="A19" s="7">
        <v>13</v>
      </c>
      <c r="B19" s="11">
        <v>116692</v>
      </c>
      <c r="C19" s="11">
        <v>408</v>
      </c>
      <c r="D19" s="11" t="s">
        <v>873</v>
      </c>
      <c r="E19" s="8" t="s">
        <v>733</v>
      </c>
      <c r="F19" s="8" t="s">
        <v>640</v>
      </c>
      <c r="G19" s="8" t="s">
        <v>938</v>
      </c>
      <c r="H19" s="11" t="s">
        <v>787</v>
      </c>
      <c r="I19" s="11" t="s">
        <v>185</v>
      </c>
      <c r="J19" s="199" t="s">
        <v>939</v>
      </c>
      <c r="K19" s="26">
        <v>43321</v>
      </c>
      <c r="L19" s="26">
        <v>43720</v>
      </c>
      <c r="M19" s="32">
        <f t="shared" si="16"/>
        <v>85.000000534892237</v>
      </c>
      <c r="N19" s="11">
        <v>5</v>
      </c>
      <c r="O19" s="7" t="s">
        <v>304</v>
      </c>
      <c r="P19" s="7" t="s">
        <v>304</v>
      </c>
      <c r="Q19" s="7" t="s">
        <v>213</v>
      </c>
      <c r="R19" s="7" t="s">
        <v>36</v>
      </c>
      <c r="S19" s="19">
        <f t="shared" si="17"/>
        <v>317821.02</v>
      </c>
      <c r="T19" s="22">
        <v>317821.02</v>
      </c>
      <c r="U19" s="33">
        <v>0</v>
      </c>
      <c r="V19" s="19">
        <f t="shared" si="18"/>
        <v>48607.91</v>
      </c>
      <c r="W19" s="22">
        <v>48607.91</v>
      </c>
      <c r="X19" s="33">
        <v>0</v>
      </c>
      <c r="Y19" s="19">
        <f t="shared" si="19"/>
        <v>7478.15</v>
      </c>
      <c r="Z19" s="22">
        <v>7478.15</v>
      </c>
      <c r="AA19" s="22">
        <v>0</v>
      </c>
      <c r="AB19" s="19">
        <f t="shared" si="21"/>
        <v>0</v>
      </c>
      <c r="AC19" s="27">
        <v>0</v>
      </c>
      <c r="AD19" s="27">
        <v>0</v>
      </c>
      <c r="AE19" s="19">
        <f t="shared" si="22"/>
        <v>373907.08000000007</v>
      </c>
      <c r="AF19" s="20">
        <v>0</v>
      </c>
      <c r="AG19" s="19">
        <f t="shared" si="20"/>
        <v>373907.08000000007</v>
      </c>
      <c r="AH19" s="20" t="s">
        <v>615</v>
      </c>
      <c r="AI19" s="63" t="s">
        <v>185</v>
      </c>
      <c r="AJ19" s="22">
        <v>8730.06</v>
      </c>
      <c r="AK19" s="22">
        <v>1335.19</v>
      </c>
    </row>
    <row r="20" spans="1:37" s="166" customFormat="1" ht="267.75" x14ac:dyDescent="0.25">
      <c r="A20" s="7">
        <v>14</v>
      </c>
      <c r="B20" s="11">
        <v>126495</v>
      </c>
      <c r="C20" s="11">
        <v>558</v>
      </c>
      <c r="D20" s="11" t="s">
        <v>174</v>
      </c>
      <c r="E20" s="8" t="s">
        <v>998</v>
      </c>
      <c r="F20" s="8" t="s">
        <v>1165</v>
      </c>
      <c r="G20" s="8" t="s">
        <v>1403</v>
      </c>
      <c r="H20" s="11" t="s">
        <v>303</v>
      </c>
      <c r="I20" s="11" t="s">
        <v>185</v>
      </c>
      <c r="J20" s="199" t="s">
        <v>1404</v>
      </c>
      <c r="K20" s="26">
        <v>43570</v>
      </c>
      <c r="L20" s="26">
        <v>44423</v>
      </c>
      <c r="M20" s="32">
        <f t="shared" ref="M20" si="23">S20/AE20*100</f>
        <v>85</v>
      </c>
      <c r="N20" s="11">
        <v>5</v>
      </c>
      <c r="O20" s="7" t="s">
        <v>304</v>
      </c>
      <c r="P20" s="7" t="s">
        <v>304</v>
      </c>
      <c r="Q20" s="7" t="s">
        <v>213</v>
      </c>
      <c r="R20" s="7" t="s">
        <v>36</v>
      </c>
      <c r="S20" s="19">
        <f t="shared" ref="S20" si="24">T20+U20</f>
        <v>3025356.04</v>
      </c>
      <c r="T20" s="22">
        <v>3025356.04</v>
      </c>
      <c r="U20" s="33">
        <v>0</v>
      </c>
      <c r="V20" s="19">
        <f t="shared" ref="V20" si="25">W20+X20</f>
        <v>462701.51</v>
      </c>
      <c r="W20" s="22">
        <v>462701.51</v>
      </c>
      <c r="X20" s="33">
        <v>0</v>
      </c>
      <c r="Y20" s="19">
        <f t="shared" ref="Y20" si="26">Z20+AA20</f>
        <v>71184.850000000006</v>
      </c>
      <c r="Z20" s="22">
        <v>71184.850000000006</v>
      </c>
      <c r="AA20" s="22">
        <v>0</v>
      </c>
      <c r="AB20" s="19">
        <f>AC20+AD20</f>
        <v>0</v>
      </c>
      <c r="AC20" s="27"/>
      <c r="AD20" s="27"/>
      <c r="AE20" s="19">
        <f>S20+V20+Y20+AB20</f>
        <v>3559242.4</v>
      </c>
      <c r="AF20" s="20">
        <v>0</v>
      </c>
      <c r="AG20" s="19">
        <f t="shared" ref="AG20" si="27">AE20+AF20</f>
        <v>3559242.4</v>
      </c>
      <c r="AH20" s="20" t="s">
        <v>901</v>
      </c>
      <c r="AI20" s="63"/>
      <c r="AJ20" s="22">
        <v>0</v>
      </c>
      <c r="AK20" s="22">
        <v>0</v>
      </c>
    </row>
    <row r="21" spans="1:37" s="165" customFormat="1" ht="141.75" x14ac:dyDescent="0.25">
      <c r="A21" s="7">
        <v>15</v>
      </c>
      <c r="B21" s="7">
        <v>120652</v>
      </c>
      <c r="C21" s="11">
        <v>91</v>
      </c>
      <c r="D21" s="7" t="s">
        <v>173</v>
      </c>
      <c r="E21" s="8" t="s">
        <v>998</v>
      </c>
      <c r="F21" s="9" t="s">
        <v>361</v>
      </c>
      <c r="G21" s="10" t="s">
        <v>269</v>
      </c>
      <c r="H21" s="10" t="s">
        <v>274</v>
      </c>
      <c r="I21" s="7" t="s">
        <v>185</v>
      </c>
      <c r="J21" s="34" t="s">
        <v>275</v>
      </c>
      <c r="K21" s="13">
        <v>43145</v>
      </c>
      <c r="L21" s="13">
        <v>43510</v>
      </c>
      <c r="M21" s="14">
        <f t="shared" ref="M21:M27" si="28">S21/AE21*100</f>
        <v>84.999999389755786</v>
      </c>
      <c r="N21" s="7">
        <v>3</v>
      </c>
      <c r="O21" s="7" t="s">
        <v>271</v>
      </c>
      <c r="P21" s="7" t="s">
        <v>273</v>
      </c>
      <c r="Q21" s="30" t="s">
        <v>213</v>
      </c>
      <c r="R21" s="7" t="s">
        <v>36</v>
      </c>
      <c r="S21" s="16">
        <f t="shared" ref="S21" si="29">T21+U21</f>
        <v>348221.24</v>
      </c>
      <c r="T21" s="16">
        <v>348221.24</v>
      </c>
      <c r="U21" s="16">
        <v>0</v>
      </c>
      <c r="V21" s="16">
        <f t="shared" ref="V21:V27" si="30">W21+X21</f>
        <v>53257.37</v>
      </c>
      <c r="W21" s="16">
        <v>53257.37</v>
      </c>
      <c r="X21" s="16">
        <v>0</v>
      </c>
      <c r="Y21" s="16">
        <f t="shared" ref="Y21:Y27" si="31">Z21+AA21</f>
        <v>8193.44</v>
      </c>
      <c r="Z21" s="16">
        <v>8193.44</v>
      </c>
      <c r="AA21" s="16">
        <v>0</v>
      </c>
      <c r="AB21" s="16">
        <f>AC21+AD21</f>
        <v>0</v>
      </c>
      <c r="AC21" s="16"/>
      <c r="AD21" s="16"/>
      <c r="AE21" s="16">
        <f>S21+V21+Y21+AB21</f>
        <v>409672.05</v>
      </c>
      <c r="AF21" s="16">
        <v>0</v>
      </c>
      <c r="AG21" s="16">
        <f t="shared" ref="AG21:AG27" si="32">AE21+AF21</f>
        <v>409672.05</v>
      </c>
      <c r="AH21" s="20" t="s">
        <v>1103</v>
      </c>
      <c r="AI21" s="21" t="s">
        <v>1156</v>
      </c>
      <c r="AJ21" s="22">
        <f>12919.73+21747.25+49513.87-529.62+197106.06+10487.81</f>
        <v>291245.10000000003</v>
      </c>
      <c r="AK21" s="35">
        <f>12122.18+529.62+30287.56+1604.02</f>
        <v>44543.38</v>
      </c>
    </row>
    <row r="22" spans="1:37" s="165" customFormat="1" ht="141.75" x14ac:dyDescent="0.25">
      <c r="A22" s="7">
        <v>16</v>
      </c>
      <c r="B22" s="7">
        <v>118191</v>
      </c>
      <c r="C22" s="167">
        <v>423</v>
      </c>
      <c r="D22" s="7" t="s">
        <v>873</v>
      </c>
      <c r="E22" s="8" t="s">
        <v>733</v>
      </c>
      <c r="F22" s="9" t="s">
        <v>640</v>
      </c>
      <c r="G22" s="10" t="s">
        <v>727</v>
      </c>
      <c r="H22" s="8" t="s">
        <v>728</v>
      </c>
      <c r="I22" s="11"/>
      <c r="J22" s="12" t="s">
        <v>729</v>
      </c>
      <c r="K22" s="13">
        <v>43284</v>
      </c>
      <c r="L22" s="13">
        <v>43649</v>
      </c>
      <c r="M22" s="14">
        <f t="shared" si="28"/>
        <v>85.000001358659858</v>
      </c>
      <c r="N22" s="7">
        <v>3</v>
      </c>
      <c r="O22" s="7" t="s">
        <v>271</v>
      </c>
      <c r="P22" s="7" t="s">
        <v>273</v>
      </c>
      <c r="Q22" s="15" t="s">
        <v>213</v>
      </c>
      <c r="R22" s="11" t="s">
        <v>36</v>
      </c>
      <c r="S22" s="36">
        <v>250246.6</v>
      </c>
      <c r="T22" s="22">
        <v>250246.6</v>
      </c>
      <c r="U22" s="16">
        <v>0</v>
      </c>
      <c r="V22" s="36">
        <f t="shared" si="30"/>
        <v>38273</v>
      </c>
      <c r="W22" s="37">
        <v>38273</v>
      </c>
      <c r="X22" s="16">
        <v>0</v>
      </c>
      <c r="Y22" s="36">
        <v>5888.16</v>
      </c>
      <c r="Z22" s="16">
        <v>5888.16</v>
      </c>
      <c r="AA22" s="16">
        <v>0</v>
      </c>
      <c r="AB22" s="16">
        <f t="shared" ref="AB22:AB29" si="33">AC22+AD22</f>
        <v>0</v>
      </c>
      <c r="AC22" s="16">
        <v>0</v>
      </c>
      <c r="AD22" s="16">
        <v>0</v>
      </c>
      <c r="AE22" s="16">
        <f>S22+V22+Y22</f>
        <v>294407.75999999995</v>
      </c>
      <c r="AF22" s="16"/>
      <c r="AG22" s="16">
        <f t="shared" si="32"/>
        <v>294407.75999999995</v>
      </c>
      <c r="AH22" s="20" t="s">
        <v>615</v>
      </c>
      <c r="AI22" s="38" t="s">
        <v>185</v>
      </c>
      <c r="AJ22" s="39">
        <f>36499+66741.15+31009.7</f>
        <v>134249.85</v>
      </c>
      <c r="AK22" s="23">
        <f>5582.2+10207.47+4742.66</f>
        <v>20532.329999999998</v>
      </c>
    </row>
    <row r="23" spans="1:37" s="165" customFormat="1" ht="141.75" x14ac:dyDescent="0.25">
      <c r="A23" s="7">
        <v>17</v>
      </c>
      <c r="B23" s="7">
        <v>118741</v>
      </c>
      <c r="C23" s="11">
        <v>459</v>
      </c>
      <c r="D23" s="7" t="s">
        <v>172</v>
      </c>
      <c r="E23" s="11" t="s">
        <v>1071</v>
      </c>
      <c r="F23" s="8" t="s">
        <v>574</v>
      </c>
      <c r="G23" s="8" t="s">
        <v>758</v>
      </c>
      <c r="H23" s="8" t="s">
        <v>759</v>
      </c>
      <c r="I23" s="7" t="s">
        <v>185</v>
      </c>
      <c r="J23" s="8" t="s">
        <v>760</v>
      </c>
      <c r="K23" s="13">
        <v>43290</v>
      </c>
      <c r="L23" s="26">
        <v>43778</v>
      </c>
      <c r="M23" s="14">
        <f t="shared" si="28"/>
        <v>85.00000356420064</v>
      </c>
      <c r="N23" s="7">
        <v>3</v>
      </c>
      <c r="O23" s="26" t="s">
        <v>271</v>
      </c>
      <c r="P23" s="26" t="s">
        <v>273</v>
      </c>
      <c r="Q23" s="26" t="s">
        <v>213</v>
      </c>
      <c r="R23" s="7" t="s">
        <v>36</v>
      </c>
      <c r="S23" s="18">
        <v>512737.71</v>
      </c>
      <c r="T23" s="16">
        <v>512737.71</v>
      </c>
      <c r="U23" s="16">
        <v>0</v>
      </c>
      <c r="V23" s="18">
        <v>78418.69</v>
      </c>
      <c r="W23" s="16">
        <v>78418.69</v>
      </c>
      <c r="X23" s="16">
        <v>0</v>
      </c>
      <c r="Y23" s="16">
        <v>12064.41</v>
      </c>
      <c r="Z23" s="16">
        <v>12064.41</v>
      </c>
      <c r="AA23" s="16">
        <v>0</v>
      </c>
      <c r="AB23" s="16">
        <f t="shared" si="33"/>
        <v>0</v>
      </c>
      <c r="AC23" s="16">
        <v>0</v>
      </c>
      <c r="AD23" s="16">
        <v>0</v>
      </c>
      <c r="AE23" s="16">
        <f>S23+V23+Y23</f>
        <v>603220.81000000006</v>
      </c>
      <c r="AF23" s="63"/>
      <c r="AG23" s="16">
        <f t="shared" si="32"/>
        <v>603220.81000000006</v>
      </c>
      <c r="AH23" s="20" t="s">
        <v>615</v>
      </c>
      <c r="AI23" s="63"/>
      <c r="AJ23" s="23">
        <f>37011.15+21320.94</f>
        <v>58332.09</v>
      </c>
      <c r="AK23" s="23">
        <f>5660.53+3260.85</f>
        <v>8921.3799999999992</v>
      </c>
    </row>
    <row r="24" spans="1:37" s="165" customFormat="1" ht="141.75" x14ac:dyDescent="0.25">
      <c r="A24" s="7">
        <v>18</v>
      </c>
      <c r="B24" s="7">
        <v>126349</v>
      </c>
      <c r="C24" s="11">
        <v>566</v>
      </c>
      <c r="D24" s="7" t="s">
        <v>175</v>
      </c>
      <c r="E24" s="11" t="s">
        <v>1071</v>
      </c>
      <c r="F24" s="8" t="s">
        <v>1165</v>
      </c>
      <c r="G24" s="8" t="s">
        <v>1264</v>
      </c>
      <c r="H24" s="8" t="s">
        <v>728</v>
      </c>
      <c r="I24" s="7" t="s">
        <v>185</v>
      </c>
      <c r="J24" s="8" t="s">
        <v>1265</v>
      </c>
      <c r="K24" s="13">
        <v>43482</v>
      </c>
      <c r="L24" s="26">
        <v>44212</v>
      </c>
      <c r="M24" s="14">
        <f t="shared" ref="M24" si="34">S24/AE24*100</f>
        <v>85.000000750761799</v>
      </c>
      <c r="N24" s="7">
        <v>3</v>
      </c>
      <c r="O24" s="26" t="s">
        <v>271</v>
      </c>
      <c r="P24" s="26" t="s">
        <v>273</v>
      </c>
      <c r="Q24" s="26" t="s">
        <v>213</v>
      </c>
      <c r="R24" s="7" t="s">
        <v>36</v>
      </c>
      <c r="S24" s="18">
        <f>T24+U24</f>
        <v>3396550.05</v>
      </c>
      <c r="T24" s="16">
        <v>3396550.05</v>
      </c>
      <c r="U24" s="16">
        <v>0</v>
      </c>
      <c r="V24" s="18">
        <f>W24+X24</f>
        <v>519472.32</v>
      </c>
      <c r="W24" s="16">
        <v>519472.32</v>
      </c>
      <c r="X24" s="16">
        <v>0</v>
      </c>
      <c r="Y24" s="16">
        <f>Z24+AA24</f>
        <v>79918.83</v>
      </c>
      <c r="Z24" s="16">
        <v>79918.83</v>
      </c>
      <c r="AA24" s="16">
        <v>0</v>
      </c>
      <c r="AB24" s="16">
        <f>AC24+AD24</f>
        <v>0</v>
      </c>
      <c r="AC24" s="16">
        <v>0</v>
      </c>
      <c r="AD24" s="16">
        <v>0</v>
      </c>
      <c r="AE24" s="16">
        <f>S24+V24+Y24+AB24</f>
        <v>3995941.1999999997</v>
      </c>
      <c r="AF24" s="63">
        <v>0</v>
      </c>
      <c r="AG24" s="16">
        <f>AE24+AF24</f>
        <v>3995941.1999999997</v>
      </c>
      <c r="AH24" s="20" t="s">
        <v>615</v>
      </c>
      <c r="AI24" s="63"/>
      <c r="AJ24" s="23">
        <v>0</v>
      </c>
      <c r="AK24" s="23">
        <v>0</v>
      </c>
    </row>
    <row r="25" spans="1:37" s="165" customFormat="1" ht="141.75" x14ac:dyDescent="0.25">
      <c r="A25" s="7">
        <v>19</v>
      </c>
      <c r="B25" s="7">
        <v>119613</v>
      </c>
      <c r="C25" s="11">
        <v>461</v>
      </c>
      <c r="D25" s="7" t="s">
        <v>177</v>
      </c>
      <c r="E25" s="11" t="s">
        <v>1071</v>
      </c>
      <c r="F25" s="8" t="s">
        <v>574</v>
      </c>
      <c r="G25" s="8" t="s">
        <v>929</v>
      </c>
      <c r="H25" s="11" t="s">
        <v>930</v>
      </c>
      <c r="I25" s="7" t="s">
        <v>185</v>
      </c>
      <c r="J25" s="8" t="s">
        <v>931</v>
      </c>
      <c r="K25" s="13">
        <v>43320</v>
      </c>
      <c r="L25" s="26">
        <v>43624</v>
      </c>
      <c r="M25" s="11">
        <f t="shared" si="28"/>
        <v>85.00000179686964</v>
      </c>
      <c r="N25" s="11">
        <v>1</v>
      </c>
      <c r="O25" s="11" t="s">
        <v>376</v>
      </c>
      <c r="P25" s="11" t="s">
        <v>376</v>
      </c>
      <c r="Q25" s="26" t="s">
        <v>213</v>
      </c>
      <c r="R25" s="7" t="s">
        <v>36</v>
      </c>
      <c r="S25" s="19">
        <f t="shared" ref="S25" si="35">T25+U25</f>
        <v>236522.45</v>
      </c>
      <c r="T25" s="16">
        <v>236522.45</v>
      </c>
      <c r="U25" s="19">
        <v>0</v>
      </c>
      <c r="V25" s="40">
        <f t="shared" ref="V25" si="36">W25+X25</f>
        <v>36174.019999999997</v>
      </c>
      <c r="W25" s="17">
        <v>36174.019999999997</v>
      </c>
      <c r="X25" s="40">
        <v>0</v>
      </c>
      <c r="Y25" s="41">
        <f t="shared" ref="Y25" si="37">Z25+AA25</f>
        <v>5565.23</v>
      </c>
      <c r="Z25" s="17">
        <v>5565.23</v>
      </c>
      <c r="AA25" s="41">
        <v>0</v>
      </c>
      <c r="AB25" s="19">
        <v>0</v>
      </c>
      <c r="AC25" s="19">
        <v>0</v>
      </c>
      <c r="AD25" s="19">
        <v>0</v>
      </c>
      <c r="AE25" s="19">
        <f>S25+V25+Y25+AB25</f>
        <v>278261.7</v>
      </c>
      <c r="AF25" s="19">
        <v>37449.300000000003</v>
      </c>
      <c r="AG25" s="19">
        <f t="shared" ref="AG25" si="38">AE25+AF25</f>
        <v>315711</v>
      </c>
      <c r="AH25" s="20" t="s">
        <v>615</v>
      </c>
      <c r="AI25" s="38" t="s">
        <v>185</v>
      </c>
      <c r="AJ25" s="22">
        <f>36606.19+59255.8+16345.84</f>
        <v>112207.83</v>
      </c>
      <c r="AK25" s="23">
        <f>5598.59+9062.65+2499.95</f>
        <v>17161.189999999999</v>
      </c>
    </row>
    <row r="26" spans="1:37" s="165" customFormat="1" ht="283.5" x14ac:dyDescent="0.25">
      <c r="A26" s="7">
        <v>20</v>
      </c>
      <c r="B26" s="7">
        <v>118515</v>
      </c>
      <c r="C26" s="11">
        <v>429</v>
      </c>
      <c r="D26" s="7" t="s">
        <v>873</v>
      </c>
      <c r="E26" s="8" t="s">
        <v>733</v>
      </c>
      <c r="F26" s="8" t="s">
        <v>640</v>
      </c>
      <c r="G26" s="8" t="s">
        <v>979</v>
      </c>
      <c r="H26" s="11" t="s">
        <v>930</v>
      </c>
      <c r="I26" s="7" t="s">
        <v>185</v>
      </c>
      <c r="J26" s="8" t="s">
        <v>980</v>
      </c>
      <c r="K26" s="13">
        <v>43333</v>
      </c>
      <c r="L26" s="26">
        <v>43820</v>
      </c>
      <c r="M26" s="42">
        <f t="shared" si="28"/>
        <v>85</v>
      </c>
      <c r="N26" s="11">
        <v>1</v>
      </c>
      <c r="O26" s="11" t="s">
        <v>376</v>
      </c>
      <c r="P26" s="11" t="s">
        <v>376</v>
      </c>
      <c r="Q26" s="26" t="s">
        <v>213</v>
      </c>
      <c r="R26" s="7" t="s">
        <v>36</v>
      </c>
      <c r="S26" s="16">
        <f t="shared" ref="S26:S27" si="39">T26+U26</f>
        <v>339452.6</v>
      </c>
      <c r="T26" s="23">
        <v>339452.6</v>
      </c>
      <c r="U26" s="23">
        <v>0</v>
      </c>
      <c r="V26" s="16">
        <f t="shared" si="30"/>
        <v>51916.28</v>
      </c>
      <c r="W26" s="23">
        <v>51916.28</v>
      </c>
      <c r="X26" s="31">
        <v>0</v>
      </c>
      <c r="Y26" s="16">
        <f t="shared" si="31"/>
        <v>7987.12</v>
      </c>
      <c r="Z26" s="23">
        <v>7987.12</v>
      </c>
      <c r="AA26" s="23">
        <v>0</v>
      </c>
      <c r="AB26" s="16">
        <f t="shared" si="33"/>
        <v>0</v>
      </c>
      <c r="AC26" s="19">
        <v>0</v>
      </c>
      <c r="AD26" s="19">
        <v>0</v>
      </c>
      <c r="AE26" s="16">
        <f>S26+W26+Z26</f>
        <v>399356</v>
      </c>
      <c r="AF26" s="19">
        <v>58024.99</v>
      </c>
      <c r="AG26" s="16">
        <f t="shared" si="32"/>
        <v>457380.99</v>
      </c>
      <c r="AH26" s="20" t="s">
        <v>615</v>
      </c>
      <c r="AI26" s="38" t="s">
        <v>185</v>
      </c>
      <c r="AJ26" s="22">
        <f>17436.62+39132.39-4546.98+30717.43</f>
        <v>82739.459999999992</v>
      </c>
      <c r="AK26" s="22">
        <f>2549.38+4546.98+4697.96</f>
        <v>11794.32</v>
      </c>
    </row>
    <row r="27" spans="1:37" s="165" customFormat="1" ht="157.5" x14ac:dyDescent="0.25">
      <c r="A27" s="7">
        <v>21</v>
      </c>
      <c r="B27" s="7">
        <v>126161</v>
      </c>
      <c r="C27" s="11">
        <v>571</v>
      </c>
      <c r="D27" s="7" t="s">
        <v>176</v>
      </c>
      <c r="E27" s="8" t="s">
        <v>998</v>
      </c>
      <c r="F27" s="8" t="s">
        <v>1165</v>
      </c>
      <c r="G27" s="8" t="s">
        <v>1198</v>
      </c>
      <c r="H27" s="11" t="s">
        <v>1197</v>
      </c>
      <c r="I27" s="7" t="s">
        <v>185</v>
      </c>
      <c r="J27" s="8" t="s">
        <v>1199</v>
      </c>
      <c r="K27" s="13">
        <v>43444</v>
      </c>
      <c r="L27" s="26">
        <v>44265</v>
      </c>
      <c r="M27" s="42">
        <f t="shared" si="28"/>
        <v>84.999999835393808</v>
      </c>
      <c r="N27" s="11">
        <v>1</v>
      </c>
      <c r="O27" s="11" t="s">
        <v>376</v>
      </c>
      <c r="P27" s="11" t="s">
        <v>376</v>
      </c>
      <c r="Q27" s="26" t="s">
        <v>213</v>
      </c>
      <c r="R27" s="7" t="s">
        <v>36</v>
      </c>
      <c r="S27" s="16">
        <f t="shared" si="39"/>
        <v>2323727.9300000002</v>
      </c>
      <c r="T27" s="23">
        <v>2323727.9300000002</v>
      </c>
      <c r="U27" s="23">
        <v>0</v>
      </c>
      <c r="V27" s="16">
        <f t="shared" si="30"/>
        <v>355393.68</v>
      </c>
      <c r="W27" s="23">
        <v>355393.68</v>
      </c>
      <c r="X27" s="31">
        <v>0</v>
      </c>
      <c r="Y27" s="16">
        <f t="shared" si="31"/>
        <v>54675.96</v>
      </c>
      <c r="Z27" s="23">
        <v>54675.96</v>
      </c>
      <c r="AA27" s="23">
        <v>0</v>
      </c>
      <c r="AB27" s="16">
        <f t="shared" si="33"/>
        <v>0</v>
      </c>
      <c r="AC27" s="19">
        <v>0</v>
      </c>
      <c r="AD27" s="19">
        <v>0</v>
      </c>
      <c r="AE27" s="16">
        <f t="shared" ref="AE27" si="40">S27+W27+Z27</f>
        <v>2733797.5700000003</v>
      </c>
      <c r="AF27" s="19">
        <v>80920</v>
      </c>
      <c r="AG27" s="16">
        <f t="shared" si="32"/>
        <v>2814717.5700000003</v>
      </c>
      <c r="AH27" s="20" t="s">
        <v>615</v>
      </c>
      <c r="AI27" s="38"/>
      <c r="AJ27" s="22">
        <v>0</v>
      </c>
      <c r="AK27" s="22">
        <v>0</v>
      </c>
    </row>
    <row r="28" spans="1:37" s="165" customFormat="1" ht="186" customHeight="1" x14ac:dyDescent="0.25">
      <c r="A28" s="7">
        <v>22</v>
      </c>
      <c r="B28" s="7">
        <v>122823</v>
      </c>
      <c r="C28" s="11">
        <v>71</v>
      </c>
      <c r="D28" s="8" t="s">
        <v>174</v>
      </c>
      <c r="E28" s="8" t="s">
        <v>998</v>
      </c>
      <c r="F28" s="9" t="s">
        <v>361</v>
      </c>
      <c r="G28" s="43" t="s">
        <v>531</v>
      </c>
      <c r="H28" s="8" t="s">
        <v>529</v>
      </c>
      <c r="I28" s="11" t="s">
        <v>185</v>
      </c>
      <c r="J28" s="12" t="s">
        <v>530</v>
      </c>
      <c r="K28" s="13">
        <v>43244</v>
      </c>
      <c r="L28" s="26">
        <v>43732</v>
      </c>
      <c r="M28" s="44">
        <f t="shared" ref="M28:M29" si="41">S28/AE28*100</f>
        <v>85.000001791562255</v>
      </c>
      <c r="N28" s="11">
        <v>6</v>
      </c>
      <c r="O28" s="8" t="s">
        <v>527</v>
      </c>
      <c r="P28" s="8" t="s">
        <v>528</v>
      </c>
      <c r="Q28" s="43" t="s">
        <v>213</v>
      </c>
      <c r="R28" s="8" t="s">
        <v>36</v>
      </c>
      <c r="S28" s="19">
        <f t="shared" ref="S28" si="42">T28+U28</f>
        <v>355834.7</v>
      </c>
      <c r="T28" s="23">
        <v>355834.7</v>
      </c>
      <c r="U28" s="19">
        <v>0</v>
      </c>
      <c r="V28" s="40">
        <f t="shared" ref="V28" si="43">W28+X28</f>
        <v>54421.769999999982</v>
      </c>
      <c r="W28" s="22">
        <v>54421.769999999982</v>
      </c>
      <c r="X28" s="40">
        <v>0</v>
      </c>
      <c r="Y28" s="41">
        <f t="shared" ref="Y28" si="44">Z28+AA28</f>
        <v>8372.58</v>
      </c>
      <c r="Z28" s="17">
        <v>8372.58</v>
      </c>
      <c r="AA28" s="41">
        <v>0</v>
      </c>
      <c r="AB28" s="19">
        <v>0</v>
      </c>
      <c r="AC28" s="19"/>
      <c r="AD28" s="19"/>
      <c r="AE28" s="19">
        <f>S28+V28+Y28+AB28</f>
        <v>418629.05</v>
      </c>
      <c r="AF28" s="19">
        <v>0</v>
      </c>
      <c r="AG28" s="19">
        <f t="shared" ref="AG28" si="45">AE28+AF28</f>
        <v>418629.05</v>
      </c>
      <c r="AH28" s="20" t="s">
        <v>615</v>
      </c>
      <c r="AI28" s="38" t="s">
        <v>185</v>
      </c>
      <c r="AJ28" s="22">
        <f>75266.37-5365.18+40445.22-5442.14+41025.35-5438.13+40995.18</f>
        <v>181486.66999999998</v>
      </c>
      <c r="AK28" s="23">
        <f>5108.77+5365.18+5442.14+5438.13</f>
        <v>21354.22</v>
      </c>
    </row>
    <row r="29" spans="1:37" s="165" customFormat="1" ht="141.75" x14ac:dyDescent="0.25">
      <c r="A29" s="7">
        <v>23</v>
      </c>
      <c r="B29" s="9">
        <v>119767</v>
      </c>
      <c r="C29" s="9">
        <v>475</v>
      </c>
      <c r="D29" s="9" t="s">
        <v>1104</v>
      </c>
      <c r="E29" s="11" t="s">
        <v>1071</v>
      </c>
      <c r="F29" s="8" t="s">
        <v>574</v>
      </c>
      <c r="G29" s="43" t="s">
        <v>861</v>
      </c>
      <c r="H29" s="43" t="s">
        <v>862</v>
      </c>
      <c r="I29" s="11" t="s">
        <v>185</v>
      </c>
      <c r="J29" s="12" t="s">
        <v>863</v>
      </c>
      <c r="K29" s="13">
        <v>43306</v>
      </c>
      <c r="L29" s="26">
        <v>43794</v>
      </c>
      <c r="M29" s="44">
        <f t="shared" si="41"/>
        <v>85.000000000000014</v>
      </c>
      <c r="N29" s="7">
        <v>6</v>
      </c>
      <c r="O29" s="26" t="s">
        <v>527</v>
      </c>
      <c r="P29" s="26" t="s">
        <v>864</v>
      </c>
      <c r="Q29" s="26" t="s">
        <v>213</v>
      </c>
      <c r="R29" s="7" t="s">
        <v>36</v>
      </c>
      <c r="S29" s="16">
        <v>518392.9</v>
      </c>
      <c r="T29" s="16">
        <v>518392.9</v>
      </c>
      <c r="U29" s="19">
        <v>0</v>
      </c>
      <c r="V29" s="16">
        <v>79283.62</v>
      </c>
      <c r="W29" s="22">
        <v>79283.62</v>
      </c>
      <c r="X29" s="40">
        <v>0</v>
      </c>
      <c r="Y29" s="16">
        <v>12197.48</v>
      </c>
      <c r="Z29" s="45">
        <v>12197.48</v>
      </c>
      <c r="AA29" s="41">
        <v>0</v>
      </c>
      <c r="AB29" s="16">
        <f t="shared" si="33"/>
        <v>0</v>
      </c>
      <c r="AC29" s="19">
        <v>0</v>
      </c>
      <c r="AD29" s="19">
        <v>0</v>
      </c>
      <c r="AE29" s="16">
        <f>S29+V29+Y29+AB29</f>
        <v>609874</v>
      </c>
      <c r="AF29" s="19">
        <v>0</v>
      </c>
      <c r="AG29" s="16">
        <f t="shared" ref="AG29" si="46">AE29+AF29</f>
        <v>609874</v>
      </c>
      <c r="AH29" s="20" t="s">
        <v>615</v>
      </c>
      <c r="AI29" s="38" t="s">
        <v>185</v>
      </c>
      <c r="AJ29" s="22">
        <f>60000+22596.2</f>
        <v>82596.2</v>
      </c>
      <c r="AK29" s="23">
        <v>12632.36</v>
      </c>
    </row>
    <row r="30" spans="1:37" s="46" customFormat="1" ht="141.75" x14ac:dyDescent="0.25">
      <c r="A30" s="7">
        <v>24</v>
      </c>
      <c r="B30" s="7">
        <v>120599</v>
      </c>
      <c r="C30" s="11">
        <v>75</v>
      </c>
      <c r="D30" s="8" t="s">
        <v>177</v>
      </c>
      <c r="E30" s="8" t="s">
        <v>998</v>
      </c>
      <c r="F30" s="9" t="s">
        <v>361</v>
      </c>
      <c r="G30" s="43" t="s">
        <v>276</v>
      </c>
      <c r="H30" s="8" t="s">
        <v>277</v>
      </c>
      <c r="I30" s="11" t="s">
        <v>185</v>
      </c>
      <c r="J30" s="43" t="s">
        <v>865</v>
      </c>
      <c r="K30" s="13">
        <v>43145</v>
      </c>
      <c r="L30" s="26">
        <v>43630</v>
      </c>
      <c r="M30" s="44">
        <f t="shared" ref="M30:M33" si="47">S30/AE30*100</f>
        <v>84.999998786570643</v>
      </c>
      <c r="N30" s="11">
        <v>6</v>
      </c>
      <c r="O30" s="8" t="s">
        <v>292</v>
      </c>
      <c r="P30" s="8" t="s">
        <v>278</v>
      </c>
      <c r="Q30" s="43" t="s">
        <v>213</v>
      </c>
      <c r="R30" s="8" t="s">
        <v>36</v>
      </c>
      <c r="S30" s="19">
        <f t="shared" ref="S30:S33" si="48">T30+U30</f>
        <v>350247</v>
      </c>
      <c r="T30" s="16">
        <v>350247</v>
      </c>
      <c r="U30" s="19">
        <v>0</v>
      </c>
      <c r="V30" s="40">
        <f t="shared" ref="V30:V33" si="49">W30+X30</f>
        <v>53567.19</v>
      </c>
      <c r="W30" s="22">
        <v>53567.19</v>
      </c>
      <c r="X30" s="40">
        <v>0</v>
      </c>
      <c r="Y30" s="41">
        <f t="shared" ref="Y30:Y33" si="50">Z30+AA30</f>
        <v>8241.11</v>
      </c>
      <c r="Z30" s="17">
        <v>8241.11</v>
      </c>
      <c r="AA30" s="41">
        <v>0</v>
      </c>
      <c r="AB30" s="19">
        <v>0</v>
      </c>
      <c r="AC30" s="19"/>
      <c r="AD30" s="19"/>
      <c r="AE30" s="19">
        <f>S30+V30+Y30+AB30</f>
        <v>412055.3</v>
      </c>
      <c r="AF30" s="19">
        <v>0</v>
      </c>
      <c r="AG30" s="19">
        <f t="shared" ref="AG30" si="51">AE30+AF30</f>
        <v>412055.3</v>
      </c>
      <c r="AH30" s="20" t="s">
        <v>615</v>
      </c>
      <c r="AI30" s="38" t="s">
        <v>185</v>
      </c>
      <c r="AJ30" s="22">
        <v>99944.26</v>
      </c>
      <c r="AK30" s="23">
        <v>15285.57</v>
      </c>
    </row>
    <row r="31" spans="1:37" s="165" customFormat="1" ht="291" customHeight="1" x14ac:dyDescent="0.25">
      <c r="A31" s="7">
        <v>25</v>
      </c>
      <c r="B31" s="7">
        <v>119593</v>
      </c>
      <c r="C31" s="11">
        <v>467</v>
      </c>
      <c r="D31" s="7" t="s">
        <v>714</v>
      </c>
      <c r="E31" s="11" t="s">
        <v>1071</v>
      </c>
      <c r="F31" s="8" t="s">
        <v>574</v>
      </c>
      <c r="G31" s="8" t="s">
        <v>802</v>
      </c>
      <c r="H31" s="11" t="s">
        <v>803</v>
      </c>
      <c r="I31" s="7" t="s">
        <v>368</v>
      </c>
      <c r="J31" s="8" t="s">
        <v>804</v>
      </c>
      <c r="K31" s="13">
        <v>43293</v>
      </c>
      <c r="L31" s="26">
        <v>43781</v>
      </c>
      <c r="M31" s="11">
        <f t="shared" si="47"/>
        <v>84.262029230668674</v>
      </c>
      <c r="N31" s="11">
        <v>1</v>
      </c>
      <c r="O31" s="11" t="s">
        <v>582</v>
      </c>
      <c r="P31" s="11" t="s">
        <v>805</v>
      </c>
      <c r="Q31" s="11" t="s">
        <v>213</v>
      </c>
      <c r="R31" s="11" t="s">
        <v>36</v>
      </c>
      <c r="S31" s="18">
        <f t="shared" ref="S31" si="52">T31+U31</f>
        <v>349239.24</v>
      </c>
      <c r="T31" s="23">
        <v>349239.24</v>
      </c>
      <c r="U31" s="19">
        <v>0</v>
      </c>
      <c r="V31" s="18">
        <f t="shared" ref="V31" si="53">W31+X31</f>
        <v>56939.5</v>
      </c>
      <c r="W31" s="23">
        <v>56939.5</v>
      </c>
      <c r="X31" s="19">
        <v>0</v>
      </c>
      <c r="Y31" s="18">
        <f t="shared" ref="Y31" si="54">Z31+AA31</f>
        <v>4690.93</v>
      </c>
      <c r="Z31" s="23">
        <v>4690.93</v>
      </c>
      <c r="AA31" s="23">
        <v>0</v>
      </c>
      <c r="AB31" s="16">
        <f t="shared" ref="AB31" si="55">AC31+AD31</f>
        <v>3598.44</v>
      </c>
      <c r="AC31" s="19">
        <v>3598.44</v>
      </c>
      <c r="AD31" s="19">
        <v>0</v>
      </c>
      <c r="AE31" s="16">
        <f t="shared" ref="AE31" si="56">S31+V31+Y31+AB31</f>
        <v>414468.11</v>
      </c>
      <c r="AF31" s="63"/>
      <c r="AG31" s="16">
        <f t="shared" ref="AG31" si="57">AE31+AF31</f>
        <v>414468.11</v>
      </c>
      <c r="AH31" s="20" t="s">
        <v>615</v>
      </c>
      <c r="AI31" s="63"/>
      <c r="AJ31" s="28">
        <f>35492.2+30895.14+16961.29+15519.4+23454.6</f>
        <v>122322.63</v>
      </c>
      <c r="AK31" s="28">
        <f>4135.85+8894.04</f>
        <v>13029.890000000001</v>
      </c>
    </row>
    <row r="32" spans="1:37" s="165" customFormat="1" ht="215.25" customHeight="1" x14ac:dyDescent="0.25">
      <c r="A32" s="7">
        <v>26</v>
      </c>
      <c r="B32" s="7">
        <v>118690</v>
      </c>
      <c r="C32" s="11">
        <v>433</v>
      </c>
      <c r="D32" s="7" t="s">
        <v>714</v>
      </c>
      <c r="E32" s="8" t="s">
        <v>733</v>
      </c>
      <c r="F32" s="8" t="s">
        <v>640</v>
      </c>
      <c r="G32" s="8" t="s">
        <v>988</v>
      </c>
      <c r="H32" s="11" t="s">
        <v>803</v>
      </c>
      <c r="I32" s="11" t="s">
        <v>997</v>
      </c>
      <c r="J32" s="8" t="s">
        <v>989</v>
      </c>
      <c r="K32" s="13">
        <v>43333</v>
      </c>
      <c r="L32" s="26">
        <v>43790</v>
      </c>
      <c r="M32" s="11">
        <f t="shared" si="47"/>
        <v>84.169367233766351</v>
      </c>
      <c r="N32" s="11">
        <v>1</v>
      </c>
      <c r="O32" s="11" t="s">
        <v>805</v>
      </c>
      <c r="P32" s="11" t="s">
        <v>805</v>
      </c>
      <c r="Q32" s="11" t="s">
        <v>213</v>
      </c>
      <c r="R32" s="11" t="s">
        <v>990</v>
      </c>
      <c r="S32" s="19">
        <f t="shared" si="48"/>
        <v>242198.44</v>
      </c>
      <c r="T32" s="23">
        <v>242198.44</v>
      </c>
      <c r="U32" s="27">
        <v>0</v>
      </c>
      <c r="V32" s="40">
        <f t="shared" si="49"/>
        <v>39797.81</v>
      </c>
      <c r="W32" s="23">
        <v>39797.81</v>
      </c>
      <c r="X32" s="27">
        <v>0</v>
      </c>
      <c r="Y32" s="41">
        <f t="shared" si="50"/>
        <v>5755.04</v>
      </c>
      <c r="Z32" s="23">
        <v>5755.04</v>
      </c>
      <c r="AA32" s="22">
        <v>0</v>
      </c>
      <c r="AB32" s="19">
        <v>0</v>
      </c>
      <c r="AC32" s="27">
        <v>0</v>
      </c>
      <c r="AD32" s="27">
        <v>0</v>
      </c>
      <c r="AE32" s="19">
        <f t="shared" ref="AE32:AE33" si="58">S32+V32+Y32</f>
        <v>287751.28999999998</v>
      </c>
      <c r="AF32" s="63"/>
      <c r="AG32" s="19">
        <f t="shared" ref="AG32:AG33" si="59">AE32+AF32</f>
        <v>287751.28999999998</v>
      </c>
      <c r="AH32" s="20" t="s">
        <v>615</v>
      </c>
      <c r="AI32" s="63"/>
      <c r="AJ32" s="28">
        <f>28775.11+11891.84+28775.11</f>
        <v>69442.06</v>
      </c>
      <c r="AK32" s="22">
        <v>6600.82</v>
      </c>
    </row>
    <row r="33" spans="1:37" s="165" customFormat="1" ht="141.75" x14ac:dyDescent="0.25">
      <c r="A33" s="7">
        <v>27</v>
      </c>
      <c r="B33" s="7">
        <v>126412</v>
      </c>
      <c r="C33" s="11">
        <v>553</v>
      </c>
      <c r="D33" s="7" t="s">
        <v>676</v>
      </c>
      <c r="E33" s="11" t="s">
        <v>1071</v>
      </c>
      <c r="F33" s="10" t="s">
        <v>1165</v>
      </c>
      <c r="G33" s="8" t="s">
        <v>1387</v>
      </c>
      <c r="H33" s="11" t="s">
        <v>1388</v>
      </c>
      <c r="I33" s="7" t="s">
        <v>384</v>
      </c>
      <c r="J33" s="8" t="s">
        <v>1389</v>
      </c>
      <c r="K33" s="13">
        <v>43564</v>
      </c>
      <c r="L33" s="26">
        <v>44295</v>
      </c>
      <c r="M33" s="11">
        <f t="shared" si="47"/>
        <v>85.000000068999867</v>
      </c>
      <c r="N33" s="7">
        <v>1</v>
      </c>
      <c r="O33" s="11" t="s">
        <v>805</v>
      </c>
      <c r="P33" s="11" t="s">
        <v>805</v>
      </c>
      <c r="Q33" s="11" t="s">
        <v>213</v>
      </c>
      <c r="R33" s="11" t="s">
        <v>36</v>
      </c>
      <c r="S33" s="19">
        <f t="shared" si="48"/>
        <v>2463772.67</v>
      </c>
      <c r="T33" s="23">
        <v>2463772.67</v>
      </c>
      <c r="U33" s="27">
        <v>0</v>
      </c>
      <c r="V33" s="40">
        <f t="shared" si="49"/>
        <v>376812.28</v>
      </c>
      <c r="W33" s="23">
        <v>376812.28</v>
      </c>
      <c r="X33" s="27">
        <v>0</v>
      </c>
      <c r="Y33" s="41">
        <f t="shared" si="50"/>
        <v>57971.13</v>
      </c>
      <c r="Z33" s="23">
        <v>57971.13</v>
      </c>
      <c r="AA33" s="22">
        <v>0</v>
      </c>
      <c r="AB33" s="19">
        <v>0</v>
      </c>
      <c r="AC33" s="27">
        <v>0</v>
      </c>
      <c r="AD33" s="27">
        <v>0</v>
      </c>
      <c r="AE33" s="19">
        <f t="shared" si="58"/>
        <v>2898556.08</v>
      </c>
      <c r="AF33" s="63"/>
      <c r="AG33" s="19">
        <f t="shared" si="59"/>
        <v>2898556.08</v>
      </c>
      <c r="AH33" s="20" t="s">
        <v>615</v>
      </c>
      <c r="AI33" s="63"/>
      <c r="AJ33" s="28">
        <v>0</v>
      </c>
      <c r="AK33" s="28">
        <v>0</v>
      </c>
    </row>
    <row r="34" spans="1:37" s="165" customFormat="1" ht="173.25" x14ac:dyDescent="0.25">
      <c r="A34" s="7">
        <v>28</v>
      </c>
      <c r="B34" s="7">
        <v>120555</v>
      </c>
      <c r="C34" s="11">
        <v>93</v>
      </c>
      <c r="D34" s="7" t="s">
        <v>171</v>
      </c>
      <c r="E34" s="8" t="s">
        <v>998</v>
      </c>
      <c r="F34" s="9" t="s">
        <v>361</v>
      </c>
      <c r="G34" s="47" t="s">
        <v>433</v>
      </c>
      <c r="H34" s="11" t="s">
        <v>432</v>
      </c>
      <c r="I34" s="48" t="s">
        <v>434</v>
      </c>
      <c r="J34" s="12" t="s">
        <v>435</v>
      </c>
      <c r="K34" s="13">
        <v>43208</v>
      </c>
      <c r="L34" s="26">
        <v>43695</v>
      </c>
      <c r="M34" s="14">
        <f t="shared" ref="M34:M36" si="60">S34/AE34*100</f>
        <v>84.163174801247621</v>
      </c>
      <c r="N34" s="7">
        <v>2</v>
      </c>
      <c r="O34" s="7" t="s">
        <v>456</v>
      </c>
      <c r="P34" s="7" t="s">
        <v>436</v>
      </c>
      <c r="Q34" s="15" t="s">
        <v>213</v>
      </c>
      <c r="R34" s="7" t="s">
        <v>36</v>
      </c>
      <c r="S34" s="18">
        <f t="shared" ref="S34:S36" si="61">T34+U34</f>
        <v>356789.37</v>
      </c>
      <c r="T34" s="16">
        <v>356789.37</v>
      </c>
      <c r="U34" s="16">
        <v>0</v>
      </c>
      <c r="V34" s="18">
        <f t="shared" ref="V34:V36" si="62">W34+X34</f>
        <v>58657.86</v>
      </c>
      <c r="W34" s="16">
        <v>58657.86</v>
      </c>
      <c r="X34" s="16">
        <v>0</v>
      </c>
      <c r="Y34" s="18">
        <f t="shared" ref="Y34:Y36" si="63">Z34+AA34</f>
        <v>8478.52</v>
      </c>
      <c r="Z34" s="16">
        <v>8478.52</v>
      </c>
      <c r="AA34" s="16">
        <v>0</v>
      </c>
      <c r="AB34" s="16">
        <f t="shared" ref="AB34:AB36" si="64">AC34+AD34</f>
        <v>0</v>
      </c>
      <c r="AC34" s="16"/>
      <c r="AD34" s="16"/>
      <c r="AE34" s="16">
        <f t="shared" ref="AE34:AE36" si="65">S34+V34+Y34+AB34</f>
        <v>423925.75</v>
      </c>
      <c r="AF34" s="16">
        <v>0</v>
      </c>
      <c r="AG34" s="16">
        <f t="shared" ref="AG34:AG36" si="66">AE34+AF34</f>
        <v>423925.75</v>
      </c>
      <c r="AH34" s="20" t="s">
        <v>615</v>
      </c>
      <c r="AI34" s="21" t="s">
        <v>185</v>
      </c>
      <c r="AJ34" s="22">
        <f>20867.74+18218.8+30425.63+3648.09+28050.24+50726.48</f>
        <v>151936.98000000001</v>
      </c>
      <c r="AK34" s="23">
        <f>6395.02+3754.28+1987.29+1098.5+11377.64</f>
        <v>24612.73</v>
      </c>
    </row>
    <row r="35" spans="1:37" s="165" customFormat="1" ht="141.75" x14ac:dyDescent="0.25">
      <c r="A35" s="7">
        <v>29</v>
      </c>
      <c r="B35" s="7">
        <v>119189</v>
      </c>
      <c r="C35" s="11">
        <v>466</v>
      </c>
      <c r="D35" s="7" t="s">
        <v>714</v>
      </c>
      <c r="E35" s="11" t="s">
        <v>1071</v>
      </c>
      <c r="F35" s="11" t="s">
        <v>574</v>
      </c>
      <c r="G35" s="11" t="s">
        <v>715</v>
      </c>
      <c r="H35" s="11" t="s">
        <v>824</v>
      </c>
      <c r="I35" s="11" t="s">
        <v>185</v>
      </c>
      <c r="J35" s="12" t="s">
        <v>823</v>
      </c>
      <c r="K35" s="13">
        <v>43278</v>
      </c>
      <c r="L35" s="26">
        <v>43765</v>
      </c>
      <c r="M35" s="14">
        <f t="shared" si="60"/>
        <v>85.000000991333039</v>
      </c>
      <c r="N35" s="7">
        <v>2</v>
      </c>
      <c r="O35" s="7" t="s">
        <v>456</v>
      </c>
      <c r="P35" s="7" t="s">
        <v>436</v>
      </c>
      <c r="Q35" s="15" t="s">
        <v>213</v>
      </c>
      <c r="R35" s="7" t="s">
        <v>36</v>
      </c>
      <c r="S35" s="18">
        <f t="shared" si="61"/>
        <v>514458.8</v>
      </c>
      <c r="T35" s="16">
        <v>514458.8</v>
      </c>
      <c r="U35" s="16">
        <v>0</v>
      </c>
      <c r="V35" s="18">
        <f t="shared" si="62"/>
        <v>78681.929999999978</v>
      </c>
      <c r="W35" s="16">
        <v>78681.929999999978</v>
      </c>
      <c r="X35" s="16">
        <v>0</v>
      </c>
      <c r="Y35" s="18">
        <f t="shared" si="63"/>
        <v>12104.91</v>
      </c>
      <c r="Z35" s="16">
        <v>12104.91</v>
      </c>
      <c r="AA35" s="16">
        <v>0</v>
      </c>
      <c r="AB35" s="16">
        <f t="shared" si="64"/>
        <v>0</v>
      </c>
      <c r="AC35" s="16">
        <v>0</v>
      </c>
      <c r="AD35" s="16">
        <v>0</v>
      </c>
      <c r="AE35" s="16">
        <f t="shared" si="65"/>
        <v>605245.64</v>
      </c>
      <c r="AF35" s="16"/>
      <c r="AG35" s="16">
        <f t="shared" si="66"/>
        <v>605245.64</v>
      </c>
      <c r="AH35" s="20" t="s">
        <v>615</v>
      </c>
      <c r="AI35" s="21" t="s">
        <v>185</v>
      </c>
      <c r="AJ35" s="22">
        <v>44348.46</v>
      </c>
      <c r="AK35" s="23">
        <v>6782.71</v>
      </c>
    </row>
    <row r="36" spans="1:37" s="165" customFormat="1" ht="151.5" customHeight="1" x14ac:dyDescent="0.25">
      <c r="A36" s="7">
        <v>30</v>
      </c>
      <c r="B36" s="7">
        <v>125782</v>
      </c>
      <c r="C36" s="11">
        <v>520</v>
      </c>
      <c r="D36" s="7" t="s">
        <v>676</v>
      </c>
      <c r="E36" s="8" t="s">
        <v>998</v>
      </c>
      <c r="F36" s="10" t="s">
        <v>1165</v>
      </c>
      <c r="G36" s="11" t="s">
        <v>1206</v>
      </c>
      <c r="H36" s="11" t="s">
        <v>824</v>
      </c>
      <c r="I36" s="11" t="s">
        <v>185</v>
      </c>
      <c r="J36" s="12" t="s">
        <v>1207</v>
      </c>
      <c r="K36" s="13">
        <v>43445</v>
      </c>
      <c r="L36" s="26">
        <v>43872</v>
      </c>
      <c r="M36" s="14">
        <f t="shared" si="60"/>
        <v>84.999999737203865</v>
      </c>
      <c r="N36" s="7">
        <v>2</v>
      </c>
      <c r="O36" s="7" t="s">
        <v>456</v>
      </c>
      <c r="P36" s="7" t="s">
        <v>436</v>
      </c>
      <c r="Q36" s="15" t="s">
        <v>213</v>
      </c>
      <c r="R36" s="7" t="s">
        <v>36</v>
      </c>
      <c r="S36" s="18">
        <f t="shared" si="61"/>
        <v>1132056.27</v>
      </c>
      <c r="T36" s="16">
        <v>1132056.27</v>
      </c>
      <c r="U36" s="16">
        <v>0</v>
      </c>
      <c r="V36" s="18">
        <f t="shared" si="62"/>
        <v>173138.02</v>
      </c>
      <c r="W36" s="16">
        <v>173138.02</v>
      </c>
      <c r="X36" s="16">
        <v>0</v>
      </c>
      <c r="Y36" s="18">
        <f t="shared" si="63"/>
        <v>26636.62</v>
      </c>
      <c r="Z36" s="16">
        <v>26636.62</v>
      </c>
      <c r="AA36" s="22">
        <v>0</v>
      </c>
      <c r="AB36" s="16">
        <f t="shared" si="64"/>
        <v>0</v>
      </c>
      <c r="AC36" s="19">
        <v>0</v>
      </c>
      <c r="AD36" s="19">
        <v>0</v>
      </c>
      <c r="AE36" s="16">
        <f t="shared" si="65"/>
        <v>1331830.9100000001</v>
      </c>
      <c r="AF36" s="63"/>
      <c r="AG36" s="16">
        <f t="shared" si="66"/>
        <v>1331830.9100000001</v>
      </c>
      <c r="AH36" s="20" t="s">
        <v>615</v>
      </c>
      <c r="AI36" s="63"/>
      <c r="AJ36" s="28">
        <v>0</v>
      </c>
      <c r="AK36" s="22">
        <v>0</v>
      </c>
    </row>
    <row r="37" spans="1:37" s="165" customFormat="1" ht="378" x14ac:dyDescent="0.25">
      <c r="A37" s="7">
        <v>31</v>
      </c>
      <c r="B37" s="7">
        <v>111300</v>
      </c>
      <c r="C37" s="11">
        <v>123</v>
      </c>
      <c r="D37" s="7" t="s">
        <v>172</v>
      </c>
      <c r="E37" s="8" t="s">
        <v>998</v>
      </c>
      <c r="F37" s="9" t="s">
        <v>361</v>
      </c>
      <c r="G37" s="10" t="s">
        <v>297</v>
      </c>
      <c r="H37" s="10" t="s">
        <v>298</v>
      </c>
      <c r="I37" s="11" t="s">
        <v>185</v>
      </c>
      <c r="J37" s="49" t="s">
        <v>299</v>
      </c>
      <c r="K37" s="13">
        <v>43145</v>
      </c>
      <c r="L37" s="26">
        <v>43630</v>
      </c>
      <c r="M37" s="14">
        <f t="shared" ref="M37:M40" si="67">S37/AE37*100</f>
        <v>84.999999881712782</v>
      </c>
      <c r="N37" s="7">
        <v>7</v>
      </c>
      <c r="O37" s="7" t="s">
        <v>300</v>
      </c>
      <c r="P37" s="7" t="s">
        <v>301</v>
      </c>
      <c r="Q37" s="15" t="s">
        <v>213</v>
      </c>
      <c r="R37" s="11" t="s">
        <v>36</v>
      </c>
      <c r="S37" s="18">
        <f>T37+U37</f>
        <v>359294.94</v>
      </c>
      <c r="T37" s="17">
        <v>359294.94</v>
      </c>
      <c r="U37" s="18">
        <v>0</v>
      </c>
      <c r="V37" s="18">
        <f t="shared" ref="V37:V89" si="68">W37+X37</f>
        <v>54950.99</v>
      </c>
      <c r="W37" s="17">
        <v>54950.99</v>
      </c>
      <c r="X37" s="18">
        <v>0</v>
      </c>
      <c r="Y37" s="18">
        <v>8454</v>
      </c>
      <c r="Z37" s="16">
        <v>8454</v>
      </c>
      <c r="AA37" s="16">
        <v>0</v>
      </c>
      <c r="AB37" s="16">
        <f t="shared" ref="AB37:AB88" si="69">AC37+AD37</f>
        <v>0</v>
      </c>
      <c r="AC37" s="50">
        <v>0</v>
      </c>
      <c r="AD37" s="50">
        <v>0</v>
      </c>
      <c r="AE37" s="16">
        <v>422699.93</v>
      </c>
      <c r="AF37" s="16">
        <v>0</v>
      </c>
      <c r="AG37" s="16">
        <f>AE37+AF37</f>
        <v>422699.93</v>
      </c>
      <c r="AH37" s="20" t="s">
        <v>615</v>
      </c>
      <c r="AI37" s="21" t="s">
        <v>185</v>
      </c>
      <c r="AJ37" s="22">
        <f>93322.21+32434.3+9922.9+28858.69</f>
        <v>164538.1</v>
      </c>
      <c r="AK37" s="23">
        <f>14272.81+4960.54+1517.62+4413.68</f>
        <v>25164.649999999998</v>
      </c>
    </row>
    <row r="38" spans="1:37" s="165" customFormat="1" ht="166.5" customHeight="1" x14ac:dyDescent="0.25">
      <c r="A38" s="7">
        <v>32</v>
      </c>
      <c r="B38" s="7">
        <v>110505</v>
      </c>
      <c r="C38" s="11">
        <v>125</v>
      </c>
      <c r="D38" s="7" t="s">
        <v>873</v>
      </c>
      <c r="E38" s="8" t="s">
        <v>998</v>
      </c>
      <c r="F38" s="9" t="s">
        <v>361</v>
      </c>
      <c r="G38" s="10" t="s">
        <v>343</v>
      </c>
      <c r="H38" s="10" t="s">
        <v>344</v>
      </c>
      <c r="I38" s="7" t="s">
        <v>185</v>
      </c>
      <c r="J38" s="12" t="s">
        <v>347</v>
      </c>
      <c r="K38" s="13">
        <v>43173</v>
      </c>
      <c r="L38" s="26">
        <v>43660</v>
      </c>
      <c r="M38" s="14">
        <f t="shared" si="67"/>
        <v>84.99999981945335</v>
      </c>
      <c r="N38" s="7">
        <v>7</v>
      </c>
      <c r="O38" s="7" t="s">
        <v>300</v>
      </c>
      <c r="P38" s="7" t="s">
        <v>345</v>
      </c>
      <c r="Q38" s="15" t="s">
        <v>213</v>
      </c>
      <c r="R38" s="7" t="s">
        <v>36</v>
      </c>
      <c r="S38" s="18">
        <f>T38+U38</f>
        <v>470792.44</v>
      </c>
      <c r="T38" s="16">
        <v>470792.44</v>
      </c>
      <c r="U38" s="16">
        <v>0</v>
      </c>
      <c r="V38" s="18">
        <f t="shared" si="68"/>
        <v>72003.55</v>
      </c>
      <c r="W38" s="16">
        <v>72003.55</v>
      </c>
      <c r="X38" s="16">
        <v>0</v>
      </c>
      <c r="Y38" s="18">
        <f>Z38+AA38</f>
        <v>11077.47</v>
      </c>
      <c r="Z38" s="16">
        <v>11077.47</v>
      </c>
      <c r="AA38" s="16">
        <v>0</v>
      </c>
      <c r="AB38" s="16">
        <f t="shared" si="69"/>
        <v>0</v>
      </c>
      <c r="AC38" s="50">
        <v>0</v>
      </c>
      <c r="AD38" s="50">
        <v>0</v>
      </c>
      <c r="AE38" s="16">
        <f>S38+V38+Y38+AB38</f>
        <v>553873.46</v>
      </c>
      <c r="AF38" s="16">
        <v>0</v>
      </c>
      <c r="AG38" s="16">
        <f t="shared" ref="AG38:AG89" si="70">AE38+AF38</f>
        <v>553873.46</v>
      </c>
      <c r="AH38" s="20" t="s">
        <v>615</v>
      </c>
      <c r="AI38" s="21" t="s">
        <v>185</v>
      </c>
      <c r="AJ38" s="22">
        <f>176594.42+66632.22</f>
        <v>243226.64</v>
      </c>
      <c r="AK38" s="23">
        <f>27008.56+10190.81</f>
        <v>37199.370000000003</v>
      </c>
    </row>
    <row r="39" spans="1:37" s="165" customFormat="1" ht="318.75" customHeight="1" x14ac:dyDescent="0.25">
      <c r="A39" s="7">
        <v>33</v>
      </c>
      <c r="B39" s="7">
        <v>119450</v>
      </c>
      <c r="C39" s="11">
        <v>485</v>
      </c>
      <c r="D39" s="7" t="s">
        <v>177</v>
      </c>
      <c r="E39" s="11" t="s">
        <v>1071</v>
      </c>
      <c r="F39" s="9" t="s">
        <v>574</v>
      </c>
      <c r="G39" s="10" t="s">
        <v>829</v>
      </c>
      <c r="H39" s="10" t="s">
        <v>344</v>
      </c>
      <c r="I39" s="7" t="s">
        <v>185</v>
      </c>
      <c r="J39" s="12" t="s">
        <v>830</v>
      </c>
      <c r="K39" s="13">
        <v>43298</v>
      </c>
      <c r="L39" s="26">
        <v>43786</v>
      </c>
      <c r="M39" s="14">
        <f t="shared" si="67"/>
        <v>85.000002578269815</v>
      </c>
      <c r="N39" s="7">
        <v>7</v>
      </c>
      <c r="O39" s="7" t="s">
        <v>300</v>
      </c>
      <c r="P39" s="7" t="s">
        <v>345</v>
      </c>
      <c r="Q39" s="15" t="s">
        <v>213</v>
      </c>
      <c r="R39" s="7" t="s">
        <v>36</v>
      </c>
      <c r="S39" s="18">
        <f t="shared" ref="S39:S40" si="71">T39+U39</f>
        <v>329678.46000000002</v>
      </c>
      <c r="T39" s="16">
        <v>329678.46000000002</v>
      </c>
      <c r="U39" s="16">
        <v>0</v>
      </c>
      <c r="V39" s="18">
        <f t="shared" si="68"/>
        <v>50421.4</v>
      </c>
      <c r="W39" s="16">
        <v>50421.4</v>
      </c>
      <c r="X39" s="16">
        <v>0</v>
      </c>
      <c r="Y39" s="18">
        <f t="shared" ref="Y39:Y40" si="72">Z39+AA39</f>
        <v>7757.14</v>
      </c>
      <c r="Z39" s="16">
        <v>7757.14</v>
      </c>
      <c r="AA39" s="16">
        <v>0</v>
      </c>
      <c r="AB39" s="16">
        <f t="shared" si="69"/>
        <v>0</v>
      </c>
      <c r="AC39" s="50">
        <v>0</v>
      </c>
      <c r="AD39" s="50">
        <v>0</v>
      </c>
      <c r="AE39" s="16">
        <f t="shared" ref="AE39:AE40" si="73">S39+V39+Y39+AB39</f>
        <v>387857.00000000006</v>
      </c>
      <c r="AF39" s="16">
        <v>0</v>
      </c>
      <c r="AG39" s="16">
        <f t="shared" si="70"/>
        <v>387857.00000000006</v>
      </c>
      <c r="AH39" s="20" t="s">
        <v>615</v>
      </c>
      <c r="AI39" s="21" t="s">
        <v>185</v>
      </c>
      <c r="AJ39" s="22">
        <f>84630.18+30084.9</f>
        <v>114715.07999999999</v>
      </c>
      <c r="AK39" s="23">
        <f>12943.44+4601.22</f>
        <v>17544.66</v>
      </c>
    </row>
    <row r="40" spans="1:37" s="166" customFormat="1" ht="409.5" x14ac:dyDescent="0.25">
      <c r="A40" s="7">
        <v>34</v>
      </c>
      <c r="B40" s="11">
        <v>118753</v>
      </c>
      <c r="C40" s="11">
        <v>438</v>
      </c>
      <c r="D40" s="11" t="s">
        <v>873</v>
      </c>
      <c r="E40" s="8" t="s">
        <v>733</v>
      </c>
      <c r="F40" s="51" t="s">
        <v>640</v>
      </c>
      <c r="G40" s="8" t="s">
        <v>1046</v>
      </c>
      <c r="H40" s="8" t="s">
        <v>344</v>
      </c>
      <c r="I40" s="11" t="s">
        <v>185</v>
      </c>
      <c r="J40" s="8" t="s">
        <v>1048</v>
      </c>
      <c r="K40" s="26">
        <v>43348</v>
      </c>
      <c r="L40" s="26">
        <v>43651</v>
      </c>
      <c r="M40" s="32">
        <f t="shared" si="67"/>
        <v>85.000001668065067</v>
      </c>
      <c r="N40" s="7">
        <v>7</v>
      </c>
      <c r="O40" s="7" t="s">
        <v>300</v>
      </c>
      <c r="P40" s="11" t="s">
        <v>1047</v>
      </c>
      <c r="Q40" s="15" t="s">
        <v>213</v>
      </c>
      <c r="R40" s="7" t="s">
        <v>36</v>
      </c>
      <c r="S40" s="18">
        <f t="shared" si="71"/>
        <v>254786.23</v>
      </c>
      <c r="T40" s="22">
        <v>254786.23</v>
      </c>
      <c r="U40" s="16">
        <v>0</v>
      </c>
      <c r="V40" s="18">
        <f t="shared" si="68"/>
        <v>38967.300000000003</v>
      </c>
      <c r="W40" s="22">
        <v>38967.300000000003</v>
      </c>
      <c r="X40" s="16">
        <v>0</v>
      </c>
      <c r="Y40" s="18">
        <f t="shared" si="72"/>
        <v>5994.97</v>
      </c>
      <c r="Z40" s="22">
        <v>5994.97</v>
      </c>
      <c r="AA40" s="22">
        <v>0</v>
      </c>
      <c r="AB40" s="19">
        <f t="shared" si="69"/>
        <v>0</v>
      </c>
      <c r="AC40" s="33">
        <v>0</v>
      </c>
      <c r="AD40" s="33">
        <v>0</v>
      </c>
      <c r="AE40" s="19">
        <f t="shared" si="73"/>
        <v>299748.5</v>
      </c>
      <c r="AF40" s="20">
        <v>0</v>
      </c>
      <c r="AG40" s="19">
        <f t="shared" si="70"/>
        <v>299748.5</v>
      </c>
      <c r="AH40" s="20" t="s">
        <v>615</v>
      </c>
      <c r="AI40" s="21" t="s">
        <v>185</v>
      </c>
      <c r="AJ40" s="22">
        <f>56093.22+21812.7</f>
        <v>77905.919999999998</v>
      </c>
      <c r="AK40" s="23">
        <f>8578.96+3336.06</f>
        <v>11915.019999999999</v>
      </c>
    </row>
    <row r="41" spans="1:37" s="166" customFormat="1" ht="141.75" x14ac:dyDescent="0.25">
      <c r="A41" s="7">
        <v>35</v>
      </c>
      <c r="B41" s="11">
        <v>126380</v>
      </c>
      <c r="C41" s="11">
        <v>567</v>
      </c>
      <c r="D41" s="11" t="s">
        <v>177</v>
      </c>
      <c r="E41" s="8" t="s">
        <v>998</v>
      </c>
      <c r="F41" s="10" t="s">
        <v>1165</v>
      </c>
      <c r="G41" s="51" t="s">
        <v>1194</v>
      </c>
      <c r="H41" s="10" t="s">
        <v>1196</v>
      </c>
      <c r="I41" s="11" t="s">
        <v>185</v>
      </c>
      <c r="J41" s="8" t="s">
        <v>1195</v>
      </c>
      <c r="K41" s="26">
        <v>43440</v>
      </c>
      <c r="L41" s="26">
        <v>43896</v>
      </c>
      <c r="M41" s="32">
        <f>S41/AE41*100</f>
        <v>85.00000001812522</v>
      </c>
      <c r="N41" s="7">
        <v>8</v>
      </c>
      <c r="O41" s="7" t="s">
        <v>300</v>
      </c>
      <c r="P41" s="11" t="s">
        <v>345</v>
      </c>
      <c r="Q41" s="15" t="s">
        <v>213</v>
      </c>
      <c r="R41" s="7" t="s">
        <v>36</v>
      </c>
      <c r="S41" s="18">
        <f>T41+U41</f>
        <v>2344798.5</v>
      </c>
      <c r="T41" s="22">
        <v>2344798.5</v>
      </c>
      <c r="U41" s="16">
        <v>0</v>
      </c>
      <c r="V41" s="18">
        <f>W41+X41</f>
        <v>358616.24</v>
      </c>
      <c r="W41" s="22">
        <v>358616.24</v>
      </c>
      <c r="X41" s="16">
        <v>0</v>
      </c>
      <c r="Y41" s="18">
        <f>Z41+AA41</f>
        <v>55171.73</v>
      </c>
      <c r="Z41" s="22">
        <v>55171.73</v>
      </c>
      <c r="AA41" s="22">
        <v>0</v>
      </c>
      <c r="AB41" s="19">
        <f>AC41+AD41</f>
        <v>0</v>
      </c>
      <c r="AC41" s="33">
        <v>0</v>
      </c>
      <c r="AD41" s="33">
        <v>0</v>
      </c>
      <c r="AE41" s="19">
        <f>S41+V41+Y41</f>
        <v>2758586.47</v>
      </c>
      <c r="AF41" s="20">
        <v>78540</v>
      </c>
      <c r="AG41" s="19">
        <f>AE41+AF41+AC41</f>
        <v>2837126.47</v>
      </c>
      <c r="AH41" s="20" t="s">
        <v>615</v>
      </c>
      <c r="AI41" s="21"/>
      <c r="AJ41" s="22">
        <v>0</v>
      </c>
      <c r="AK41" s="23">
        <v>0</v>
      </c>
    </row>
    <row r="42" spans="1:37" s="166" customFormat="1" ht="157.5" x14ac:dyDescent="0.25">
      <c r="A42" s="7">
        <v>36</v>
      </c>
      <c r="B42" s="11">
        <v>126524</v>
      </c>
      <c r="C42" s="11">
        <v>552</v>
      </c>
      <c r="D42" s="11" t="s">
        <v>177</v>
      </c>
      <c r="E42" s="8" t="s">
        <v>998</v>
      </c>
      <c r="F42" s="10" t="s">
        <v>1165</v>
      </c>
      <c r="G42" s="8" t="s">
        <v>1261</v>
      </c>
      <c r="H42" s="8" t="s">
        <v>1262</v>
      </c>
      <c r="I42" s="11" t="s">
        <v>185</v>
      </c>
      <c r="J42" s="8" t="s">
        <v>1263</v>
      </c>
      <c r="K42" s="26">
        <v>43480</v>
      </c>
      <c r="L42" s="26">
        <v>44027</v>
      </c>
      <c r="M42" s="32">
        <f t="shared" ref="M42" si="74">S42/AE42*100</f>
        <v>84.99999981002415</v>
      </c>
      <c r="N42" s="7">
        <v>8</v>
      </c>
      <c r="O42" s="7" t="s">
        <v>300</v>
      </c>
      <c r="P42" s="11" t="s">
        <v>345</v>
      </c>
      <c r="Q42" s="15" t="s">
        <v>213</v>
      </c>
      <c r="R42" s="7" t="s">
        <v>36</v>
      </c>
      <c r="S42" s="18">
        <f t="shared" ref="S42" si="75">T42+U42</f>
        <v>2460839.27</v>
      </c>
      <c r="T42" s="22">
        <v>2460839.27</v>
      </c>
      <c r="U42" s="16">
        <v>0</v>
      </c>
      <c r="V42" s="18">
        <f t="shared" ref="V42" si="76">W42+X42</f>
        <v>376363.66</v>
      </c>
      <c r="W42" s="22">
        <v>376363.66</v>
      </c>
      <c r="X42" s="16"/>
      <c r="Y42" s="18">
        <f t="shared" ref="Y42" si="77">Z42+AA42</f>
        <v>57902.1</v>
      </c>
      <c r="Z42" s="22">
        <v>57902.1</v>
      </c>
      <c r="AA42" s="22">
        <v>0</v>
      </c>
      <c r="AB42" s="19">
        <f t="shared" ref="AB42" si="78">AC42+AD42</f>
        <v>0</v>
      </c>
      <c r="AC42" s="33">
        <v>0</v>
      </c>
      <c r="AD42" s="33">
        <v>0</v>
      </c>
      <c r="AE42" s="19">
        <f t="shared" ref="AE42" si="79">S42+V42+Y42</f>
        <v>2895105.0300000003</v>
      </c>
      <c r="AF42" s="20"/>
      <c r="AG42" s="19">
        <f t="shared" ref="AG42" si="80">AE42+AF42+AC42</f>
        <v>2895105.0300000003</v>
      </c>
      <c r="AH42" s="20"/>
      <c r="AI42" s="21"/>
      <c r="AJ42" s="22">
        <v>0</v>
      </c>
      <c r="AK42" s="23">
        <v>0</v>
      </c>
    </row>
    <row r="43" spans="1:37" s="165" customFormat="1" ht="220.5" x14ac:dyDescent="0.25">
      <c r="A43" s="7">
        <v>37</v>
      </c>
      <c r="B43" s="7">
        <v>120503</v>
      </c>
      <c r="C43" s="11">
        <v>80</v>
      </c>
      <c r="D43" s="7" t="s">
        <v>168</v>
      </c>
      <c r="E43" s="8" t="s">
        <v>998</v>
      </c>
      <c r="F43" s="9" t="s">
        <v>360</v>
      </c>
      <c r="G43" s="47" t="s">
        <v>341</v>
      </c>
      <c r="H43" s="10" t="s">
        <v>340</v>
      </c>
      <c r="I43" s="11" t="s">
        <v>185</v>
      </c>
      <c r="J43" s="12" t="s">
        <v>346</v>
      </c>
      <c r="K43" s="13">
        <v>43173</v>
      </c>
      <c r="L43" s="26">
        <v>43599</v>
      </c>
      <c r="M43" s="14">
        <f t="shared" ref="M43" si="81">S43/AE43*100</f>
        <v>79.999997969650394</v>
      </c>
      <c r="N43" s="7">
        <v>8</v>
      </c>
      <c r="O43" s="7" t="s">
        <v>342</v>
      </c>
      <c r="P43" s="7" t="s">
        <v>156</v>
      </c>
      <c r="Q43" s="15" t="s">
        <v>213</v>
      </c>
      <c r="R43" s="7" t="s">
        <v>36</v>
      </c>
      <c r="S43" s="18">
        <f t="shared" ref="S43:S46" si="82">T43+U43</f>
        <v>315216.64000000001</v>
      </c>
      <c r="T43" s="16">
        <v>0</v>
      </c>
      <c r="U43" s="16">
        <v>315216.64000000001</v>
      </c>
      <c r="V43" s="18">
        <f>W43+X43</f>
        <v>70923.75</v>
      </c>
      <c r="W43" s="16">
        <v>0</v>
      </c>
      <c r="X43" s="16">
        <v>70923.75</v>
      </c>
      <c r="Y43" s="18">
        <f t="shared" ref="Y43:Y46" si="83">Z43+AA43</f>
        <v>7880.42</v>
      </c>
      <c r="Z43" s="16">
        <v>0</v>
      </c>
      <c r="AA43" s="16">
        <v>7880.42</v>
      </c>
      <c r="AB43" s="16">
        <f t="shared" si="69"/>
        <v>0</v>
      </c>
      <c r="AC43" s="50">
        <v>0</v>
      </c>
      <c r="AD43" s="50">
        <v>0</v>
      </c>
      <c r="AE43" s="16">
        <f>S43+V43+Y43+AB43</f>
        <v>394020.81</v>
      </c>
      <c r="AF43" s="16">
        <v>0</v>
      </c>
      <c r="AG43" s="16">
        <f t="shared" si="70"/>
        <v>394020.81</v>
      </c>
      <c r="AH43" s="20" t="s">
        <v>615</v>
      </c>
      <c r="AI43" s="21" t="s">
        <v>185</v>
      </c>
      <c r="AJ43" s="23">
        <f>156760.98+76482.15</f>
        <v>233243.13</v>
      </c>
      <c r="AK43" s="23">
        <f>35271.23+17208.49</f>
        <v>52479.72</v>
      </c>
    </row>
    <row r="44" spans="1:37" s="165" customFormat="1" ht="225" x14ac:dyDescent="0.25">
      <c r="A44" s="7">
        <v>38</v>
      </c>
      <c r="B44" s="7">
        <v>120710</v>
      </c>
      <c r="C44" s="11">
        <v>103</v>
      </c>
      <c r="D44" s="7" t="s">
        <v>168</v>
      </c>
      <c r="E44" s="8" t="s">
        <v>998</v>
      </c>
      <c r="F44" s="52" t="s">
        <v>360</v>
      </c>
      <c r="G44" s="168" t="s">
        <v>482</v>
      </c>
      <c r="H44" s="10" t="s">
        <v>483</v>
      </c>
      <c r="I44" s="7" t="s">
        <v>185</v>
      </c>
      <c r="J44" s="53" t="s">
        <v>484</v>
      </c>
      <c r="K44" s="13">
        <v>43227</v>
      </c>
      <c r="L44" s="26">
        <v>43715</v>
      </c>
      <c r="M44" s="14">
        <f>S44/AE44*100</f>
        <v>79.999999056893557</v>
      </c>
      <c r="N44" s="7">
        <v>8</v>
      </c>
      <c r="O44" s="7" t="s">
        <v>342</v>
      </c>
      <c r="P44" s="7" t="s">
        <v>156</v>
      </c>
      <c r="Q44" s="7" t="s">
        <v>213</v>
      </c>
      <c r="R44" s="7" t="s">
        <v>36</v>
      </c>
      <c r="S44" s="18">
        <f t="shared" si="82"/>
        <v>339304.22</v>
      </c>
      <c r="T44" s="33">
        <v>0</v>
      </c>
      <c r="U44" s="169">
        <v>339304.22</v>
      </c>
      <c r="V44" s="18">
        <f t="shared" si="68"/>
        <v>76343.45</v>
      </c>
      <c r="W44" s="33">
        <v>0</v>
      </c>
      <c r="X44" s="169">
        <v>76343.45</v>
      </c>
      <c r="Y44" s="18">
        <f t="shared" si="83"/>
        <v>8482.61</v>
      </c>
      <c r="Z44" s="22">
        <v>0</v>
      </c>
      <c r="AA44" s="16">
        <v>8482.61</v>
      </c>
      <c r="AB44" s="16">
        <f t="shared" si="69"/>
        <v>0</v>
      </c>
      <c r="AC44" s="23">
        <v>0</v>
      </c>
      <c r="AD44" s="23">
        <v>0</v>
      </c>
      <c r="AE44" s="16">
        <f t="shared" ref="AE44:AE46" si="84">S44+V44+Y44+AB44</f>
        <v>424130.27999999997</v>
      </c>
      <c r="AF44" s="63">
        <v>0</v>
      </c>
      <c r="AG44" s="16">
        <f t="shared" si="70"/>
        <v>424130.27999999997</v>
      </c>
      <c r="AH44" s="20" t="s">
        <v>615</v>
      </c>
      <c r="AI44" s="54" t="s">
        <v>185</v>
      </c>
      <c r="AJ44" s="23">
        <v>52550.400000000001</v>
      </c>
      <c r="AK44" s="23">
        <v>11823.84</v>
      </c>
    </row>
    <row r="45" spans="1:37" s="165" customFormat="1" ht="150" x14ac:dyDescent="0.25">
      <c r="A45" s="7">
        <v>39</v>
      </c>
      <c r="B45" s="7">
        <v>117665</v>
      </c>
      <c r="C45" s="11">
        <v>413</v>
      </c>
      <c r="D45" s="7" t="s">
        <v>714</v>
      </c>
      <c r="E45" s="8" t="s">
        <v>733</v>
      </c>
      <c r="F45" s="8" t="s">
        <v>641</v>
      </c>
      <c r="G45" s="168" t="s">
        <v>784</v>
      </c>
      <c r="H45" s="10" t="s">
        <v>340</v>
      </c>
      <c r="I45" s="7" t="s">
        <v>185</v>
      </c>
      <c r="J45" s="53" t="s">
        <v>785</v>
      </c>
      <c r="K45" s="13">
        <v>43290</v>
      </c>
      <c r="L45" s="26">
        <v>43616</v>
      </c>
      <c r="M45" s="14">
        <f>S45/AE45*100</f>
        <v>80</v>
      </c>
      <c r="N45" s="7">
        <v>8</v>
      </c>
      <c r="O45" s="7" t="s">
        <v>342</v>
      </c>
      <c r="P45" s="7" t="s">
        <v>342</v>
      </c>
      <c r="Q45" s="7" t="s">
        <v>213</v>
      </c>
      <c r="R45" s="7" t="s">
        <v>36</v>
      </c>
      <c r="S45" s="18">
        <f t="shared" si="82"/>
        <v>224534.64</v>
      </c>
      <c r="T45" s="33">
        <v>0</v>
      </c>
      <c r="U45" s="16">
        <v>224534.64</v>
      </c>
      <c r="V45" s="18">
        <f t="shared" si="68"/>
        <v>50520.29</v>
      </c>
      <c r="W45" s="33">
        <v>0</v>
      </c>
      <c r="X45" s="16">
        <v>50520.29</v>
      </c>
      <c r="Y45" s="18">
        <f t="shared" si="83"/>
        <v>5613.37</v>
      </c>
      <c r="Z45" s="22">
        <v>0</v>
      </c>
      <c r="AA45" s="16">
        <v>5613.37</v>
      </c>
      <c r="AB45" s="16">
        <f t="shared" si="69"/>
        <v>0</v>
      </c>
      <c r="AC45" s="23">
        <v>0</v>
      </c>
      <c r="AD45" s="23">
        <v>0</v>
      </c>
      <c r="AE45" s="16">
        <f t="shared" si="84"/>
        <v>280668.3</v>
      </c>
      <c r="AF45" s="63">
        <v>0</v>
      </c>
      <c r="AG45" s="16">
        <f t="shared" si="70"/>
        <v>280668.3</v>
      </c>
      <c r="AH45" s="20" t="s">
        <v>615</v>
      </c>
      <c r="AI45" s="54" t="s">
        <v>1406</v>
      </c>
      <c r="AJ45" s="39">
        <v>12137.6</v>
      </c>
      <c r="AK45" s="23">
        <v>2730.96</v>
      </c>
    </row>
    <row r="46" spans="1:37" s="165" customFormat="1" ht="60" customHeight="1" x14ac:dyDescent="0.25">
      <c r="A46" s="7">
        <v>40</v>
      </c>
      <c r="B46" s="7">
        <v>117676</v>
      </c>
      <c r="C46" s="11">
        <v>414</v>
      </c>
      <c r="D46" s="7" t="s">
        <v>714</v>
      </c>
      <c r="E46" s="8" t="s">
        <v>733</v>
      </c>
      <c r="F46" s="9" t="s">
        <v>641</v>
      </c>
      <c r="G46" s="168" t="s">
        <v>1049</v>
      </c>
      <c r="H46" s="10" t="s">
        <v>1050</v>
      </c>
      <c r="I46" s="7" t="s">
        <v>185</v>
      </c>
      <c r="J46" s="53" t="s">
        <v>1051</v>
      </c>
      <c r="K46" s="13">
        <v>43348</v>
      </c>
      <c r="L46" s="26">
        <v>43713</v>
      </c>
      <c r="M46" s="14">
        <f t="shared" ref="M46:M47" si="85">S46/AE46*100</f>
        <v>80.000002000969275</v>
      </c>
      <c r="N46" s="7">
        <v>8</v>
      </c>
      <c r="O46" s="7" t="s">
        <v>342</v>
      </c>
      <c r="P46" s="7" t="s">
        <v>156</v>
      </c>
      <c r="Q46" s="7" t="s">
        <v>213</v>
      </c>
      <c r="R46" s="7" t="s">
        <v>36</v>
      </c>
      <c r="S46" s="18">
        <f t="shared" si="82"/>
        <v>239883.75</v>
      </c>
      <c r="T46" s="22">
        <v>0</v>
      </c>
      <c r="U46" s="16">
        <v>239883.75</v>
      </c>
      <c r="V46" s="18">
        <f t="shared" si="68"/>
        <v>53973.85</v>
      </c>
      <c r="W46" s="22">
        <v>0</v>
      </c>
      <c r="X46" s="16">
        <v>53973.85</v>
      </c>
      <c r="Y46" s="18">
        <f t="shared" si="83"/>
        <v>5997.08</v>
      </c>
      <c r="Z46" s="22">
        <v>0</v>
      </c>
      <c r="AA46" s="16">
        <v>5997.08</v>
      </c>
      <c r="AB46" s="16">
        <f t="shared" si="69"/>
        <v>0</v>
      </c>
      <c r="AC46" s="31">
        <v>0</v>
      </c>
      <c r="AD46" s="31">
        <v>0</v>
      </c>
      <c r="AE46" s="16">
        <f t="shared" si="84"/>
        <v>299854.68</v>
      </c>
      <c r="AF46" s="63">
        <v>0</v>
      </c>
      <c r="AG46" s="16">
        <f t="shared" si="70"/>
        <v>299854.68</v>
      </c>
      <c r="AH46" s="20" t="s">
        <v>615</v>
      </c>
      <c r="AI46" s="63"/>
      <c r="AJ46" s="39">
        <v>39088.01</v>
      </c>
      <c r="AK46" s="39">
        <v>8794.7999999999993</v>
      </c>
    </row>
    <row r="47" spans="1:37" s="165" customFormat="1" ht="120" customHeight="1" x14ac:dyDescent="0.25">
      <c r="A47" s="7">
        <v>41</v>
      </c>
      <c r="B47" s="7">
        <v>126477</v>
      </c>
      <c r="C47" s="11">
        <v>507</v>
      </c>
      <c r="D47" s="7" t="s">
        <v>676</v>
      </c>
      <c r="E47" s="8" t="s">
        <v>998</v>
      </c>
      <c r="F47" s="9" t="s">
        <v>1172</v>
      </c>
      <c r="G47" s="168" t="s">
        <v>1173</v>
      </c>
      <c r="H47" s="10" t="s">
        <v>1174</v>
      </c>
      <c r="I47" s="7" t="s">
        <v>451</v>
      </c>
      <c r="J47" s="53" t="s">
        <v>1175</v>
      </c>
      <c r="K47" s="13">
        <v>43433</v>
      </c>
      <c r="L47" s="26">
        <v>43980</v>
      </c>
      <c r="M47" s="14">
        <f t="shared" si="85"/>
        <v>79.999999536713688</v>
      </c>
      <c r="N47" s="7">
        <v>8</v>
      </c>
      <c r="O47" s="7" t="s">
        <v>342</v>
      </c>
      <c r="P47" s="7" t="s">
        <v>342</v>
      </c>
      <c r="Q47" s="7" t="s">
        <v>213</v>
      </c>
      <c r="R47" s="7" t="s">
        <v>36</v>
      </c>
      <c r="S47" s="18">
        <f>T47+U47</f>
        <v>3108229.07</v>
      </c>
      <c r="T47" s="22"/>
      <c r="U47" s="16">
        <v>3108229.07</v>
      </c>
      <c r="V47" s="18">
        <f>W47+X47</f>
        <v>699351.56</v>
      </c>
      <c r="W47" s="22"/>
      <c r="X47" s="16">
        <v>699351.56</v>
      </c>
      <c r="Y47" s="18">
        <f>Z47+AA47</f>
        <v>77705.73</v>
      </c>
      <c r="Z47" s="22"/>
      <c r="AA47" s="16">
        <v>77705.73</v>
      </c>
      <c r="AB47" s="16">
        <f>AC47+AD47</f>
        <v>0</v>
      </c>
      <c r="AC47" s="31"/>
      <c r="AD47" s="31"/>
      <c r="AE47" s="16">
        <f>S47+V47+Y47+AB47</f>
        <v>3885286.36</v>
      </c>
      <c r="AF47" s="63"/>
      <c r="AG47" s="16">
        <f>AE47+AF47</f>
        <v>3885286.36</v>
      </c>
      <c r="AH47" s="20" t="s">
        <v>615</v>
      </c>
      <c r="AI47" s="63" t="s">
        <v>185</v>
      </c>
      <c r="AJ47" s="39">
        <v>31416</v>
      </c>
      <c r="AK47" s="39">
        <v>7068.6</v>
      </c>
    </row>
    <row r="48" spans="1:37" s="165" customFormat="1" ht="60" customHeight="1" x14ac:dyDescent="0.25">
      <c r="A48" s="7">
        <v>42</v>
      </c>
      <c r="B48" s="7">
        <v>126372</v>
      </c>
      <c r="C48" s="11">
        <v>510</v>
      </c>
      <c r="D48" s="7" t="s">
        <v>676</v>
      </c>
      <c r="E48" s="8" t="s">
        <v>998</v>
      </c>
      <c r="F48" s="9" t="s">
        <v>1172</v>
      </c>
      <c r="G48" s="168" t="s">
        <v>1203</v>
      </c>
      <c r="H48" s="10" t="s">
        <v>1204</v>
      </c>
      <c r="I48" s="7" t="s">
        <v>451</v>
      </c>
      <c r="J48" s="53" t="s">
        <v>1205</v>
      </c>
      <c r="K48" s="13">
        <v>43445</v>
      </c>
      <c r="L48" s="26">
        <v>44358</v>
      </c>
      <c r="M48" s="14">
        <f>S48/AE48*100</f>
        <v>80</v>
      </c>
      <c r="N48" s="7">
        <v>8</v>
      </c>
      <c r="O48" s="7" t="s">
        <v>342</v>
      </c>
      <c r="P48" s="7" t="s">
        <v>342</v>
      </c>
      <c r="Q48" s="7" t="s">
        <v>213</v>
      </c>
      <c r="R48" s="7" t="s">
        <v>36</v>
      </c>
      <c r="S48" s="18">
        <f>T48+U48</f>
        <v>2932376.8</v>
      </c>
      <c r="T48" s="22">
        <v>0</v>
      </c>
      <c r="U48" s="16">
        <v>2932376.8</v>
      </c>
      <c r="V48" s="18">
        <f>W48+X48</f>
        <v>659784.78</v>
      </c>
      <c r="W48" s="22">
        <v>0</v>
      </c>
      <c r="X48" s="16">
        <v>659784.78</v>
      </c>
      <c r="Y48" s="18">
        <f>Z48+AA48</f>
        <v>73309.42</v>
      </c>
      <c r="Z48" s="22">
        <v>0</v>
      </c>
      <c r="AA48" s="16">
        <v>73309.42</v>
      </c>
      <c r="AB48" s="16">
        <f>AC48+AD48</f>
        <v>0</v>
      </c>
      <c r="AC48" s="23">
        <v>0</v>
      </c>
      <c r="AD48" s="23">
        <v>0</v>
      </c>
      <c r="AE48" s="16">
        <f>S48+V48+Y48+AB48</f>
        <v>3665471</v>
      </c>
      <c r="AF48" s="27">
        <v>127687</v>
      </c>
      <c r="AG48" s="16">
        <f>AE48+AF48</f>
        <v>3793158</v>
      </c>
      <c r="AH48" s="20" t="s">
        <v>615</v>
      </c>
      <c r="AI48" s="63" t="s">
        <v>185</v>
      </c>
      <c r="AJ48" s="39">
        <v>0</v>
      </c>
      <c r="AK48" s="39">
        <v>0</v>
      </c>
    </row>
    <row r="49" spans="1:37" s="165" customFormat="1" ht="285" x14ac:dyDescent="0.25">
      <c r="A49" s="7">
        <v>43</v>
      </c>
      <c r="B49" s="7">
        <v>118335</v>
      </c>
      <c r="C49" s="7">
        <v>427</v>
      </c>
      <c r="D49" s="7" t="s">
        <v>873</v>
      </c>
      <c r="E49" s="8" t="s">
        <v>733</v>
      </c>
      <c r="F49" s="9" t="s">
        <v>640</v>
      </c>
      <c r="G49" s="47" t="s">
        <v>720</v>
      </c>
      <c r="H49" s="10" t="s">
        <v>721</v>
      </c>
      <c r="I49" s="7" t="s">
        <v>185</v>
      </c>
      <c r="J49" s="53" t="s">
        <v>726</v>
      </c>
      <c r="K49" s="13">
        <v>43284</v>
      </c>
      <c r="L49" s="26">
        <v>43711</v>
      </c>
      <c r="M49" s="14">
        <f t="shared" ref="M49:M57" si="86">S49/AE49*100</f>
        <v>85.000001775483071</v>
      </c>
      <c r="N49" s="7">
        <v>2</v>
      </c>
      <c r="O49" s="7" t="s">
        <v>722</v>
      </c>
      <c r="P49" s="7" t="s">
        <v>722</v>
      </c>
      <c r="Q49" s="7" t="s">
        <v>213</v>
      </c>
      <c r="R49" s="7" t="s">
        <v>36</v>
      </c>
      <c r="S49" s="18">
        <v>239371.48</v>
      </c>
      <c r="T49" s="16">
        <v>239371.48</v>
      </c>
      <c r="U49" s="23">
        <v>0</v>
      </c>
      <c r="V49" s="18">
        <v>36609.75</v>
      </c>
      <c r="W49" s="16">
        <v>36609.75</v>
      </c>
      <c r="X49" s="31">
        <v>0</v>
      </c>
      <c r="Y49" s="18">
        <v>5632.27</v>
      </c>
      <c r="Z49" s="16">
        <v>5632.27</v>
      </c>
      <c r="AA49" s="23">
        <v>0</v>
      </c>
      <c r="AB49" s="16">
        <f t="shared" si="69"/>
        <v>0</v>
      </c>
      <c r="AC49" s="23">
        <v>0</v>
      </c>
      <c r="AD49" s="23">
        <v>0</v>
      </c>
      <c r="AE49" s="16">
        <f t="shared" ref="AE49:AE52" si="87">S49+V49+Y49+AB49</f>
        <v>281613.5</v>
      </c>
      <c r="AF49" s="63">
        <v>0</v>
      </c>
      <c r="AG49" s="16">
        <f t="shared" si="70"/>
        <v>281613.5</v>
      </c>
      <c r="AH49" s="20" t="s">
        <v>615</v>
      </c>
      <c r="AI49" s="63" t="s">
        <v>1409</v>
      </c>
      <c r="AJ49" s="39">
        <v>13721.01</v>
      </c>
      <c r="AK49" s="39">
        <v>2098.5</v>
      </c>
    </row>
    <row r="50" spans="1:37" s="165" customFormat="1" ht="346.5" x14ac:dyDescent="0.25">
      <c r="A50" s="7">
        <v>44</v>
      </c>
      <c r="B50" s="7">
        <v>118396</v>
      </c>
      <c r="C50" s="7">
        <v>428</v>
      </c>
      <c r="D50" s="7" t="s">
        <v>1351</v>
      </c>
      <c r="E50" s="8" t="s">
        <v>733</v>
      </c>
      <c r="F50" s="9" t="s">
        <v>640</v>
      </c>
      <c r="G50" s="55" t="s">
        <v>889</v>
      </c>
      <c r="H50" s="10" t="s">
        <v>890</v>
      </c>
      <c r="I50" s="7" t="s">
        <v>837</v>
      </c>
      <c r="J50" s="56" t="s">
        <v>891</v>
      </c>
      <c r="K50" s="13">
        <v>43312</v>
      </c>
      <c r="L50" s="26">
        <v>43799</v>
      </c>
      <c r="M50" s="14">
        <f t="shared" si="86"/>
        <v>84.20987828497924</v>
      </c>
      <c r="N50" s="57">
        <v>2</v>
      </c>
      <c r="O50" s="7" t="s">
        <v>722</v>
      </c>
      <c r="P50" s="7" t="s">
        <v>722</v>
      </c>
      <c r="Q50" s="7" t="s">
        <v>213</v>
      </c>
      <c r="R50" s="7" t="s">
        <v>36</v>
      </c>
      <c r="S50" s="23">
        <f>T50</f>
        <v>326851.75</v>
      </c>
      <c r="T50" s="23">
        <v>326851.75</v>
      </c>
      <c r="U50" s="23">
        <v>0</v>
      </c>
      <c r="V50" s="18">
        <f t="shared" si="68"/>
        <v>53524.9</v>
      </c>
      <c r="W50" s="23">
        <v>53524.9</v>
      </c>
      <c r="X50" s="23">
        <v>0</v>
      </c>
      <c r="Y50" s="23">
        <f>Z50+AA50</f>
        <v>7762.79</v>
      </c>
      <c r="Z50" s="23">
        <v>7762.79</v>
      </c>
      <c r="AA50" s="23">
        <v>0</v>
      </c>
      <c r="AB50" s="16">
        <f t="shared" si="69"/>
        <v>0</v>
      </c>
      <c r="AC50" s="23">
        <v>0</v>
      </c>
      <c r="AD50" s="23">
        <v>0</v>
      </c>
      <c r="AE50" s="16">
        <f t="shared" si="87"/>
        <v>388139.44</v>
      </c>
      <c r="AF50" s="63">
        <v>0</v>
      </c>
      <c r="AG50" s="16">
        <f t="shared" si="70"/>
        <v>388139.44</v>
      </c>
      <c r="AH50" s="20" t="s">
        <v>615</v>
      </c>
      <c r="AI50" s="63"/>
      <c r="AJ50" s="39">
        <f>38178.44+14834.2+3.22+14453.49</f>
        <v>67469.350000000006</v>
      </c>
      <c r="AK50" s="39">
        <f>3425.9+2621.59-3.22+2550.61</f>
        <v>8594.8799999999992</v>
      </c>
    </row>
    <row r="51" spans="1:37" s="165" customFormat="1" ht="189" x14ac:dyDescent="0.25">
      <c r="A51" s="7">
        <v>45</v>
      </c>
      <c r="B51" s="7">
        <v>119892</v>
      </c>
      <c r="C51" s="11">
        <v>480</v>
      </c>
      <c r="D51" s="7" t="s">
        <v>168</v>
      </c>
      <c r="E51" s="11" t="s">
        <v>1071</v>
      </c>
      <c r="F51" s="9" t="s">
        <v>574</v>
      </c>
      <c r="G51" s="48" t="s">
        <v>1127</v>
      </c>
      <c r="H51" s="24" t="s">
        <v>1128</v>
      </c>
      <c r="I51" s="11" t="s">
        <v>451</v>
      </c>
      <c r="J51" s="12" t="s">
        <v>1129</v>
      </c>
      <c r="K51" s="26">
        <v>43389</v>
      </c>
      <c r="L51" s="26">
        <v>43661</v>
      </c>
      <c r="M51" s="14">
        <f t="shared" si="86"/>
        <v>85.000001891187381</v>
      </c>
      <c r="N51" s="7">
        <v>2</v>
      </c>
      <c r="O51" s="11" t="s">
        <v>722</v>
      </c>
      <c r="P51" s="7" t="s">
        <v>1130</v>
      </c>
      <c r="Q51" s="58" t="s">
        <v>213</v>
      </c>
      <c r="R51" s="59" t="s">
        <v>578</v>
      </c>
      <c r="S51" s="60">
        <f>T51+U51</f>
        <v>337089.82</v>
      </c>
      <c r="T51" s="23">
        <v>337089.82</v>
      </c>
      <c r="U51" s="23">
        <v>0</v>
      </c>
      <c r="V51" s="18">
        <f t="shared" si="68"/>
        <v>51554.91</v>
      </c>
      <c r="W51" s="16">
        <v>51554.91</v>
      </c>
      <c r="X51" s="6">
        <v>0</v>
      </c>
      <c r="Y51" s="61">
        <f>Z51+AA51</f>
        <v>7931.52</v>
      </c>
      <c r="Z51" s="62">
        <v>7931.52</v>
      </c>
      <c r="AA51" s="23">
        <v>0</v>
      </c>
      <c r="AB51" s="59">
        <v>0</v>
      </c>
      <c r="AC51" s="11">
        <v>0</v>
      </c>
      <c r="AD51" s="23">
        <v>0</v>
      </c>
      <c r="AE51" s="16">
        <f t="shared" si="87"/>
        <v>396576.25</v>
      </c>
      <c r="AF51" s="6">
        <v>0</v>
      </c>
      <c r="AG51" s="16">
        <f t="shared" si="70"/>
        <v>396576.25</v>
      </c>
      <c r="AH51" s="6" t="s">
        <v>615</v>
      </c>
      <c r="AI51" s="63"/>
      <c r="AJ51" s="28">
        <v>0</v>
      </c>
      <c r="AK51" s="22">
        <v>0</v>
      </c>
    </row>
    <row r="52" spans="1:37" s="165" customFormat="1" ht="157.5" x14ac:dyDescent="0.25">
      <c r="A52" s="7">
        <v>46</v>
      </c>
      <c r="B52" s="7">
        <v>126446</v>
      </c>
      <c r="C52" s="11">
        <v>543</v>
      </c>
      <c r="D52" s="7" t="s">
        <v>174</v>
      </c>
      <c r="E52" s="11" t="s">
        <v>998</v>
      </c>
      <c r="F52" s="9" t="s">
        <v>1165</v>
      </c>
      <c r="G52" s="8" t="s">
        <v>1168</v>
      </c>
      <c r="H52" s="24" t="s">
        <v>1128</v>
      </c>
      <c r="I52" s="11" t="s">
        <v>451</v>
      </c>
      <c r="J52" s="12" t="s">
        <v>1169</v>
      </c>
      <c r="K52" s="13">
        <v>43430</v>
      </c>
      <c r="L52" s="26">
        <v>44253</v>
      </c>
      <c r="M52" s="14">
        <f t="shared" si="86"/>
        <v>85.000000017455704</v>
      </c>
      <c r="N52" s="7">
        <v>2</v>
      </c>
      <c r="O52" s="11" t="s">
        <v>722</v>
      </c>
      <c r="P52" s="7" t="s">
        <v>1130</v>
      </c>
      <c r="Q52" s="58" t="s">
        <v>213</v>
      </c>
      <c r="R52" s="59" t="s">
        <v>578</v>
      </c>
      <c r="S52" s="60">
        <f t="shared" ref="S52" si="88">T52+U52</f>
        <v>2434734.11</v>
      </c>
      <c r="T52" s="23">
        <v>2434734.11</v>
      </c>
      <c r="U52" s="23">
        <v>0</v>
      </c>
      <c r="V52" s="18">
        <f t="shared" si="68"/>
        <v>372371.1</v>
      </c>
      <c r="W52" s="16">
        <v>372371.1</v>
      </c>
      <c r="X52" s="6">
        <v>0</v>
      </c>
      <c r="Y52" s="61">
        <f t="shared" ref="Y52" si="89">Z52+AA52</f>
        <v>57287.86</v>
      </c>
      <c r="Z52" s="62">
        <v>57287.86</v>
      </c>
      <c r="AA52" s="23">
        <v>0</v>
      </c>
      <c r="AB52" s="16">
        <f t="shared" si="69"/>
        <v>0</v>
      </c>
      <c r="AC52" s="23">
        <v>0</v>
      </c>
      <c r="AD52" s="23">
        <v>0</v>
      </c>
      <c r="AE52" s="16">
        <f t="shared" si="87"/>
        <v>2864393.07</v>
      </c>
      <c r="AF52" s="6"/>
      <c r="AG52" s="16">
        <f t="shared" si="70"/>
        <v>2864393.07</v>
      </c>
      <c r="AH52" s="6" t="s">
        <v>615</v>
      </c>
      <c r="AI52" s="63"/>
      <c r="AJ52" s="28">
        <v>0</v>
      </c>
      <c r="AK52" s="22">
        <v>0</v>
      </c>
    </row>
    <row r="53" spans="1:37" s="165" customFormat="1" ht="189" x14ac:dyDescent="0.25">
      <c r="A53" s="7">
        <v>47</v>
      </c>
      <c r="B53" s="7">
        <v>120730</v>
      </c>
      <c r="C53" s="11">
        <v>92</v>
      </c>
      <c r="D53" s="7" t="s">
        <v>175</v>
      </c>
      <c r="E53" s="8" t="s">
        <v>998</v>
      </c>
      <c r="F53" s="9" t="s">
        <v>361</v>
      </c>
      <c r="G53" s="10" t="s">
        <v>268</v>
      </c>
      <c r="H53" s="10" t="s">
        <v>267</v>
      </c>
      <c r="I53" s="11" t="s">
        <v>185</v>
      </c>
      <c r="J53" s="12" t="s">
        <v>270</v>
      </c>
      <c r="K53" s="13">
        <v>43145</v>
      </c>
      <c r="L53" s="13">
        <v>43630</v>
      </c>
      <c r="M53" s="14">
        <f>S53/AE53*100</f>
        <v>85.000000355065879</v>
      </c>
      <c r="N53" s="7">
        <v>2</v>
      </c>
      <c r="O53" s="7" t="s">
        <v>722</v>
      </c>
      <c r="P53" s="7" t="s">
        <v>1343</v>
      </c>
      <c r="Q53" s="15" t="s">
        <v>213</v>
      </c>
      <c r="R53" s="11" t="s">
        <v>36</v>
      </c>
      <c r="S53" s="16">
        <f>T53+U53</f>
        <v>359088.29</v>
      </c>
      <c r="T53" s="16">
        <v>359088.29</v>
      </c>
      <c r="U53" s="16">
        <v>0</v>
      </c>
      <c r="V53" s="16">
        <f>W53+X53</f>
        <v>54919.39</v>
      </c>
      <c r="W53" s="16">
        <v>54919.39</v>
      </c>
      <c r="X53" s="16">
        <v>0</v>
      </c>
      <c r="Y53" s="16">
        <f>Z53+AA53</f>
        <v>8449.1299999999992</v>
      </c>
      <c r="Z53" s="16">
        <v>8449.1299999999992</v>
      </c>
      <c r="AA53" s="16">
        <v>0</v>
      </c>
      <c r="AB53" s="16">
        <f>AC53+AD53</f>
        <v>0</v>
      </c>
      <c r="AC53" s="16"/>
      <c r="AD53" s="16"/>
      <c r="AE53" s="16">
        <f>S53+V53+Y53+AB53</f>
        <v>422456.81</v>
      </c>
      <c r="AF53" s="16">
        <v>66435.22</v>
      </c>
      <c r="AG53" s="16">
        <f>AE53+AF53</f>
        <v>488892.03</v>
      </c>
      <c r="AH53" s="20" t="s">
        <v>615</v>
      </c>
      <c r="AI53" s="21" t="s">
        <v>185</v>
      </c>
      <c r="AJ53" s="22">
        <f>61496.4+125218.28+42840</f>
        <v>229554.68</v>
      </c>
      <c r="AK53" s="23">
        <f>9405.33+19151.03+6552</f>
        <v>35108.36</v>
      </c>
    </row>
    <row r="54" spans="1:37" s="165" customFormat="1" ht="267.75" x14ac:dyDescent="0.25">
      <c r="A54" s="7">
        <v>48</v>
      </c>
      <c r="B54" s="7">
        <v>118879</v>
      </c>
      <c r="C54" s="11">
        <v>452</v>
      </c>
      <c r="D54" s="7" t="s">
        <v>714</v>
      </c>
      <c r="E54" s="8" t="s">
        <v>733</v>
      </c>
      <c r="F54" s="9" t="s">
        <v>640</v>
      </c>
      <c r="G54" s="8" t="s">
        <v>832</v>
      </c>
      <c r="H54" s="11" t="s">
        <v>833</v>
      </c>
      <c r="I54" s="11" t="s">
        <v>185</v>
      </c>
      <c r="J54" s="8" t="s">
        <v>834</v>
      </c>
      <c r="K54" s="13">
        <v>43293</v>
      </c>
      <c r="L54" s="26">
        <v>43780</v>
      </c>
      <c r="M54" s="14">
        <f t="shared" si="86"/>
        <v>85.000000000000014</v>
      </c>
      <c r="N54" s="11">
        <v>3</v>
      </c>
      <c r="O54" s="11" t="s">
        <v>457</v>
      </c>
      <c r="P54" s="11" t="s">
        <v>457</v>
      </c>
      <c r="Q54" s="11" t="s">
        <v>213</v>
      </c>
      <c r="R54" s="7" t="s">
        <v>36</v>
      </c>
      <c r="S54" s="22">
        <v>338205.65</v>
      </c>
      <c r="T54" s="22">
        <v>338205.65</v>
      </c>
      <c r="U54" s="23">
        <v>0</v>
      </c>
      <c r="V54" s="18">
        <v>51725.57</v>
      </c>
      <c r="W54" s="22">
        <v>51725.57</v>
      </c>
      <c r="X54" s="23">
        <v>0</v>
      </c>
      <c r="Y54" s="33">
        <v>7957.78</v>
      </c>
      <c r="Z54" s="22">
        <v>7957.78</v>
      </c>
      <c r="AA54" s="22">
        <v>0</v>
      </c>
      <c r="AB54" s="16">
        <v>0</v>
      </c>
      <c r="AC54" s="23">
        <v>0</v>
      </c>
      <c r="AD54" s="23">
        <v>0</v>
      </c>
      <c r="AE54" s="23">
        <v>397889</v>
      </c>
      <c r="AF54" s="63">
        <v>0</v>
      </c>
      <c r="AG54" s="23">
        <v>397889</v>
      </c>
      <c r="AH54" s="20" t="s">
        <v>615</v>
      </c>
      <c r="AI54" s="54" t="s">
        <v>1410</v>
      </c>
      <c r="AJ54" s="39">
        <f>67994.82+55632.47</f>
        <v>123627.29000000001</v>
      </c>
      <c r="AK54" s="39">
        <f>10399.21+8508.49</f>
        <v>18907.699999999997</v>
      </c>
    </row>
    <row r="55" spans="1:37" s="165" customFormat="1" ht="157.5" x14ac:dyDescent="0.25">
      <c r="A55" s="7">
        <v>49</v>
      </c>
      <c r="B55" s="7">
        <v>118774</v>
      </c>
      <c r="C55" s="11">
        <v>442</v>
      </c>
      <c r="D55" s="7" t="s">
        <v>175</v>
      </c>
      <c r="E55" s="8" t="s">
        <v>733</v>
      </c>
      <c r="F55" s="9" t="s">
        <v>640</v>
      </c>
      <c r="G55" s="8" t="s">
        <v>1008</v>
      </c>
      <c r="H55" s="11" t="s">
        <v>1009</v>
      </c>
      <c r="I55" s="7"/>
      <c r="J55" s="8" t="s">
        <v>1111</v>
      </c>
      <c r="K55" s="13">
        <v>43341</v>
      </c>
      <c r="L55" s="26">
        <v>43798</v>
      </c>
      <c r="M55" s="14">
        <v>85</v>
      </c>
      <c r="N55" s="7">
        <v>3</v>
      </c>
      <c r="O55" s="11" t="s">
        <v>457</v>
      </c>
      <c r="P55" s="11" t="s">
        <v>457</v>
      </c>
      <c r="Q55" s="11" t="s">
        <v>213</v>
      </c>
      <c r="R55" s="7" t="s">
        <v>36</v>
      </c>
      <c r="S55" s="23">
        <f>T55+U55</f>
        <v>220497.36</v>
      </c>
      <c r="T55" s="23">
        <v>220497.36</v>
      </c>
      <c r="U55" s="23">
        <v>0</v>
      </c>
      <c r="V55" s="18">
        <v>33723.14</v>
      </c>
      <c r="W55" s="64">
        <v>33723.14</v>
      </c>
      <c r="X55" s="23">
        <v>0</v>
      </c>
      <c r="Y55" s="23">
        <v>5188.17</v>
      </c>
      <c r="Z55" s="23">
        <v>5188.17</v>
      </c>
      <c r="AA55" s="22">
        <v>0</v>
      </c>
      <c r="AB55" s="16">
        <f t="shared" si="69"/>
        <v>0</v>
      </c>
      <c r="AC55" s="23">
        <v>0</v>
      </c>
      <c r="AD55" s="23">
        <v>0</v>
      </c>
      <c r="AE55" s="16">
        <f t="shared" ref="AE55:AE57" si="90">S55+V55+Y55+AB55</f>
        <v>259408.67</v>
      </c>
      <c r="AF55" s="63"/>
      <c r="AG55" s="16">
        <f t="shared" si="70"/>
        <v>259408.67</v>
      </c>
      <c r="AH55" s="20" t="s">
        <v>615</v>
      </c>
      <c r="AI55" s="54" t="s">
        <v>185</v>
      </c>
      <c r="AJ55" s="39">
        <v>51023.72</v>
      </c>
      <c r="AK55" s="39">
        <v>7803.63</v>
      </c>
    </row>
    <row r="56" spans="1:37" s="165" customFormat="1" ht="112.5" customHeight="1" x14ac:dyDescent="0.25">
      <c r="A56" s="7">
        <v>50</v>
      </c>
      <c r="B56" s="7">
        <v>119901</v>
      </c>
      <c r="C56" s="11">
        <v>486</v>
      </c>
      <c r="D56" s="7" t="s">
        <v>168</v>
      </c>
      <c r="E56" s="7" t="s">
        <v>1071</v>
      </c>
      <c r="F56" s="10" t="s">
        <v>574</v>
      </c>
      <c r="G56" s="10" t="s">
        <v>1140</v>
      </c>
      <c r="H56" s="11" t="s">
        <v>833</v>
      </c>
      <c r="I56" s="7" t="s">
        <v>451</v>
      </c>
      <c r="J56" s="12" t="s">
        <v>1141</v>
      </c>
      <c r="K56" s="26">
        <v>43377</v>
      </c>
      <c r="L56" s="26">
        <v>43864</v>
      </c>
      <c r="M56" s="14">
        <f t="shared" si="86"/>
        <v>85.000004041383775</v>
      </c>
      <c r="N56" s="7">
        <v>3</v>
      </c>
      <c r="O56" s="11" t="s">
        <v>457</v>
      </c>
      <c r="P56" s="11" t="s">
        <v>1142</v>
      </c>
      <c r="Q56" s="11" t="s">
        <v>213</v>
      </c>
      <c r="R56" s="11" t="s">
        <v>578</v>
      </c>
      <c r="S56" s="23">
        <f>T56+U56</f>
        <v>420648.02</v>
      </c>
      <c r="T56" s="23">
        <v>420648.02</v>
      </c>
      <c r="U56" s="31">
        <v>0</v>
      </c>
      <c r="V56" s="18">
        <f>W56+X56</f>
        <v>64334.38</v>
      </c>
      <c r="W56" s="65">
        <v>64334.38</v>
      </c>
      <c r="X56" s="31">
        <v>0</v>
      </c>
      <c r="Y56" s="23">
        <f>Z55:Z56+AA56</f>
        <v>9897.6</v>
      </c>
      <c r="Z56" s="23">
        <v>9897.6</v>
      </c>
      <c r="AA56" s="23">
        <v>0</v>
      </c>
      <c r="AB56" s="16">
        <f t="shared" si="69"/>
        <v>0</v>
      </c>
      <c r="AC56" s="31">
        <v>0</v>
      </c>
      <c r="AD56" s="31">
        <v>0</v>
      </c>
      <c r="AE56" s="16">
        <f t="shared" si="90"/>
        <v>494880</v>
      </c>
      <c r="AF56" s="63"/>
      <c r="AG56" s="16">
        <f t="shared" si="70"/>
        <v>494880</v>
      </c>
      <c r="AH56" s="20" t="s">
        <v>901</v>
      </c>
      <c r="AI56" s="63"/>
      <c r="AJ56" s="28">
        <f>49488-933.45</f>
        <v>48554.55</v>
      </c>
      <c r="AK56" s="22">
        <v>7425.99</v>
      </c>
    </row>
    <row r="57" spans="1:37" s="165" customFormat="1" ht="243.75" customHeight="1" x14ac:dyDescent="0.25">
      <c r="A57" s="7">
        <v>51</v>
      </c>
      <c r="B57" s="7">
        <v>126537</v>
      </c>
      <c r="C57" s="11">
        <v>569</v>
      </c>
      <c r="D57" s="7" t="s">
        <v>175</v>
      </c>
      <c r="E57" s="8" t="s">
        <v>998</v>
      </c>
      <c r="F57" s="9" t="s">
        <v>1165</v>
      </c>
      <c r="G57" s="8" t="s">
        <v>1401</v>
      </c>
      <c r="H57" s="11" t="s">
        <v>833</v>
      </c>
      <c r="I57" s="7" t="s">
        <v>451</v>
      </c>
      <c r="J57" s="12" t="s">
        <v>1402</v>
      </c>
      <c r="K57" s="13">
        <v>43567</v>
      </c>
      <c r="L57" s="26">
        <v>44450</v>
      </c>
      <c r="M57" s="14">
        <f t="shared" si="86"/>
        <v>84.999999931518204</v>
      </c>
      <c r="N57" s="7">
        <v>3</v>
      </c>
      <c r="O57" s="11" t="s">
        <v>457</v>
      </c>
      <c r="P57" s="11" t="s">
        <v>1142</v>
      </c>
      <c r="Q57" s="11" t="s">
        <v>213</v>
      </c>
      <c r="R57" s="11" t="s">
        <v>578</v>
      </c>
      <c r="S57" s="23">
        <f t="shared" ref="S57" si="91">T57+U57</f>
        <v>3103013.95</v>
      </c>
      <c r="T57" s="23">
        <v>3103013.95</v>
      </c>
      <c r="U57" s="31">
        <v>0</v>
      </c>
      <c r="V57" s="18">
        <f t="shared" ref="V57" si="92">W57+X57</f>
        <v>474578.61</v>
      </c>
      <c r="W57" s="65">
        <v>474578.61</v>
      </c>
      <c r="X57" s="31">
        <v>0</v>
      </c>
      <c r="Y57" s="23">
        <f t="shared" ref="Y57" si="93">Z56:Z57+AA57</f>
        <v>73012.09</v>
      </c>
      <c r="Z57" s="23">
        <v>73012.09</v>
      </c>
      <c r="AA57" s="23"/>
      <c r="AB57" s="16">
        <f t="shared" si="69"/>
        <v>0</v>
      </c>
      <c r="AC57" s="31"/>
      <c r="AD57" s="31"/>
      <c r="AE57" s="16">
        <f t="shared" si="90"/>
        <v>3650604.65</v>
      </c>
      <c r="AF57" s="63"/>
      <c r="AG57" s="16">
        <f t="shared" si="70"/>
        <v>3650604.65</v>
      </c>
      <c r="AH57" s="20" t="s">
        <v>901</v>
      </c>
      <c r="AI57" s="63"/>
      <c r="AJ57" s="28">
        <v>0</v>
      </c>
      <c r="AK57" s="22">
        <v>0</v>
      </c>
    </row>
    <row r="58" spans="1:37" s="165" customFormat="1" ht="165" x14ac:dyDescent="0.25">
      <c r="A58" s="7">
        <v>52</v>
      </c>
      <c r="B58" s="7">
        <v>120791</v>
      </c>
      <c r="C58" s="11">
        <v>88</v>
      </c>
      <c r="D58" s="7" t="s">
        <v>177</v>
      </c>
      <c r="E58" s="8" t="s">
        <v>998</v>
      </c>
      <c r="F58" s="9" t="s">
        <v>361</v>
      </c>
      <c r="G58" s="47" t="s">
        <v>366</v>
      </c>
      <c r="H58" s="10" t="s">
        <v>367</v>
      </c>
      <c r="I58" s="186" t="s">
        <v>368</v>
      </c>
      <c r="J58" s="53" t="s">
        <v>369</v>
      </c>
      <c r="K58" s="13">
        <v>43180</v>
      </c>
      <c r="L58" s="26">
        <v>43667</v>
      </c>
      <c r="M58" s="14">
        <f t="shared" ref="M58" si="94">S58/AE58*100</f>
        <v>84.174275146898083</v>
      </c>
      <c r="N58" s="7">
        <v>5</v>
      </c>
      <c r="O58" s="7" t="s">
        <v>370</v>
      </c>
      <c r="P58" s="7" t="s">
        <v>371</v>
      </c>
      <c r="Q58" s="15" t="s">
        <v>213</v>
      </c>
      <c r="R58" s="7" t="s">
        <v>36</v>
      </c>
      <c r="S58" s="18">
        <f t="shared" ref="S58" si="95">T58+U58</f>
        <v>316573.06</v>
      </c>
      <c r="T58" s="16">
        <v>316573.06</v>
      </c>
      <c r="U58" s="16">
        <v>0</v>
      </c>
      <c r="V58" s="18">
        <f t="shared" si="68"/>
        <v>51997.5</v>
      </c>
      <c r="W58" s="16">
        <v>51997.5</v>
      </c>
      <c r="X58" s="16">
        <v>0</v>
      </c>
      <c r="Y58" s="18">
        <f>Z58+AA58</f>
        <v>7521.85</v>
      </c>
      <c r="Z58" s="16">
        <v>7521.85</v>
      </c>
      <c r="AA58" s="16">
        <v>0</v>
      </c>
      <c r="AB58" s="16">
        <f t="shared" si="69"/>
        <v>0</v>
      </c>
      <c r="AC58" s="16"/>
      <c r="AD58" s="16"/>
      <c r="AE58" s="16">
        <f>S58+V58+Y58+AB58</f>
        <v>376092.41</v>
      </c>
      <c r="AF58" s="16">
        <v>0</v>
      </c>
      <c r="AG58" s="16">
        <f t="shared" si="70"/>
        <v>376092.41</v>
      </c>
      <c r="AH58" s="20" t="s">
        <v>615</v>
      </c>
      <c r="AI58" s="21" t="s">
        <v>185</v>
      </c>
      <c r="AJ58" s="22">
        <f>82700.83+16407.5-2095.99+13973.28+13168.81+13492.57</f>
        <v>137647</v>
      </c>
      <c r="AK58" s="23">
        <f>10873.44+2461.12+2095.99+2014.06+2381.06</f>
        <v>19825.670000000002</v>
      </c>
    </row>
    <row r="59" spans="1:37" s="165" customFormat="1" ht="204.75" x14ac:dyDescent="0.25">
      <c r="A59" s="7">
        <v>53</v>
      </c>
      <c r="B59" s="7">
        <v>120583</v>
      </c>
      <c r="C59" s="11">
        <v>77</v>
      </c>
      <c r="D59" s="7" t="s">
        <v>174</v>
      </c>
      <c r="E59" s="8" t="s">
        <v>998</v>
      </c>
      <c r="F59" s="9" t="s">
        <v>361</v>
      </c>
      <c r="G59" s="10" t="s">
        <v>215</v>
      </c>
      <c r="H59" s="10" t="s">
        <v>218</v>
      </c>
      <c r="I59" s="7" t="s">
        <v>185</v>
      </c>
      <c r="J59" s="34" t="s">
        <v>221</v>
      </c>
      <c r="K59" s="13">
        <v>43126</v>
      </c>
      <c r="L59" s="26">
        <v>43369</v>
      </c>
      <c r="M59" s="14">
        <f t="shared" ref="M59:M63" si="96">S59/AE59*100</f>
        <v>84.999999763641128</v>
      </c>
      <c r="N59" s="7">
        <v>6</v>
      </c>
      <c r="O59" s="7" t="s">
        <v>223</v>
      </c>
      <c r="P59" s="7" t="s">
        <v>224</v>
      </c>
      <c r="Q59" s="30" t="s">
        <v>213</v>
      </c>
      <c r="R59" s="7" t="s">
        <v>36</v>
      </c>
      <c r="S59" s="18">
        <f t="shared" ref="S59:S63" si="97">T59+U59</f>
        <v>359622.64</v>
      </c>
      <c r="T59" s="16">
        <v>359622.64</v>
      </c>
      <c r="U59" s="16">
        <v>0</v>
      </c>
      <c r="V59" s="18">
        <f t="shared" si="68"/>
        <v>55001.11</v>
      </c>
      <c r="W59" s="16">
        <v>55001.11</v>
      </c>
      <c r="X59" s="16">
        <v>0</v>
      </c>
      <c r="Y59" s="18">
        <f t="shared" ref="Y59" si="98">Z59+AA59</f>
        <v>8461.7099999999991</v>
      </c>
      <c r="Z59" s="16">
        <v>8461.7099999999991</v>
      </c>
      <c r="AA59" s="16">
        <v>0</v>
      </c>
      <c r="AB59" s="16">
        <f t="shared" si="69"/>
        <v>0</v>
      </c>
      <c r="AC59" s="16"/>
      <c r="AD59" s="16"/>
      <c r="AE59" s="16">
        <f>S59+V59+Y59+AB59</f>
        <v>423085.46</v>
      </c>
      <c r="AF59" s="16">
        <v>0</v>
      </c>
      <c r="AG59" s="16">
        <f t="shared" si="70"/>
        <v>423085.46</v>
      </c>
      <c r="AH59" s="20" t="s">
        <v>1103</v>
      </c>
      <c r="AI59" s="21" t="s">
        <v>185</v>
      </c>
      <c r="AJ59" s="22">
        <f>41688.25+258393</f>
        <v>300081.25</v>
      </c>
      <c r="AK59" s="35">
        <f>6375.85+39518.93</f>
        <v>45894.78</v>
      </c>
    </row>
    <row r="60" spans="1:37" s="165" customFormat="1" ht="141.75" x14ac:dyDescent="0.25">
      <c r="A60" s="7">
        <v>54</v>
      </c>
      <c r="B60" s="7">
        <v>110080</v>
      </c>
      <c r="C60" s="11">
        <v>118</v>
      </c>
      <c r="D60" s="7" t="s">
        <v>873</v>
      </c>
      <c r="E60" s="8" t="s">
        <v>998</v>
      </c>
      <c r="F60" s="9" t="s">
        <v>361</v>
      </c>
      <c r="G60" s="10" t="s">
        <v>335</v>
      </c>
      <c r="H60" s="10" t="s">
        <v>336</v>
      </c>
      <c r="I60" s="11" t="s">
        <v>185</v>
      </c>
      <c r="J60" s="12" t="s">
        <v>337</v>
      </c>
      <c r="K60" s="13">
        <v>43171</v>
      </c>
      <c r="L60" s="26">
        <v>43658</v>
      </c>
      <c r="M60" s="14">
        <f t="shared" si="96"/>
        <v>84.9999996799977</v>
      </c>
      <c r="N60" s="7">
        <v>6</v>
      </c>
      <c r="O60" s="7" t="s">
        <v>223</v>
      </c>
      <c r="P60" s="7" t="s">
        <v>338</v>
      </c>
      <c r="Q60" s="15" t="s">
        <v>213</v>
      </c>
      <c r="R60" s="7" t="s">
        <v>36</v>
      </c>
      <c r="S60" s="18">
        <f t="shared" si="97"/>
        <v>531246.18999999994</v>
      </c>
      <c r="T60" s="16">
        <v>531246.18999999994</v>
      </c>
      <c r="U60" s="16">
        <v>0</v>
      </c>
      <c r="V60" s="18">
        <f t="shared" si="68"/>
        <v>81249.41</v>
      </c>
      <c r="W60" s="16">
        <v>81249.41</v>
      </c>
      <c r="X60" s="16">
        <v>0</v>
      </c>
      <c r="Y60" s="18">
        <v>12499.92</v>
      </c>
      <c r="Z60" s="16">
        <v>12499.92</v>
      </c>
      <c r="AA60" s="16">
        <v>0</v>
      </c>
      <c r="AB60" s="16">
        <f t="shared" si="69"/>
        <v>0</v>
      </c>
      <c r="AC60" s="16"/>
      <c r="AD60" s="16"/>
      <c r="AE60" s="16">
        <f t="shared" ref="AE60:AE63" si="99">S60+V60+Y60+AB60</f>
        <v>624995.52</v>
      </c>
      <c r="AF60" s="16">
        <v>0</v>
      </c>
      <c r="AG60" s="16">
        <f t="shared" si="70"/>
        <v>624995.52</v>
      </c>
      <c r="AH60" s="20" t="s">
        <v>615</v>
      </c>
      <c r="AI60" s="21" t="s">
        <v>185</v>
      </c>
      <c r="AJ60" s="22">
        <f>116443.03+69871.41+58803.54</f>
        <v>245117.98</v>
      </c>
      <c r="AK60" s="23">
        <f>17808.93+10686.22+8993.49</f>
        <v>37488.639999999999</v>
      </c>
    </row>
    <row r="61" spans="1:37" s="165" customFormat="1" ht="204.75" x14ac:dyDescent="0.25">
      <c r="A61" s="7">
        <v>55</v>
      </c>
      <c r="B61" s="7">
        <v>120588</v>
      </c>
      <c r="C61" s="11">
        <v>104</v>
      </c>
      <c r="D61" s="7" t="s">
        <v>174</v>
      </c>
      <c r="E61" s="8" t="s">
        <v>998</v>
      </c>
      <c r="F61" s="9" t="s">
        <v>361</v>
      </c>
      <c r="G61" s="66" t="s">
        <v>416</v>
      </c>
      <c r="H61" s="24" t="s">
        <v>415</v>
      </c>
      <c r="I61" s="7" t="s">
        <v>185</v>
      </c>
      <c r="J61" s="12" t="s">
        <v>417</v>
      </c>
      <c r="K61" s="13">
        <v>43201</v>
      </c>
      <c r="L61" s="26">
        <v>43749</v>
      </c>
      <c r="M61" s="14">
        <f t="shared" si="96"/>
        <v>85.000000000000014</v>
      </c>
      <c r="N61" s="7">
        <v>6</v>
      </c>
      <c r="O61" s="7" t="s">
        <v>223</v>
      </c>
      <c r="P61" s="7" t="s">
        <v>338</v>
      </c>
      <c r="Q61" s="30" t="s">
        <v>213</v>
      </c>
      <c r="R61" s="7" t="s">
        <v>36</v>
      </c>
      <c r="S61" s="18">
        <f t="shared" si="97"/>
        <v>354701.26</v>
      </c>
      <c r="T61" s="16">
        <v>354701.26</v>
      </c>
      <c r="U61" s="16">
        <v>0</v>
      </c>
      <c r="V61" s="18">
        <f t="shared" si="68"/>
        <v>54248.43</v>
      </c>
      <c r="W61" s="16">
        <v>54248.43</v>
      </c>
      <c r="X61" s="16">
        <v>0</v>
      </c>
      <c r="Y61" s="18">
        <f>Z61+AA61</f>
        <v>8345.91</v>
      </c>
      <c r="Z61" s="16">
        <v>8345.91</v>
      </c>
      <c r="AA61" s="16">
        <v>0</v>
      </c>
      <c r="AB61" s="16">
        <f t="shared" si="69"/>
        <v>0</v>
      </c>
      <c r="AC61" s="16">
        <v>0</v>
      </c>
      <c r="AD61" s="16">
        <v>0</v>
      </c>
      <c r="AE61" s="16">
        <f t="shared" si="99"/>
        <v>417295.6</v>
      </c>
      <c r="AF61" s="16">
        <v>0</v>
      </c>
      <c r="AG61" s="16">
        <f t="shared" si="70"/>
        <v>417295.6</v>
      </c>
      <c r="AH61" s="20" t="s">
        <v>615</v>
      </c>
      <c r="AI61" s="21" t="s">
        <v>1408</v>
      </c>
      <c r="AJ61" s="22">
        <f>4830.98+7367.8+23538.62</f>
        <v>35737.399999999994</v>
      </c>
      <c r="AK61" s="23">
        <f>738.85+1126.84+3600.02</f>
        <v>5465.71</v>
      </c>
    </row>
    <row r="62" spans="1:37" s="165" customFormat="1" ht="207" customHeight="1" x14ac:dyDescent="0.25">
      <c r="A62" s="7">
        <v>56</v>
      </c>
      <c r="B62" s="7">
        <v>126485</v>
      </c>
      <c r="C62" s="11">
        <v>546</v>
      </c>
      <c r="D62" s="7" t="s">
        <v>177</v>
      </c>
      <c r="E62" s="8" t="s">
        <v>998</v>
      </c>
      <c r="F62" s="9" t="s">
        <v>1165</v>
      </c>
      <c r="G62" s="66" t="s">
        <v>1244</v>
      </c>
      <c r="H62" s="24" t="s">
        <v>1242</v>
      </c>
      <c r="I62" s="7" t="s">
        <v>185</v>
      </c>
      <c r="J62" s="12" t="s">
        <v>1243</v>
      </c>
      <c r="K62" s="13">
        <v>43455</v>
      </c>
      <c r="L62" s="26">
        <v>44186</v>
      </c>
      <c r="M62" s="14">
        <f t="shared" si="96"/>
        <v>85</v>
      </c>
      <c r="N62" s="7">
        <v>6</v>
      </c>
      <c r="O62" s="7" t="s">
        <v>223</v>
      </c>
      <c r="P62" s="7" t="s">
        <v>224</v>
      </c>
      <c r="Q62" s="30" t="s">
        <v>213</v>
      </c>
      <c r="R62" s="7" t="s">
        <v>36</v>
      </c>
      <c r="S62" s="18">
        <f t="shared" si="97"/>
        <v>3257796.87</v>
      </c>
      <c r="T62" s="16">
        <v>3257796.87</v>
      </c>
      <c r="U62" s="16">
        <v>0</v>
      </c>
      <c r="V62" s="18">
        <f t="shared" si="68"/>
        <v>498251.29</v>
      </c>
      <c r="W62" s="16">
        <v>498251.29</v>
      </c>
      <c r="X62" s="16">
        <v>0</v>
      </c>
      <c r="Y62" s="18">
        <f t="shared" ref="Y62:Y63" si="100">Z62+AA62</f>
        <v>76654.039999999994</v>
      </c>
      <c r="Z62" s="16">
        <v>76654.039999999994</v>
      </c>
      <c r="AA62" s="16">
        <v>0</v>
      </c>
      <c r="AB62" s="16">
        <f t="shared" si="69"/>
        <v>0</v>
      </c>
      <c r="AC62" s="16">
        <v>0</v>
      </c>
      <c r="AD62" s="16">
        <v>0</v>
      </c>
      <c r="AE62" s="16">
        <f t="shared" si="99"/>
        <v>3832702.2</v>
      </c>
      <c r="AF62" s="16"/>
      <c r="AG62" s="16">
        <f t="shared" si="70"/>
        <v>3832702.2</v>
      </c>
      <c r="AH62" s="20" t="s">
        <v>615</v>
      </c>
      <c r="AI62" s="21" t="s">
        <v>185</v>
      </c>
      <c r="AJ62" s="39">
        <v>0</v>
      </c>
      <c r="AK62" s="23">
        <v>0</v>
      </c>
    </row>
    <row r="63" spans="1:37" s="165" customFormat="1" ht="141.75" x14ac:dyDescent="0.25">
      <c r="A63" s="7">
        <v>57</v>
      </c>
      <c r="B63" s="7">
        <v>126214</v>
      </c>
      <c r="C63" s="11">
        <v>527</v>
      </c>
      <c r="D63" s="7" t="s">
        <v>676</v>
      </c>
      <c r="E63" s="8" t="s">
        <v>998</v>
      </c>
      <c r="F63" s="9" t="s">
        <v>1165</v>
      </c>
      <c r="G63" s="66" t="s">
        <v>1286</v>
      </c>
      <c r="H63" s="24" t="s">
        <v>1287</v>
      </c>
      <c r="I63" s="7" t="s">
        <v>185</v>
      </c>
      <c r="J63" s="12" t="s">
        <v>1288</v>
      </c>
      <c r="K63" s="13">
        <v>43507</v>
      </c>
      <c r="L63" s="26">
        <v>44419</v>
      </c>
      <c r="M63" s="14">
        <f t="shared" si="96"/>
        <v>85.000000000000014</v>
      </c>
      <c r="N63" s="7">
        <v>6</v>
      </c>
      <c r="O63" s="7" t="s">
        <v>223</v>
      </c>
      <c r="P63" s="7" t="s">
        <v>338</v>
      </c>
      <c r="Q63" s="30" t="s">
        <v>213</v>
      </c>
      <c r="R63" s="7" t="s">
        <v>36</v>
      </c>
      <c r="S63" s="18">
        <f t="shared" si="97"/>
        <v>3316506.2</v>
      </c>
      <c r="T63" s="16">
        <v>3316506.2</v>
      </c>
      <c r="U63" s="16">
        <v>0</v>
      </c>
      <c r="V63" s="18">
        <f t="shared" si="68"/>
        <v>507230.36</v>
      </c>
      <c r="W63" s="16">
        <v>507230.36</v>
      </c>
      <c r="X63" s="16">
        <v>0</v>
      </c>
      <c r="Y63" s="18">
        <f t="shared" si="100"/>
        <v>78035.44</v>
      </c>
      <c r="Z63" s="16">
        <v>78035.44</v>
      </c>
      <c r="AA63" s="16">
        <v>0</v>
      </c>
      <c r="AB63" s="16">
        <f t="shared" si="69"/>
        <v>0</v>
      </c>
      <c r="AC63" s="16">
        <v>0</v>
      </c>
      <c r="AD63" s="16">
        <v>0</v>
      </c>
      <c r="AE63" s="16">
        <f t="shared" si="99"/>
        <v>3901772</v>
      </c>
      <c r="AF63" s="16">
        <v>0</v>
      </c>
      <c r="AG63" s="16">
        <f t="shared" si="70"/>
        <v>3901772</v>
      </c>
      <c r="AH63" s="20" t="s">
        <v>615</v>
      </c>
      <c r="AI63" s="21"/>
      <c r="AJ63" s="39">
        <v>0</v>
      </c>
      <c r="AK63" s="23">
        <v>0</v>
      </c>
    </row>
    <row r="64" spans="1:37" s="165" customFormat="1" ht="141.75" x14ac:dyDescent="0.25">
      <c r="A64" s="7">
        <v>58</v>
      </c>
      <c r="B64" s="7">
        <v>120642</v>
      </c>
      <c r="C64" s="11">
        <v>84</v>
      </c>
      <c r="D64" s="7" t="s">
        <v>171</v>
      </c>
      <c r="E64" s="8" t="s">
        <v>998</v>
      </c>
      <c r="F64" s="9" t="s">
        <v>361</v>
      </c>
      <c r="G64" s="47" t="s">
        <v>362</v>
      </c>
      <c r="H64" s="7" t="s">
        <v>363</v>
      </c>
      <c r="I64" s="7" t="s">
        <v>185</v>
      </c>
      <c r="J64" s="53" t="s">
        <v>546</v>
      </c>
      <c r="K64" s="13">
        <v>43175</v>
      </c>
      <c r="L64" s="26">
        <v>43662</v>
      </c>
      <c r="M64" s="14">
        <f t="shared" ref="M64:M68" si="101">S64/AE64*100</f>
        <v>84.999998716744599</v>
      </c>
      <c r="N64" s="7">
        <v>2</v>
      </c>
      <c r="O64" s="7" t="s">
        <v>364</v>
      </c>
      <c r="P64" s="7" t="s">
        <v>365</v>
      </c>
      <c r="Q64" s="15" t="s">
        <v>213</v>
      </c>
      <c r="R64" s="7" t="s">
        <v>36</v>
      </c>
      <c r="S64" s="18">
        <f>T64+U64</f>
        <v>264951.15000000002</v>
      </c>
      <c r="T64" s="16">
        <v>264951.15000000002</v>
      </c>
      <c r="U64" s="16">
        <v>0</v>
      </c>
      <c r="V64" s="18">
        <f t="shared" si="68"/>
        <v>40521.949999999997</v>
      </c>
      <c r="W64" s="16">
        <v>40521.949999999997</v>
      </c>
      <c r="X64" s="16">
        <v>0</v>
      </c>
      <c r="Y64" s="18">
        <f>Z64+AA64</f>
        <v>6234.14</v>
      </c>
      <c r="Z64" s="16">
        <v>6234.14</v>
      </c>
      <c r="AA64" s="16">
        <v>0</v>
      </c>
      <c r="AB64" s="16">
        <f t="shared" si="69"/>
        <v>0</v>
      </c>
      <c r="AC64" s="16">
        <v>0</v>
      </c>
      <c r="AD64" s="16">
        <v>0</v>
      </c>
      <c r="AE64" s="16">
        <f>S64+V64+Y64+AB64</f>
        <v>311707.24000000005</v>
      </c>
      <c r="AF64" s="16">
        <v>0</v>
      </c>
      <c r="AG64" s="16">
        <f t="shared" si="70"/>
        <v>311707.24000000005</v>
      </c>
      <c r="AH64" s="20" t="s">
        <v>615</v>
      </c>
      <c r="AI64" s="21" t="s">
        <v>185</v>
      </c>
      <c r="AJ64" s="22">
        <f>27532.48+85262.91</f>
        <v>112795.39</v>
      </c>
      <c r="AK64" s="23">
        <f>4210.85+13040.2</f>
        <v>17251.050000000003</v>
      </c>
    </row>
    <row r="65" spans="1:37" s="165" customFormat="1" ht="141.75" x14ac:dyDescent="0.25">
      <c r="A65" s="7">
        <v>59</v>
      </c>
      <c r="B65" s="7">
        <v>116521</v>
      </c>
      <c r="C65" s="11">
        <v>405</v>
      </c>
      <c r="D65" s="7" t="s">
        <v>873</v>
      </c>
      <c r="E65" s="8" t="s">
        <v>733</v>
      </c>
      <c r="F65" s="10" t="s">
        <v>640</v>
      </c>
      <c r="G65" s="10" t="s">
        <v>840</v>
      </c>
      <c r="H65" s="10" t="s">
        <v>683</v>
      </c>
      <c r="I65" s="7" t="s">
        <v>185</v>
      </c>
      <c r="J65" s="10" t="s">
        <v>841</v>
      </c>
      <c r="K65" s="13">
        <v>43304</v>
      </c>
      <c r="L65" s="26">
        <v>43792</v>
      </c>
      <c r="M65" s="14">
        <f t="shared" si="101"/>
        <v>85.000001706742694</v>
      </c>
      <c r="N65" s="7">
        <v>2</v>
      </c>
      <c r="O65" s="7" t="s">
        <v>364</v>
      </c>
      <c r="P65" s="7" t="s">
        <v>364</v>
      </c>
      <c r="Q65" s="7" t="s">
        <v>213</v>
      </c>
      <c r="R65" s="7" t="s">
        <v>36</v>
      </c>
      <c r="S65" s="18">
        <f t="shared" ref="S65" si="102">T65+U65</f>
        <v>249012.35</v>
      </c>
      <c r="T65" s="23">
        <v>249012.35</v>
      </c>
      <c r="U65" s="23">
        <v>0</v>
      </c>
      <c r="V65" s="18">
        <f t="shared" si="68"/>
        <v>38084.239999999998</v>
      </c>
      <c r="W65" s="23">
        <v>38084.239999999998</v>
      </c>
      <c r="X65" s="23">
        <v>0</v>
      </c>
      <c r="Y65" s="23">
        <f>Z65+AA65</f>
        <v>5859.11</v>
      </c>
      <c r="Z65" s="23">
        <v>5859.11</v>
      </c>
      <c r="AA65" s="23">
        <v>0</v>
      </c>
      <c r="AB65" s="16">
        <f t="shared" si="69"/>
        <v>0</v>
      </c>
      <c r="AC65" s="23">
        <v>0</v>
      </c>
      <c r="AD65" s="23">
        <v>0</v>
      </c>
      <c r="AE65" s="16">
        <f t="shared" ref="AE65" si="103">S65+V65+Y65+AB65</f>
        <v>292955.7</v>
      </c>
      <c r="AF65" s="63">
        <v>0</v>
      </c>
      <c r="AG65" s="16">
        <f t="shared" si="70"/>
        <v>292955.7</v>
      </c>
      <c r="AH65" s="20" t="s">
        <v>615</v>
      </c>
      <c r="AI65" s="63"/>
      <c r="AJ65" s="39">
        <f>32343.8+5296.22+6433.86</f>
        <v>44073.88</v>
      </c>
      <c r="AK65" s="39">
        <f>4946.7+810.01+983.99</f>
        <v>6740.7</v>
      </c>
    </row>
    <row r="66" spans="1:37" s="165" customFormat="1" ht="189" x14ac:dyDescent="0.25">
      <c r="A66" s="7">
        <v>60</v>
      </c>
      <c r="B66" s="7">
        <v>126409</v>
      </c>
      <c r="C66" s="11">
        <v>551</v>
      </c>
      <c r="D66" s="7" t="s">
        <v>174</v>
      </c>
      <c r="E66" s="8" t="s">
        <v>998</v>
      </c>
      <c r="F66" s="10" t="s">
        <v>1165</v>
      </c>
      <c r="G66" s="10" t="s">
        <v>1192</v>
      </c>
      <c r="H66" s="10" t="s">
        <v>683</v>
      </c>
      <c r="I66" s="7" t="s">
        <v>185</v>
      </c>
      <c r="J66" s="10" t="s">
        <v>1193</v>
      </c>
      <c r="K66" s="13">
        <v>43439</v>
      </c>
      <c r="L66" s="26">
        <v>44321</v>
      </c>
      <c r="M66" s="14">
        <f>S66/AE66*100</f>
        <v>85.000000331630361</v>
      </c>
      <c r="N66" s="7">
        <v>2</v>
      </c>
      <c r="O66" s="7" t="s">
        <v>364</v>
      </c>
      <c r="P66" s="7" t="s">
        <v>364</v>
      </c>
      <c r="Q66" s="7" t="s">
        <v>213</v>
      </c>
      <c r="R66" s="7" t="s">
        <v>36</v>
      </c>
      <c r="S66" s="18">
        <f>T66+U66</f>
        <v>3075713.52</v>
      </c>
      <c r="T66" s="23">
        <v>3075713.52</v>
      </c>
      <c r="U66" s="23">
        <v>0</v>
      </c>
      <c r="V66" s="18">
        <f>W66+X66</f>
        <v>470403.23</v>
      </c>
      <c r="W66" s="23">
        <v>470403.23</v>
      </c>
      <c r="X66" s="23">
        <v>0</v>
      </c>
      <c r="Y66" s="23">
        <f>Z66+AA66</f>
        <v>72369.73000000001</v>
      </c>
      <c r="Z66" s="23">
        <v>72369.73000000001</v>
      </c>
      <c r="AA66" s="23">
        <v>0</v>
      </c>
      <c r="AB66" s="16">
        <f>AC66+AD66</f>
        <v>0</v>
      </c>
      <c r="AC66" s="23">
        <v>0</v>
      </c>
      <c r="AD66" s="23">
        <v>0</v>
      </c>
      <c r="AE66" s="16">
        <f>S66+V66+Y66+AB66</f>
        <v>3618486.48</v>
      </c>
      <c r="AF66" s="63">
        <v>0</v>
      </c>
      <c r="AG66" s="16">
        <f>AE66+AF66</f>
        <v>3618486.48</v>
      </c>
      <c r="AH66" s="20" t="s">
        <v>615</v>
      </c>
      <c r="AI66" s="63"/>
      <c r="AJ66" s="39">
        <v>0</v>
      </c>
      <c r="AK66" s="39">
        <v>0</v>
      </c>
    </row>
    <row r="67" spans="1:37" s="165" customFormat="1" ht="141.75" x14ac:dyDescent="0.25">
      <c r="A67" s="7">
        <v>61</v>
      </c>
      <c r="B67" s="7">
        <v>125754</v>
      </c>
      <c r="C67" s="11">
        <v>531</v>
      </c>
      <c r="D67" s="7" t="s">
        <v>676</v>
      </c>
      <c r="E67" s="8" t="s">
        <v>998</v>
      </c>
      <c r="F67" s="10" t="s">
        <v>1165</v>
      </c>
      <c r="G67" s="10" t="s">
        <v>1370</v>
      </c>
      <c r="H67" s="10" t="s">
        <v>683</v>
      </c>
      <c r="I67" s="7" t="s">
        <v>185</v>
      </c>
      <c r="J67" s="10" t="s">
        <v>1371</v>
      </c>
      <c r="K67" s="13">
        <v>43550</v>
      </c>
      <c r="L67" s="26">
        <v>44465</v>
      </c>
      <c r="M67" s="14">
        <f t="shared" ref="M67" si="104">S67/AE67*100</f>
        <v>85</v>
      </c>
      <c r="N67" s="7">
        <v>2</v>
      </c>
      <c r="O67" s="7" t="s">
        <v>364</v>
      </c>
      <c r="P67" s="7" t="s">
        <v>364</v>
      </c>
      <c r="Q67" s="7" t="s">
        <v>213</v>
      </c>
      <c r="R67" s="7" t="s">
        <v>36</v>
      </c>
      <c r="S67" s="18">
        <f t="shared" ref="S67" si="105">T67+U67</f>
        <v>1983050</v>
      </c>
      <c r="T67" s="23">
        <v>1983050</v>
      </c>
      <c r="U67" s="23">
        <v>0</v>
      </c>
      <c r="V67" s="18">
        <f t="shared" ref="V67" si="106">W67+X67</f>
        <v>303290</v>
      </c>
      <c r="W67" s="23">
        <v>303290</v>
      </c>
      <c r="X67" s="23">
        <v>0</v>
      </c>
      <c r="Y67" s="23">
        <f t="shared" ref="Y67" si="107">Z67+AA67</f>
        <v>46660</v>
      </c>
      <c r="Z67" s="23">
        <v>46660</v>
      </c>
      <c r="AA67" s="23">
        <v>0</v>
      </c>
      <c r="AB67" s="16">
        <f t="shared" ref="AB67" si="108">AC67+AD67</f>
        <v>0</v>
      </c>
      <c r="AC67" s="23">
        <v>0</v>
      </c>
      <c r="AD67" s="23">
        <v>0</v>
      </c>
      <c r="AE67" s="16">
        <f t="shared" ref="AE67" si="109">S67+V67+Y67+AB67</f>
        <v>2333000</v>
      </c>
      <c r="AF67" s="63">
        <v>0</v>
      </c>
      <c r="AG67" s="16">
        <f t="shared" ref="AG67" si="110">AE67+AF67</f>
        <v>2333000</v>
      </c>
      <c r="AH67" s="20" t="s">
        <v>615</v>
      </c>
      <c r="AI67" s="63"/>
      <c r="AJ67" s="39">
        <v>0</v>
      </c>
      <c r="AK67" s="39">
        <v>0</v>
      </c>
    </row>
    <row r="68" spans="1:37" s="165" customFormat="1" ht="141.75" x14ac:dyDescent="0.3">
      <c r="A68" s="7">
        <v>62</v>
      </c>
      <c r="B68" s="7">
        <v>126515</v>
      </c>
      <c r="C68" s="11">
        <v>547</v>
      </c>
      <c r="D68" s="7" t="s">
        <v>177</v>
      </c>
      <c r="E68" s="10" t="s">
        <v>998</v>
      </c>
      <c r="F68" s="10" t="s">
        <v>1165</v>
      </c>
      <c r="G68" s="200" t="s">
        <v>1309</v>
      </c>
      <c r="H68" s="10" t="s">
        <v>1310</v>
      </c>
      <c r="I68" s="7" t="s">
        <v>185</v>
      </c>
      <c r="J68" s="10" t="s">
        <v>1311</v>
      </c>
      <c r="K68" s="13">
        <v>43521</v>
      </c>
      <c r="L68" s="26">
        <v>44433</v>
      </c>
      <c r="M68" s="7">
        <f t="shared" si="101"/>
        <v>84.999999929518182</v>
      </c>
      <c r="N68" s="7">
        <v>7</v>
      </c>
      <c r="O68" s="7" t="s">
        <v>1312</v>
      </c>
      <c r="P68" s="7" t="s">
        <v>1313</v>
      </c>
      <c r="Q68" s="7" t="s">
        <v>213</v>
      </c>
      <c r="R68" s="7" t="s">
        <v>36</v>
      </c>
      <c r="S68" s="18">
        <f t="shared" ref="S68" si="111">T68+U68</f>
        <v>2411970.2999999998</v>
      </c>
      <c r="T68" s="23">
        <v>2411970.2999999998</v>
      </c>
      <c r="U68" s="23">
        <v>0</v>
      </c>
      <c r="V68" s="18">
        <f t="shared" si="68"/>
        <v>368889.58</v>
      </c>
      <c r="W68" s="23">
        <v>368889.58</v>
      </c>
      <c r="X68" s="23">
        <v>0</v>
      </c>
      <c r="Y68" s="23">
        <f>Z68+AA68</f>
        <v>56752.24</v>
      </c>
      <c r="Z68" s="23">
        <v>56752.24</v>
      </c>
      <c r="AA68" s="23">
        <v>0</v>
      </c>
      <c r="AB68" s="67">
        <f t="shared" si="69"/>
        <v>0</v>
      </c>
      <c r="AC68" s="23">
        <v>0</v>
      </c>
      <c r="AD68" s="23">
        <v>0</v>
      </c>
      <c r="AE68" s="16">
        <f t="shared" ref="AE68" si="112">S68+V68+Y68+AB68</f>
        <v>2837612.12</v>
      </c>
      <c r="AF68" s="23">
        <v>72392.72</v>
      </c>
      <c r="AG68" s="16">
        <f t="shared" si="70"/>
        <v>2910004.8400000003</v>
      </c>
      <c r="AH68" s="20" t="s">
        <v>615</v>
      </c>
      <c r="AI68" s="63"/>
      <c r="AJ68" s="39">
        <v>0</v>
      </c>
      <c r="AK68" s="39">
        <v>0</v>
      </c>
    </row>
    <row r="69" spans="1:37" s="46" customFormat="1" ht="189" x14ac:dyDescent="0.25">
      <c r="A69" s="7">
        <v>63</v>
      </c>
      <c r="B69" s="7">
        <v>120631</v>
      </c>
      <c r="C69" s="11">
        <v>81</v>
      </c>
      <c r="D69" s="11" t="s">
        <v>171</v>
      </c>
      <c r="E69" s="8" t="s">
        <v>998</v>
      </c>
      <c r="F69" s="9" t="s">
        <v>361</v>
      </c>
      <c r="G69" s="43" t="s">
        <v>257</v>
      </c>
      <c r="H69" s="15" t="s">
        <v>258</v>
      </c>
      <c r="I69" s="11" t="s">
        <v>185</v>
      </c>
      <c r="J69" s="8" t="s">
        <v>259</v>
      </c>
      <c r="K69" s="13">
        <v>43129</v>
      </c>
      <c r="L69" s="26">
        <v>43614</v>
      </c>
      <c r="M69" s="14">
        <f t="shared" ref="M69:M70" si="113">S69/AE69*100</f>
        <v>84.999999195969949</v>
      </c>
      <c r="N69" s="11">
        <v>3</v>
      </c>
      <c r="O69" s="11" t="s">
        <v>260</v>
      </c>
      <c r="P69" s="11" t="s">
        <v>272</v>
      </c>
      <c r="Q69" s="15" t="s">
        <v>213</v>
      </c>
      <c r="R69" s="11" t="s">
        <v>36</v>
      </c>
      <c r="S69" s="16">
        <f t="shared" ref="S69:S70" si="114">T69+U69</f>
        <v>528587.19999999995</v>
      </c>
      <c r="T69" s="45">
        <v>528587.19999999995</v>
      </c>
      <c r="U69" s="23">
        <v>0</v>
      </c>
      <c r="V69" s="18">
        <f t="shared" si="68"/>
        <v>80842.75</v>
      </c>
      <c r="W69" s="45">
        <v>80842.75</v>
      </c>
      <c r="X69" s="23">
        <v>0</v>
      </c>
      <c r="Y69" s="16">
        <f t="shared" ref="Y69:Y70" si="115">Z69+AA69</f>
        <v>12437.35</v>
      </c>
      <c r="Z69" s="45">
        <v>12437.35</v>
      </c>
      <c r="AA69" s="19">
        <v>0</v>
      </c>
      <c r="AB69" s="16">
        <f t="shared" si="69"/>
        <v>0</v>
      </c>
      <c r="AC69" s="19"/>
      <c r="AD69" s="19"/>
      <c r="AE69" s="16">
        <f>S69+V69+Y69+AB69</f>
        <v>621867.29999999993</v>
      </c>
      <c r="AF69" s="19">
        <v>0</v>
      </c>
      <c r="AG69" s="16">
        <f t="shared" si="70"/>
        <v>621867.29999999993</v>
      </c>
      <c r="AH69" s="20" t="s">
        <v>615</v>
      </c>
      <c r="AI69" s="38" t="s">
        <v>185</v>
      </c>
      <c r="AJ69" s="22">
        <f>26400.15+283575.59</f>
        <v>309975.74000000005</v>
      </c>
      <c r="AK69" s="35">
        <f>4037.67+43370.38</f>
        <v>47408.049999999996</v>
      </c>
    </row>
    <row r="70" spans="1:37" s="165" customFormat="1" ht="204.75" x14ac:dyDescent="0.25">
      <c r="A70" s="7">
        <v>64</v>
      </c>
      <c r="B70" s="7">
        <v>118772</v>
      </c>
      <c r="C70" s="7">
        <v>441</v>
      </c>
      <c r="D70" s="7" t="s">
        <v>714</v>
      </c>
      <c r="E70" s="8" t="s">
        <v>733</v>
      </c>
      <c r="F70" s="8" t="s">
        <v>640</v>
      </c>
      <c r="G70" s="43" t="s">
        <v>903</v>
      </c>
      <c r="H70" s="15" t="s">
        <v>902</v>
      </c>
      <c r="I70" s="11" t="s">
        <v>185</v>
      </c>
      <c r="J70" s="8" t="s">
        <v>904</v>
      </c>
      <c r="K70" s="13">
        <v>43313</v>
      </c>
      <c r="L70" s="26">
        <v>43677</v>
      </c>
      <c r="M70" s="14">
        <f t="shared" si="113"/>
        <v>85</v>
      </c>
      <c r="N70" s="7">
        <v>3</v>
      </c>
      <c r="O70" s="11" t="s">
        <v>260</v>
      </c>
      <c r="P70" s="11" t="s">
        <v>905</v>
      </c>
      <c r="Q70" s="15" t="s">
        <v>213</v>
      </c>
      <c r="R70" s="11" t="s">
        <v>36</v>
      </c>
      <c r="S70" s="16">
        <f t="shared" si="114"/>
        <v>232055.1</v>
      </c>
      <c r="T70" s="23">
        <v>232055.1</v>
      </c>
      <c r="U70" s="23">
        <v>0</v>
      </c>
      <c r="V70" s="18">
        <f t="shared" si="68"/>
        <v>35490.78</v>
      </c>
      <c r="W70" s="23">
        <v>35490.78</v>
      </c>
      <c r="X70" s="23">
        <v>0</v>
      </c>
      <c r="Y70" s="16">
        <f t="shared" si="115"/>
        <v>5460.12</v>
      </c>
      <c r="Z70" s="23">
        <v>5460.12</v>
      </c>
      <c r="AA70" s="23">
        <v>0</v>
      </c>
      <c r="AB70" s="16">
        <f t="shared" si="69"/>
        <v>0</v>
      </c>
      <c r="AC70" s="23">
        <v>0</v>
      </c>
      <c r="AD70" s="23">
        <v>0</v>
      </c>
      <c r="AE70" s="16">
        <f t="shared" ref="AE70" si="116">S70+V70+Y70+AB70</f>
        <v>273006</v>
      </c>
      <c r="AF70" s="63">
        <v>0</v>
      </c>
      <c r="AG70" s="16">
        <f t="shared" si="70"/>
        <v>273006</v>
      </c>
      <c r="AH70" s="20" t="s">
        <v>615</v>
      </c>
      <c r="AI70" s="38" t="s">
        <v>185</v>
      </c>
      <c r="AJ70" s="28">
        <f>27300.6+41576.52+27300.6</f>
        <v>96177.72</v>
      </c>
      <c r="AK70" s="22">
        <v>10534.15</v>
      </c>
    </row>
    <row r="71" spans="1:37" s="70" customFormat="1" ht="173.25" x14ac:dyDescent="0.25">
      <c r="A71" s="7">
        <v>65</v>
      </c>
      <c r="B71" s="7">
        <v>120693</v>
      </c>
      <c r="C71" s="11">
        <v>114</v>
      </c>
      <c r="D71" s="11" t="s">
        <v>177</v>
      </c>
      <c r="E71" s="8" t="s">
        <v>998</v>
      </c>
      <c r="F71" s="9" t="s">
        <v>361</v>
      </c>
      <c r="G71" s="51" t="s">
        <v>279</v>
      </c>
      <c r="H71" s="8" t="s">
        <v>280</v>
      </c>
      <c r="I71" s="11" t="s">
        <v>185</v>
      </c>
      <c r="J71" s="68" t="s">
        <v>281</v>
      </c>
      <c r="K71" s="13">
        <v>43145</v>
      </c>
      <c r="L71" s="26">
        <v>43630</v>
      </c>
      <c r="M71" s="32">
        <f t="shared" ref="M71" si="117">S71/AE71*100</f>
        <v>85.000000594539443</v>
      </c>
      <c r="N71" s="11">
        <v>4</v>
      </c>
      <c r="O71" s="11" t="s">
        <v>293</v>
      </c>
      <c r="P71" s="11" t="s">
        <v>282</v>
      </c>
      <c r="Q71" s="15" t="s">
        <v>213</v>
      </c>
      <c r="R71" s="11" t="s">
        <v>36</v>
      </c>
      <c r="S71" s="19">
        <f t="shared" ref="S71:S75" si="118">T71+U71</f>
        <v>357419.52000000002</v>
      </c>
      <c r="T71" s="16">
        <v>357419.52000000002</v>
      </c>
      <c r="U71" s="23">
        <v>0</v>
      </c>
      <c r="V71" s="18">
        <f t="shared" si="68"/>
        <v>54664.160000000003</v>
      </c>
      <c r="W71" s="45">
        <v>54664.160000000003</v>
      </c>
      <c r="X71" s="23">
        <v>0</v>
      </c>
      <c r="Y71" s="18">
        <f t="shared" ref="Y71:Y75" si="119">Z71+AA71</f>
        <v>8409.8700000000008</v>
      </c>
      <c r="Z71" s="45">
        <v>8409.8700000000008</v>
      </c>
      <c r="AA71" s="69">
        <v>0</v>
      </c>
      <c r="AB71" s="16">
        <f t="shared" si="69"/>
        <v>0</v>
      </c>
      <c r="AC71" s="19"/>
      <c r="AD71" s="19"/>
      <c r="AE71" s="19">
        <f>S71+V71+Y71+AB71</f>
        <v>420493.55000000005</v>
      </c>
      <c r="AF71" s="19">
        <v>0</v>
      </c>
      <c r="AG71" s="16">
        <f t="shared" si="70"/>
        <v>420493.55000000005</v>
      </c>
      <c r="AH71" s="20" t="s">
        <v>615</v>
      </c>
      <c r="AI71" s="38" t="s">
        <v>185</v>
      </c>
      <c r="AJ71" s="22">
        <f>23754.1+18458.09</f>
        <v>42212.19</v>
      </c>
      <c r="AK71" s="23">
        <f>3632.98+2823.02</f>
        <v>6456</v>
      </c>
    </row>
    <row r="72" spans="1:37" s="165" customFormat="1" ht="173.25" customHeight="1" x14ac:dyDescent="0.25">
      <c r="A72" s="7">
        <v>66</v>
      </c>
      <c r="B72" s="7">
        <v>119288</v>
      </c>
      <c r="C72" s="11">
        <v>487</v>
      </c>
      <c r="D72" s="7" t="s">
        <v>175</v>
      </c>
      <c r="E72" s="11" t="s">
        <v>1071</v>
      </c>
      <c r="F72" s="11" t="s">
        <v>574</v>
      </c>
      <c r="G72" s="170" t="s">
        <v>674</v>
      </c>
      <c r="H72" s="8" t="s">
        <v>673</v>
      </c>
      <c r="I72" s="7" t="s">
        <v>185</v>
      </c>
      <c r="J72" s="10" t="s">
        <v>675</v>
      </c>
      <c r="K72" s="13">
        <v>43272</v>
      </c>
      <c r="L72" s="26">
        <v>43667</v>
      </c>
      <c r="M72" s="32">
        <f t="shared" ref="M72:M77" si="120">S72/AE72*100</f>
        <v>85</v>
      </c>
      <c r="N72" s="11">
        <v>4</v>
      </c>
      <c r="O72" s="11" t="s">
        <v>293</v>
      </c>
      <c r="P72" s="11" t="s">
        <v>450</v>
      </c>
      <c r="Q72" s="15" t="s">
        <v>213</v>
      </c>
      <c r="R72" s="11" t="s">
        <v>36</v>
      </c>
      <c r="S72" s="19">
        <f t="shared" si="118"/>
        <v>360400</v>
      </c>
      <c r="T72" s="23">
        <v>360400</v>
      </c>
      <c r="U72" s="23">
        <v>0</v>
      </c>
      <c r="V72" s="18">
        <f t="shared" si="68"/>
        <v>55120</v>
      </c>
      <c r="W72" s="16">
        <v>55120</v>
      </c>
      <c r="X72" s="6">
        <v>0</v>
      </c>
      <c r="Y72" s="18">
        <f t="shared" si="119"/>
        <v>8480</v>
      </c>
      <c r="Z72" s="30">
        <v>8480</v>
      </c>
      <c r="AA72" s="23">
        <v>0</v>
      </c>
      <c r="AB72" s="16">
        <f t="shared" si="69"/>
        <v>0</v>
      </c>
      <c r="AC72" s="30">
        <v>0</v>
      </c>
      <c r="AD72" s="30">
        <v>0</v>
      </c>
      <c r="AE72" s="19">
        <f t="shared" ref="AE72:AE75" si="121">S72+V72+Y72+AB72</f>
        <v>424000</v>
      </c>
      <c r="AF72" s="63"/>
      <c r="AG72" s="16">
        <f t="shared" si="70"/>
        <v>424000</v>
      </c>
      <c r="AH72" s="20" t="s">
        <v>615</v>
      </c>
      <c r="AI72" s="38" t="s">
        <v>185</v>
      </c>
      <c r="AJ72" s="22">
        <f>37115.76+50985.81</f>
        <v>88101.57</v>
      </c>
      <c r="AK72" s="23">
        <f>5676.53+7797.82</f>
        <v>13474.349999999999</v>
      </c>
    </row>
    <row r="73" spans="1:37" s="166" customFormat="1" ht="299.25" x14ac:dyDescent="0.25">
      <c r="A73" s="7">
        <v>67</v>
      </c>
      <c r="B73" s="11">
        <v>118780</v>
      </c>
      <c r="C73" s="11">
        <v>443</v>
      </c>
      <c r="D73" s="11" t="s">
        <v>175</v>
      </c>
      <c r="E73" s="8" t="s">
        <v>733</v>
      </c>
      <c r="F73" s="8" t="s">
        <v>640</v>
      </c>
      <c r="G73" s="170" t="s">
        <v>885</v>
      </c>
      <c r="H73" s="8" t="s">
        <v>280</v>
      </c>
      <c r="I73" s="11" t="s">
        <v>886</v>
      </c>
      <c r="J73" s="8" t="s">
        <v>887</v>
      </c>
      <c r="K73" s="26">
        <v>43312</v>
      </c>
      <c r="L73" s="26">
        <v>43677</v>
      </c>
      <c r="M73" s="32">
        <f t="shared" si="120"/>
        <v>84.150233941460755</v>
      </c>
      <c r="N73" s="11">
        <v>4</v>
      </c>
      <c r="O73" s="11" t="s">
        <v>629</v>
      </c>
      <c r="P73" s="11" t="s">
        <v>888</v>
      </c>
      <c r="Q73" s="15" t="s">
        <v>213</v>
      </c>
      <c r="R73" s="11" t="s">
        <v>36</v>
      </c>
      <c r="S73" s="19">
        <f t="shared" si="118"/>
        <v>230233.66</v>
      </c>
      <c r="T73" s="22">
        <v>230233.66</v>
      </c>
      <c r="U73" s="22">
        <v>0</v>
      </c>
      <c r="V73" s="18">
        <f t="shared" si="68"/>
        <v>37892.730000000003</v>
      </c>
      <c r="W73" s="22">
        <v>37892.730000000003</v>
      </c>
      <c r="X73" s="22">
        <v>0</v>
      </c>
      <c r="Y73" s="18">
        <f t="shared" si="119"/>
        <v>2736.73</v>
      </c>
      <c r="Z73" s="22">
        <v>2736.73</v>
      </c>
      <c r="AA73" s="22">
        <v>0</v>
      </c>
      <c r="AB73" s="16">
        <f t="shared" si="69"/>
        <v>2735.24</v>
      </c>
      <c r="AC73" s="22">
        <v>2735.24</v>
      </c>
      <c r="AD73" s="33">
        <v>0</v>
      </c>
      <c r="AE73" s="19">
        <f t="shared" si="121"/>
        <v>273598.36</v>
      </c>
      <c r="AF73" s="20">
        <v>0</v>
      </c>
      <c r="AG73" s="16">
        <f t="shared" si="70"/>
        <v>273598.36</v>
      </c>
      <c r="AH73" s="20" t="s">
        <v>615</v>
      </c>
      <c r="AI73" s="38" t="s">
        <v>185</v>
      </c>
      <c r="AJ73" s="28">
        <f>20000+13556.78+14548.44+16155.2</f>
        <v>64260.42</v>
      </c>
      <c r="AK73" s="22">
        <f>5449.34+2345.17+2850.92</f>
        <v>10645.43</v>
      </c>
    </row>
    <row r="74" spans="1:37" s="165" customFormat="1" ht="393.75" x14ac:dyDescent="0.25">
      <c r="A74" s="7">
        <v>68</v>
      </c>
      <c r="B74" s="11">
        <v>119830</v>
      </c>
      <c r="C74" s="11">
        <v>474</v>
      </c>
      <c r="D74" s="11" t="s">
        <v>172</v>
      </c>
      <c r="E74" s="11" t="s">
        <v>1071</v>
      </c>
      <c r="F74" s="11" t="s">
        <v>574</v>
      </c>
      <c r="G74" s="170" t="s">
        <v>953</v>
      </c>
      <c r="H74" s="11" t="s">
        <v>954</v>
      </c>
      <c r="I74" s="7" t="s">
        <v>185</v>
      </c>
      <c r="J74" s="8" t="s">
        <v>955</v>
      </c>
      <c r="K74" s="13">
        <v>43322</v>
      </c>
      <c r="L74" s="26">
        <v>43779</v>
      </c>
      <c r="M74" s="32">
        <f t="shared" si="120"/>
        <v>84.999997553055863</v>
      </c>
      <c r="N74" s="11">
        <v>4</v>
      </c>
      <c r="O74" s="11" t="s">
        <v>629</v>
      </c>
      <c r="P74" s="11" t="s">
        <v>956</v>
      </c>
      <c r="Q74" s="15" t="s">
        <v>213</v>
      </c>
      <c r="R74" s="11" t="s">
        <v>36</v>
      </c>
      <c r="S74" s="19">
        <f t="shared" si="118"/>
        <v>347372.04</v>
      </c>
      <c r="T74" s="22">
        <v>347372.04</v>
      </c>
      <c r="U74" s="22">
        <v>0</v>
      </c>
      <c r="V74" s="18">
        <f t="shared" si="68"/>
        <v>53127.519999999997</v>
      </c>
      <c r="W74" s="33">
        <v>53127.519999999997</v>
      </c>
      <c r="X74" s="33">
        <v>0</v>
      </c>
      <c r="Y74" s="18">
        <f t="shared" si="119"/>
        <v>8173.4400000000005</v>
      </c>
      <c r="Z74" s="22">
        <v>8173.4400000000005</v>
      </c>
      <c r="AA74" s="22">
        <v>0</v>
      </c>
      <c r="AB74" s="19">
        <f t="shared" si="69"/>
        <v>0</v>
      </c>
      <c r="AC74" s="71">
        <v>0</v>
      </c>
      <c r="AD74" s="71">
        <v>0</v>
      </c>
      <c r="AE74" s="19">
        <f>S74+V74+Y74+AB74</f>
        <v>408673</v>
      </c>
      <c r="AF74" s="19">
        <v>0</v>
      </c>
      <c r="AG74" s="16">
        <f t="shared" si="70"/>
        <v>408673</v>
      </c>
      <c r="AH74" s="63" t="s">
        <v>615</v>
      </c>
      <c r="AI74" s="38" t="s">
        <v>1110</v>
      </c>
      <c r="AJ74" s="28">
        <f>35636.51+21048.64</f>
        <v>56685.15</v>
      </c>
      <c r="AK74" s="23">
        <v>2750.67</v>
      </c>
    </row>
    <row r="75" spans="1:37" s="165" customFormat="1" ht="163.5" customHeight="1" x14ac:dyDescent="0.25">
      <c r="A75" s="7">
        <v>69</v>
      </c>
      <c r="B75" s="11">
        <v>118793</v>
      </c>
      <c r="C75" s="11">
        <v>446</v>
      </c>
      <c r="D75" s="11" t="s">
        <v>1104</v>
      </c>
      <c r="E75" s="8" t="s">
        <v>733</v>
      </c>
      <c r="F75" s="11" t="s">
        <v>640</v>
      </c>
      <c r="G75" s="8" t="s">
        <v>957</v>
      </c>
      <c r="H75" s="11" t="s">
        <v>954</v>
      </c>
      <c r="I75" s="7"/>
      <c r="J75" s="29" t="s">
        <v>958</v>
      </c>
      <c r="K75" s="13">
        <v>43322</v>
      </c>
      <c r="L75" s="26">
        <v>43687</v>
      </c>
      <c r="M75" s="32">
        <f t="shared" si="120"/>
        <v>85.000000000000014</v>
      </c>
      <c r="N75" s="11">
        <v>4</v>
      </c>
      <c r="O75" s="11" t="s">
        <v>629</v>
      </c>
      <c r="P75" s="11" t="s">
        <v>956</v>
      </c>
      <c r="Q75" s="11" t="s">
        <v>213</v>
      </c>
      <c r="R75" s="11" t="s">
        <v>36</v>
      </c>
      <c r="S75" s="19">
        <f t="shared" si="118"/>
        <v>239897.2</v>
      </c>
      <c r="T75" s="72">
        <v>239897.2</v>
      </c>
      <c r="U75" s="33">
        <v>0</v>
      </c>
      <c r="V75" s="18">
        <f t="shared" si="68"/>
        <v>36690.160000000003</v>
      </c>
      <c r="W75" s="33">
        <v>36690.160000000003</v>
      </c>
      <c r="X75" s="33">
        <v>0</v>
      </c>
      <c r="Y75" s="18">
        <f t="shared" si="119"/>
        <v>5644.6399999999994</v>
      </c>
      <c r="Z75" s="22">
        <v>5644.6399999999994</v>
      </c>
      <c r="AA75" s="22">
        <v>0</v>
      </c>
      <c r="AB75" s="19">
        <f t="shared" si="69"/>
        <v>0</v>
      </c>
      <c r="AC75" s="33"/>
      <c r="AD75" s="33"/>
      <c r="AE75" s="19">
        <f t="shared" si="121"/>
        <v>282232</v>
      </c>
      <c r="AF75" s="20"/>
      <c r="AG75" s="19">
        <f t="shared" si="70"/>
        <v>282232</v>
      </c>
      <c r="AH75" s="20" t="s">
        <v>901</v>
      </c>
      <c r="AI75" s="63"/>
      <c r="AJ75" s="28">
        <f>28223.2-2998.75+22606.01+22326.95-3666.19+27637.47</f>
        <v>94128.69</v>
      </c>
      <c r="AK75" s="22">
        <f>2998.75+3414.71+3666.19</f>
        <v>10079.65</v>
      </c>
    </row>
    <row r="76" spans="1:37" s="172" customFormat="1" ht="178.5" customHeight="1" x14ac:dyDescent="0.25">
      <c r="A76" s="7">
        <v>70</v>
      </c>
      <c r="B76" s="73">
        <v>126292</v>
      </c>
      <c r="C76" s="73">
        <v>514</v>
      </c>
      <c r="D76" s="61" t="s">
        <v>177</v>
      </c>
      <c r="E76" s="74" t="s">
        <v>998</v>
      </c>
      <c r="F76" s="61" t="s">
        <v>1165</v>
      </c>
      <c r="G76" s="75" t="s">
        <v>1185</v>
      </c>
      <c r="H76" s="61" t="s">
        <v>1186</v>
      </c>
      <c r="I76" s="171" t="s">
        <v>185</v>
      </c>
      <c r="J76" s="76" t="s">
        <v>1187</v>
      </c>
      <c r="K76" s="13">
        <v>43439</v>
      </c>
      <c r="L76" s="26">
        <v>43926</v>
      </c>
      <c r="M76" s="32">
        <f t="shared" si="120"/>
        <v>84.999999635678833</v>
      </c>
      <c r="N76" s="73">
        <v>4</v>
      </c>
      <c r="O76" s="61" t="s">
        <v>629</v>
      </c>
      <c r="P76" s="61" t="s">
        <v>450</v>
      </c>
      <c r="Q76" s="61" t="s">
        <v>213</v>
      </c>
      <c r="R76" s="61" t="s">
        <v>1188</v>
      </c>
      <c r="S76" s="19">
        <f>T76+U76</f>
        <v>2333106.34</v>
      </c>
      <c r="T76" s="22">
        <v>2333106.34</v>
      </c>
      <c r="U76" s="22">
        <v>0</v>
      </c>
      <c r="V76" s="18">
        <f>W76+X76</f>
        <v>356828.04</v>
      </c>
      <c r="W76" s="22">
        <v>356828.04</v>
      </c>
      <c r="X76" s="22">
        <v>0</v>
      </c>
      <c r="Y76" s="18">
        <f>Z76+AA76</f>
        <v>54896.62</v>
      </c>
      <c r="Z76" s="22">
        <v>54896.62</v>
      </c>
      <c r="AA76" s="22">
        <v>0</v>
      </c>
      <c r="AB76" s="18">
        <v>0</v>
      </c>
      <c r="AC76" s="22">
        <v>0</v>
      </c>
      <c r="AD76" s="22">
        <v>0</v>
      </c>
      <c r="AE76" s="19">
        <f>S76+V76+Y76+AB76</f>
        <v>2744831</v>
      </c>
      <c r="AF76" s="22"/>
      <c r="AG76" s="19">
        <f>AE76+AF76</f>
        <v>2744831</v>
      </c>
      <c r="AH76" s="20" t="s">
        <v>901</v>
      </c>
      <c r="AI76" s="23"/>
      <c r="AJ76" s="28">
        <v>0</v>
      </c>
      <c r="AK76" s="22">
        <v>0</v>
      </c>
    </row>
    <row r="77" spans="1:37" s="173" customFormat="1" ht="187.5" customHeight="1" x14ac:dyDescent="0.25">
      <c r="A77" s="7">
        <v>71</v>
      </c>
      <c r="B77" s="73">
        <v>126320</v>
      </c>
      <c r="C77" s="73">
        <v>515</v>
      </c>
      <c r="D77" s="61" t="s">
        <v>176</v>
      </c>
      <c r="E77" s="61" t="s">
        <v>998</v>
      </c>
      <c r="F77" s="61" t="s">
        <v>1165</v>
      </c>
      <c r="G77" s="177" t="s">
        <v>1322</v>
      </c>
      <c r="H77" s="11" t="s">
        <v>280</v>
      </c>
      <c r="I77" s="171" t="s">
        <v>1325</v>
      </c>
      <c r="J77" s="74" t="s">
        <v>1324</v>
      </c>
      <c r="K77" s="13">
        <v>43531</v>
      </c>
      <c r="L77" s="26">
        <v>44446</v>
      </c>
      <c r="M77" s="32">
        <f t="shared" si="120"/>
        <v>84.263733041248912</v>
      </c>
      <c r="N77" s="73">
        <v>4</v>
      </c>
      <c r="O77" s="61" t="s">
        <v>629</v>
      </c>
      <c r="P77" s="61" t="s">
        <v>888</v>
      </c>
      <c r="Q77" s="61" t="s">
        <v>213</v>
      </c>
      <c r="R77" s="7" t="s">
        <v>36</v>
      </c>
      <c r="S77" s="77">
        <f t="shared" ref="S77" si="122">T77+U77</f>
        <v>2765436.54</v>
      </c>
      <c r="T77" s="61">
        <v>2765436.54</v>
      </c>
      <c r="U77" s="61">
        <v>0</v>
      </c>
      <c r="V77" s="78">
        <f t="shared" ref="V77" si="123">W77+X77</f>
        <v>450808.12</v>
      </c>
      <c r="W77" s="61">
        <v>450808.12</v>
      </c>
      <c r="X77" s="61">
        <v>0</v>
      </c>
      <c r="Y77" s="78">
        <f t="shared" ref="Y77" si="124">Z77+AA77</f>
        <v>28427.56</v>
      </c>
      <c r="Z77" s="61">
        <v>28427.56</v>
      </c>
      <c r="AA77" s="61">
        <v>0</v>
      </c>
      <c r="AB77" s="36">
        <f t="shared" ref="AB77" si="125">AC77+AD77</f>
        <v>37210.080000000002</v>
      </c>
      <c r="AC77" s="61">
        <v>37210.080000000002</v>
      </c>
      <c r="AD77" s="61">
        <v>0</v>
      </c>
      <c r="AE77" s="77">
        <f>S77+V77+Y77+AB77</f>
        <v>3281882.3000000003</v>
      </c>
      <c r="AF77" s="61">
        <v>0</v>
      </c>
      <c r="AG77" s="77">
        <f t="shared" ref="AG77" si="126">AE77+AF77</f>
        <v>3281882.3000000003</v>
      </c>
      <c r="AH77" s="73"/>
      <c r="AI77" s="171"/>
      <c r="AJ77" s="28">
        <v>0</v>
      </c>
      <c r="AK77" s="22">
        <v>0</v>
      </c>
    </row>
    <row r="78" spans="1:37" s="165" customFormat="1" ht="252" x14ac:dyDescent="0.25">
      <c r="A78" s="7">
        <v>72</v>
      </c>
      <c r="B78" s="7">
        <v>120590</v>
      </c>
      <c r="C78" s="11">
        <v>69</v>
      </c>
      <c r="D78" s="7" t="s">
        <v>714</v>
      </c>
      <c r="E78" s="8" t="s">
        <v>998</v>
      </c>
      <c r="F78" s="9" t="s">
        <v>361</v>
      </c>
      <c r="G78" s="10" t="s">
        <v>214</v>
      </c>
      <c r="H78" s="10" t="s">
        <v>217</v>
      </c>
      <c r="I78" s="7" t="s">
        <v>185</v>
      </c>
      <c r="J78" s="34" t="s">
        <v>220</v>
      </c>
      <c r="K78" s="13">
        <v>43129</v>
      </c>
      <c r="L78" s="26">
        <v>43553</v>
      </c>
      <c r="M78" s="14">
        <f t="shared" ref="M78:M79" si="127">S78/AE78*100</f>
        <v>85</v>
      </c>
      <c r="N78" s="7">
        <v>2</v>
      </c>
      <c r="O78" s="7" t="s">
        <v>227</v>
      </c>
      <c r="P78" s="7" t="s">
        <v>225</v>
      </c>
      <c r="Q78" s="30" t="s">
        <v>213</v>
      </c>
      <c r="R78" s="7" t="s">
        <v>36</v>
      </c>
      <c r="S78" s="16">
        <f t="shared" ref="S78:S79" si="128">T78+U78</f>
        <v>312939.57</v>
      </c>
      <c r="T78" s="16">
        <v>312939.57</v>
      </c>
      <c r="U78" s="16">
        <v>0</v>
      </c>
      <c r="V78" s="18">
        <f t="shared" si="68"/>
        <v>47861.35</v>
      </c>
      <c r="W78" s="16">
        <v>47861.35</v>
      </c>
      <c r="X78" s="16">
        <v>0</v>
      </c>
      <c r="Y78" s="16">
        <f t="shared" ref="Y78:Y79" si="129">Z78+AA78</f>
        <v>7363.28</v>
      </c>
      <c r="Z78" s="16">
        <v>7363.28</v>
      </c>
      <c r="AA78" s="16">
        <v>0</v>
      </c>
      <c r="AB78" s="16">
        <f t="shared" si="69"/>
        <v>0</v>
      </c>
      <c r="AC78" s="16"/>
      <c r="AD78" s="16"/>
      <c r="AE78" s="16">
        <f>S78+V78+Y78+AB78</f>
        <v>368164.2</v>
      </c>
      <c r="AF78" s="16">
        <v>0</v>
      </c>
      <c r="AG78" s="16">
        <f t="shared" si="70"/>
        <v>368164.2</v>
      </c>
      <c r="AH78" s="20" t="s">
        <v>1103</v>
      </c>
      <c r="AI78" s="21" t="s">
        <v>185</v>
      </c>
      <c r="AJ78" s="22">
        <f>9308-1234.73+160612.06+49663.87+46769.73</f>
        <v>265118.93</v>
      </c>
      <c r="AK78" s="35">
        <f>1234.73+24564.19+7595.65+7153.01</f>
        <v>40547.58</v>
      </c>
    </row>
    <row r="79" spans="1:37" s="166" customFormat="1" ht="409.5" x14ac:dyDescent="0.25">
      <c r="A79" s="7">
        <v>73</v>
      </c>
      <c r="B79" s="11">
        <v>118013</v>
      </c>
      <c r="C79" s="11">
        <v>419</v>
      </c>
      <c r="D79" s="11"/>
      <c r="E79" s="8" t="s">
        <v>733</v>
      </c>
      <c r="F79" s="11" t="s">
        <v>640</v>
      </c>
      <c r="G79" s="8" t="s">
        <v>999</v>
      </c>
      <c r="H79" s="8" t="s">
        <v>1000</v>
      </c>
      <c r="I79" s="11" t="s">
        <v>185</v>
      </c>
      <c r="J79" s="8" t="s">
        <v>1001</v>
      </c>
      <c r="K79" s="26">
        <v>43336</v>
      </c>
      <c r="L79" s="26">
        <v>43762</v>
      </c>
      <c r="M79" s="32">
        <f t="shared" si="127"/>
        <v>84.999998597642829</v>
      </c>
      <c r="N79" s="11">
        <v>2</v>
      </c>
      <c r="O79" s="7" t="s">
        <v>227</v>
      </c>
      <c r="P79" s="7" t="s">
        <v>225</v>
      </c>
      <c r="Q79" s="30" t="s">
        <v>213</v>
      </c>
      <c r="R79" s="7" t="s">
        <v>36</v>
      </c>
      <c r="S79" s="19">
        <f t="shared" si="128"/>
        <v>242448.93</v>
      </c>
      <c r="T79" s="22">
        <v>242448.93</v>
      </c>
      <c r="U79" s="22">
        <v>0</v>
      </c>
      <c r="V79" s="18">
        <f t="shared" si="68"/>
        <v>37080.43</v>
      </c>
      <c r="W79" s="22">
        <v>37080.43</v>
      </c>
      <c r="X79" s="33">
        <v>0</v>
      </c>
      <c r="Y79" s="16">
        <f t="shared" si="129"/>
        <v>5704.68</v>
      </c>
      <c r="Z79" s="22">
        <v>5704.68</v>
      </c>
      <c r="AA79" s="22">
        <v>0</v>
      </c>
      <c r="AB79" s="19">
        <f t="shared" si="69"/>
        <v>0</v>
      </c>
      <c r="AC79" s="22">
        <v>0</v>
      </c>
      <c r="AD79" s="22">
        <v>0</v>
      </c>
      <c r="AE79" s="19">
        <f t="shared" ref="AE79:AE122" si="130">S79+V79+Y79+AB79</f>
        <v>285234.03999999998</v>
      </c>
      <c r="AF79" s="20">
        <v>0</v>
      </c>
      <c r="AG79" s="19">
        <f t="shared" si="70"/>
        <v>285234.03999999998</v>
      </c>
      <c r="AH79" s="20" t="s">
        <v>615</v>
      </c>
      <c r="AI79" s="21" t="s">
        <v>185</v>
      </c>
      <c r="AJ79" s="28">
        <v>15022.29</v>
      </c>
      <c r="AK79" s="22">
        <v>2297.52</v>
      </c>
    </row>
    <row r="80" spans="1:37" s="165" customFormat="1" ht="189" x14ac:dyDescent="0.25">
      <c r="A80" s="7">
        <v>74</v>
      </c>
      <c r="B80" s="7">
        <v>126419</v>
      </c>
      <c r="C80" s="11">
        <v>561</v>
      </c>
      <c r="D80" s="7" t="s">
        <v>174</v>
      </c>
      <c r="E80" s="11" t="s">
        <v>998</v>
      </c>
      <c r="F80" s="9" t="s">
        <v>1165</v>
      </c>
      <c r="G80" s="8" t="s">
        <v>1170</v>
      </c>
      <c r="H80" s="24" t="s">
        <v>1000</v>
      </c>
      <c r="I80" s="11" t="s">
        <v>185</v>
      </c>
      <c r="J80" s="12" t="s">
        <v>1171</v>
      </c>
      <c r="K80" s="26">
        <v>43432</v>
      </c>
      <c r="L80" s="26">
        <v>44283</v>
      </c>
      <c r="M80" s="14">
        <f t="shared" ref="M80:M82" si="131">S80/AE80*100</f>
        <v>85</v>
      </c>
      <c r="N80" s="7">
        <v>2</v>
      </c>
      <c r="O80" s="11" t="s">
        <v>227</v>
      </c>
      <c r="P80" s="7" t="s">
        <v>225</v>
      </c>
      <c r="Q80" s="58" t="s">
        <v>213</v>
      </c>
      <c r="R80" s="59" t="s">
        <v>36</v>
      </c>
      <c r="S80" s="60">
        <f t="shared" ref="S80:S82" si="132">T80+U80</f>
        <v>2627225.9</v>
      </c>
      <c r="T80" s="23">
        <v>2627225.9</v>
      </c>
      <c r="U80" s="23">
        <v>0</v>
      </c>
      <c r="V80" s="18">
        <f t="shared" ref="V80:V82" si="133">W80+X80</f>
        <v>401811.02</v>
      </c>
      <c r="W80" s="16">
        <v>401811.02</v>
      </c>
      <c r="X80" s="23">
        <v>0</v>
      </c>
      <c r="Y80" s="61">
        <f t="shared" ref="Y80:Y82" si="134">Z80+AA80</f>
        <v>61817.079999999994</v>
      </c>
      <c r="Z80" s="62">
        <v>61817.079999999994</v>
      </c>
      <c r="AA80" s="23">
        <v>0</v>
      </c>
      <c r="AB80" s="19">
        <f t="shared" si="69"/>
        <v>0</v>
      </c>
      <c r="AC80" s="23">
        <v>0</v>
      </c>
      <c r="AD80" s="23">
        <v>0</v>
      </c>
      <c r="AE80" s="16">
        <f>S80+V80+Y80+AB80</f>
        <v>3090854</v>
      </c>
      <c r="AF80" s="6">
        <v>0</v>
      </c>
      <c r="AG80" s="16">
        <f t="shared" ref="AG80:AG82" si="135">AE80+AF80</f>
        <v>3090854</v>
      </c>
      <c r="AH80" s="6" t="s">
        <v>615</v>
      </c>
      <c r="AI80" s="63" t="s">
        <v>185</v>
      </c>
      <c r="AJ80" s="28">
        <v>0</v>
      </c>
      <c r="AK80" s="22">
        <v>0</v>
      </c>
    </row>
    <row r="81" spans="1:37" s="165" customFormat="1" ht="173.25" x14ac:dyDescent="0.25">
      <c r="A81" s="7">
        <v>75</v>
      </c>
      <c r="B81" s="7">
        <v>125256</v>
      </c>
      <c r="C81" s="11">
        <v>562</v>
      </c>
      <c r="D81" s="7" t="s">
        <v>176</v>
      </c>
      <c r="E81" s="11" t="s">
        <v>998</v>
      </c>
      <c r="F81" s="9" t="s">
        <v>1165</v>
      </c>
      <c r="G81" s="8" t="s">
        <v>1201</v>
      </c>
      <c r="H81" s="10" t="s">
        <v>1202</v>
      </c>
      <c r="I81" s="11" t="s">
        <v>185</v>
      </c>
      <c r="J81" s="12" t="s">
        <v>1200</v>
      </c>
      <c r="K81" s="26">
        <v>43444</v>
      </c>
      <c r="L81" s="26">
        <v>43809</v>
      </c>
      <c r="M81" s="14">
        <f t="shared" si="131"/>
        <v>84.999999921204406</v>
      </c>
      <c r="N81" s="7">
        <v>2</v>
      </c>
      <c r="O81" s="11" t="s">
        <v>227</v>
      </c>
      <c r="P81" s="11" t="s">
        <v>227</v>
      </c>
      <c r="Q81" s="58" t="s">
        <v>213</v>
      </c>
      <c r="R81" s="59" t="s">
        <v>36</v>
      </c>
      <c r="S81" s="60">
        <f t="shared" si="132"/>
        <v>3236221.13</v>
      </c>
      <c r="T81" s="23">
        <v>3236221.13</v>
      </c>
      <c r="U81" s="23">
        <v>0</v>
      </c>
      <c r="V81" s="18">
        <f t="shared" si="133"/>
        <v>494951.47</v>
      </c>
      <c r="W81" s="16">
        <v>494951.47</v>
      </c>
      <c r="X81" s="23">
        <v>0</v>
      </c>
      <c r="Y81" s="61">
        <f t="shared" si="134"/>
        <v>76146.38</v>
      </c>
      <c r="Z81" s="62">
        <v>76146.38</v>
      </c>
      <c r="AA81" s="23">
        <v>0</v>
      </c>
      <c r="AB81" s="19">
        <f t="shared" si="69"/>
        <v>0</v>
      </c>
      <c r="AC81" s="23">
        <v>0</v>
      </c>
      <c r="AD81" s="23">
        <v>0</v>
      </c>
      <c r="AE81" s="16">
        <f t="shared" ref="AE81:AE82" si="136">S81+V81+Y81+AB81</f>
        <v>3807318.9799999995</v>
      </c>
      <c r="AF81" s="6">
        <v>630578.23</v>
      </c>
      <c r="AG81" s="16">
        <f t="shared" si="135"/>
        <v>4437897.209999999</v>
      </c>
      <c r="AH81" s="6" t="s">
        <v>901</v>
      </c>
      <c r="AI81" s="63"/>
      <c r="AJ81" s="28">
        <v>160000</v>
      </c>
      <c r="AK81" s="22">
        <v>0</v>
      </c>
    </row>
    <row r="82" spans="1:37" s="165" customFormat="1" ht="346.5" x14ac:dyDescent="0.25">
      <c r="A82" s="7">
        <v>76</v>
      </c>
      <c r="B82" s="7">
        <v>126291</v>
      </c>
      <c r="C82" s="11">
        <v>535</v>
      </c>
      <c r="D82" s="7" t="s">
        <v>175</v>
      </c>
      <c r="E82" s="11" t="s">
        <v>998</v>
      </c>
      <c r="F82" s="9" t="s">
        <v>1165</v>
      </c>
      <c r="G82" s="8" t="s">
        <v>1271</v>
      </c>
      <c r="H82" s="24" t="s">
        <v>1272</v>
      </c>
      <c r="I82" s="11" t="s">
        <v>451</v>
      </c>
      <c r="J82" s="12" t="s">
        <v>1273</v>
      </c>
      <c r="K82" s="26">
        <v>43493</v>
      </c>
      <c r="L82" s="26">
        <v>44343</v>
      </c>
      <c r="M82" s="14">
        <f t="shared" si="131"/>
        <v>85</v>
      </c>
      <c r="N82" s="7">
        <v>2</v>
      </c>
      <c r="O82" s="11" t="s">
        <v>227</v>
      </c>
      <c r="P82" s="7" t="s">
        <v>227</v>
      </c>
      <c r="Q82" s="58" t="s">
        <v>213</v>
      </c>
      <c r="R82" s="59" t="s">
        <v>36</v>
      </c>
      <c r="S82" s="60">
        <f t="shared" si="132"/>
        <v>1421225.5</v>
      </c>
      <c r="T82" s="23">
        <v>1421225.5</v>
      </c>
      <c r="U82" s="23">
        <v>0</v>
      </c>
      <c r="V82" s="18">
        <f t="shared" si="133"/>
        <v>217363.9</v>
      </c>
      <c r="W82" s="16">
        <v>217363.9</v>
      </c>
      <c r="X82" s="6">
        <v>0</v>
      </c>
      <c r="Y82" s="61">
        <f t="shared" si="134"/>
        <v>33440.6</v>
      </c>
      <c r="Z82" s="62">
        <v>33440.6</v>
      </c>
      <c r="AA82" s="23">
        <v>0</v>
      </c>
      <c r="AB82" s="19">
        <f t="shared" si="69"/>
        <v>0</v>
      </c>
      <c r="AC82" s="11"/>
      <c r="AD82" s="23"/>
      <c r="AE82" s="16">
        <f t="shared" si="136"/>
        <v>1672030</v>
      </c>
      <c r="AF82" s="6"/>
      <c r="AG82" s="16">
        <f t="shared" si="135"/>
        <v>1672030</v>
      </c>
      <c r="AH82" s="6" t="s">
        <v>901</v>
      </c>
      <c r="AI82" s="63"/>
      <c r="AJ82" s="28">
        <v>61734</v>
      </c>
      <c r="AK82" s="22">
        <v>0</v>
      </c>
    </row>
    <row r="83" spans="1:37" s="165" customFormat="1" ht="141.75" x14ac:dyDescent="0.25">
      <c r="A83" s="7">
        <v>77</v>
      </c>
      <c r="B83" s="7">
        <v>111029</v>
      </c>
      <c r="C83" s="11">
        <v>126</v>
      </c>
      <c r="D83" s="7" t="s">
        <v>172</v>
      </c>
      <c r="E83" s="8" t="s">
        <v>998</v>
      </c>
      <c r="F83" s="9" t="s">
        <v>361</v>
      </c>
      <c r="G83" s="47" t="s">
        <v>421</v>
      </c>
      <c r="H83" s="24" t="s">
        <v>422</v>
      </c>
      <c r="I83" s="11" t="s">
        <v>185</v>
      </c>
      <c r="J83" s="12" t="s">
        <v>423</v>
      </c>
      <c r="K83" s="13">
        <v>43208</v>
      </c>
      <c r="L83" s="26">
        <v>43695</v>
      </c>
      <c r="M83" s="14">
        <f t="shared" ref="M83" si="137">S83/AE83*100</f>
        <v>85.000001177275294</v>
      </c>
      <c r="N83" s="7">
        <v>3</v>
      </c>
      <c r="O83" s="7" t="s">
        <v>420</v>
      </c>
      <c r="P83" s="7" t="s">
        <v>420</v>
      </c>
      <c r="Q83" s="15" t="s">
        <v>213</v>
      </c>
      <c r="R83" s="7" t="s">
        <v>36</v>
      </c>
      <c r="S83" s="18">
        <f t="shared" ref="S83" si="138">T83+U83</f>
        <v>361003.08</v>
      </c>
      <c r="T83" s="16">
        <v>361003.08</v>
      </c>
      <c r="U83" s="16">
        <v>0</v>
      </c>
      <c r="V83" s="18">
        <f t="shared" si="68"/>
        <v>55212.23</v>
      </c>
      <c r="W83" s="16">
        <v>55212.23</v>
      </c>
      <c r="X83" s="16"/>
      <c r="Y83" s="18">
        <f>Z83+AA83</f>
        <v>8494.19</v>
      </c>
      <c r="Z83" s="16">
        <v>8494.19</v>
      </c>
      <c r="AA83" s="16">
        <v>0</v>
      </c>
      <c r="AB83" s="16">
        <f t="shared" si="69"/>
        <v>0</v>
      </c>
      <c r="AC83" s="16"/>
      <c r="AD83" s="16"/>
      <c r="AE83" s="16">
        <f t="shared" si="130"/>
        <v>424709.5</v>
      </c>
      <c r="AF83" s="16">
        <v>0</v>
      </c>
      <c r="AG83" s="16">
        <f t="shared" si="70"/>
        <v>424709.5</v>
      </c>
      <c r="AH83" s="20" t="s">
        <v>615</v>
      </c>
      <c r="AI83" s="21" t="s">
        <v>185</v>
      </c>
      <c r="AJ83" s="22">
        <f>42470.95-5481.19+41319.73-5371.57+40493.34+1354.85+42470.95</f>
        <v>157257.06</v>
      </c>
      <c r="AK83" s="23">
        <f>5481.19+5371.57+6702.77</f>
        <v>17555.53</v>
      </c>
    </row>
    <row r="84" spans="1:37" s="165" customFormat="1" ht="141.75" x14ac:dyDescent="0.25">
      <c r="A84" s="7">
        <v>78</v>
      </c>
      <c r="B84" s="7">
        <v>116685</v>
      </c>
      <c r="C84" s="11">
        <v>407</v>
      </c>
      <c r="D84" s="7" t="s">
        <v>873</v>
      </c>
      <c r="E84" s="8" t="s">
        <v>733</v>
      </c>
      <c r="F84" s="9" t="s">
        <v>640</v>
      </c>
      <c r="G84" s="47" t="s">
        <v>825</v>
      </c>
      <c r="H84" s="24" t="s">
        <v>828</v>
      </c>
      <c r="I84" s="11" t="s">
        <v>826</v>
      </c>
      <c r="J84" s="12" t="s">
        <v>827</v>
      </c>
      <c r="K84" s="13">
        <v>43298</v>
      </c>
      <c r="L84" s="26">
        <v>43755</v>
      </c>
      <c r="M84" s="14">
        <f>S84/AE84*100</f>
        <v>84.519596871951833</v>
      </c>
      <c r="N84" s="7">
        <v>3</v>
      </c>
      <c r="O84" s="7" t="s">
        <v>420</v>
      </c>
      <c r="P84" s="7" t="s">
        <v>420</v>
      </c>
      <c r="Q84" s="15" t="s">
        <v>213</v>
      </c>
      <c r="R84" s="7" t="s">
        <v>36</v>
      </c>
      <c r="S84" s="18">
        <v>335386.32</v>
      </c>
      <c r="T84" s="16">
        <v>335386.32</v>
      </c>
      <c r="U84" s="16">
        <v>0</v>
      </c>
      <c r="V84" s="18">
        <v>53492.24</v>
      </c>
      <c r="W84" s="16">
        <v>53492.24</v>
      </c>
      <c r="X84" s="16"/>
      <c r="Y84" s="18">
        <v>5693.57</v>
      </c>
      <c r="Z84" s="16">
        <v>5693.57</v>
      </c>
      <c r="AA84" s="16">
        <v>0</v>
      </c>
      <c r="AB84" s="16">
        <f>AC84+AD84</f>
        <v>2242.73</v>
      </c>
      <c r="AC84" s="16">
        <v>2242.73</v>
      </c>
      <c r="AD84" s="16">
        <v>0</v>
      </c>
      <c r="AE84" s="16">
        <f>S84+V84+Y84+AB84</f>
        <v>396814.86</v>
      </c>
      <c r="AF84" s="16">
        <v>0</v>
      </c>
      <c r="AG84" s="16">
        <f>AE84+AF84</f>
        <v>396814.86</v>
      </c>
      <c r="AH84" s="20" t="s">
        <v>615</v>
      </c>
      <c r="AI84" s="21" t="s">
        <v>185</v>
      </c>
      <c r="AJ84" s="22">
        <f>39681.48+14195.1+26259.61+31194.01</f>
        <v>111330.2</v>
      </c>
      <c r="AK84" s="23">
        <f>7488.22+4204.9</f>
        <v>11693.119999999999</v>
      </c>
    </row>
    <row r="85" spans="1:37" s="165" customFormat="1" ht="409.5" x14ac:dyDescent="0.25">
      <c r="A85" s="7">
        <v>79</v>
      </c>
      <c r="B85" s="7">
        <v>118751</v>
      </c>
      <c r="C85" s="11">
        <v>437</v>
      </c>
      <c r="D85" s="7" t="s">
        <v>873</v>
      </c>
      <c r="E85" s="8" t="s">
        <v>733</v>
      </c>
      <c r="F85" s="9" t="s">
        <v>640</v>
      </c>
      <c r="G85" s="47" t="s">
        <v>1007</v>
      </c>
      <c r="H85" s="24" t="s">
        <v>422</v>
      </c>
      <c r="I85" s="11" t="s">
        <v>185</v>
      </c>
      <c r="J85" s="12" t="s">
        <v>1418</v>
      </c>
      <c r="K85" s="13">
        <v>43340</v>
      </c>
      <c r="L85" s="26">
        <v>43644</v>
      </c>
      <c r="M85" s="14">
        <f t="shared" ref="M85:M86" si="139">S85/AE85*100</f>
        <v>85.000001668371198</v>
      </c>
      <c r="N85" s="7">
        <v>3</v>
      </c>
      <c r="O85" s="7" t="s">
        <v>420</v>
      </c>
      <c r="P85" s="7" t="s">
        <v>420</v>
      </c>
      <c r="Q85" s="15" t="s">
        <v>213</v>
      </c>
      <c r="R85" s="7" t="s">
        <v>36</v>
      </c>
      <c r="S85" s="18">
        <v>254739.48</v>
      </c>
      <c r="T85" s="23">
        <v>254739.48</v>
      </c>
      <c r="U85" s="16">
        <v>0</v>
      </c>
      <c r="V85" s="18">
        <v>38960.15</v>
      </c>
      <c r="W85" s="16">
        <v>38960.15</v>
      </c>
      <c r="X85" s="16">
        <v>0</v>
      </c>
      <c r="Y85" s="18">
        <f>Z85+AA85</f>
        <v>5993.87</v>
      </c>
      <c r="Z85" s="16">
        <v>5993.87</v>
      </c>
      <c r="AA85" s="16">
        <v>0</v>
      </c>
      <c r="AB85" s="16">
        <f t="shared" si="69"/>
        <v>0</v>
      </c>
      <c r="AC85" s="16">
        <v>0</v>
      </c>
      <c r="AD85" s="16">
        <v>0</v>
      </c>
      <c r="AE85" s="16">
        <f t="shared" si="130"/>
        <v>299693.5</v>
      </c>
      <c r="AF85" s="16">
        <v>0</v>
      </c>
      <c r="AG85" s="16">
        <f t="shared" si="70"/>
        <v>299693.5</v>
      </c>
      <c r="AH85" s="20" t="s">
        <v>615</v>
      </c>
      <c r="AI85" s="21" t="s">
        <v>185</v>
      </c>
      <c r="AJ85" s="22">
        <f>29969-3256.9+24552.01</f>
        <v>51264.11</v>
      </c>
      <c r="AK85" s="23">
        <v>3256.9</v>
      </c>
    </row>
    <row r="86" spans="1:37" s="165" customFormat="1" ht="165" x14ac:dyDescent="0.25">
      <c r="A86" s="7">
        <v>80</v>
      </c>
      <c r="B86" s="11">
        <v>126535</v>
      </c>
      <c r="C86" s="11">
        <v>564</v>
      </c>
      <c r="D86" s="7" t="s">
        <v>174</v>
      </c>
      <c r="E86" s="8" t="s">
        <v>733</v>
      </c>
      <c r="F86" s="9" t="s">
        <v>1165</v>
      </c>
      <c r="G86" s="11" t="s">
        <v>1222</v>
      </c>
      <c r="H86" s="59" t="s">
        <v>422</v>
      </c>
      <c r="I86" s="7" t="s">
        <v>185</v>
      </c>
      <c r="J86" s="79" t="s">
        <v>1223</v>
      </c>
      <c r="K86" s="13">
        <v>43447</v>
      </c>
      <c r="L86" s="26">
        <v>44178</v>
      </c>
      <c r="M86" s="14">
        <f t="shared" si="139"/>
        <v>85</v>
      </c>
      <c r="N86" s="7">
        <v>3</v>
      </c>
      <c r="O86" s="7" t="s">
        <v>420</v>
      </c>
      <c r="P86" s="7" t="s">
        <v>420</v>
      </c>
      <c r="Q86" s="15" t="s">
        <v>213</v>
      </c>
      <c r="R86" s="7" t="s">
        <v>36</v>
      </c>
      <c r="S86" s="18">
        <f>T86+U86</f>
        <v>3199377.9</v>
      </c>
      <c r="T86" s="23">
        <v>3199377.9</v>
      </c>
      <c r="U86" s="23">
        <v>0</v>
      </c>
      <c r="V86" s="80">
        <f>W86+X86</f>
        <v>489316.62</v>
      </c>
      <c r="W86" s="23">
        <v>489316.62</v>
      </c>
      <c r="X86" s="23">
        <v>0</v>
      </c>
      <c r="Y86" s="18">
        <f t="shared" ref="Y86" si="140">Z86+AA86</f>
        <v>75279.48</v>
      </c>
      <c r="Z86" s="16">
        <v>75279.48</v>
      </c>
      <c r="AA86" s="16">
        <v>0</v>
      </c>
      <c r="AB86" s="16">
        <f t="shared" si="69"/>
        <v>0</v>
      </c>
      <c r="AC86" s="23">
        <v>0</v>
      </c>
      <c r="AD86" s="23">
        <v>0</v>
      </c>
      <c r="AE86" s="16">
        <f t="shared" si="130"/>
        <v>3763974</v>
      </c>
      <c r="AF86" s="63"/>
      <c r="AG86" s="16">
        <f t="shared" si="70"/>
        <v>3763974</v>
      </c>
      <c r="AH86" s="20" t="s">
        <v>615</v>
      </c>
      <c r="AI86" s="21"/>
      <c r="AJ86" s="39">
        <v>376397</v>
      </c>
      <c r="AK86" s="39">
        <v>0</v>
      </c>
    </row>
    <row r="87" spans="1:37" s="165" customFormat="1" ht="141.75" x14ac:dyDescent="0.25">
      <c r="A87" s="7">
        <v>81</v>
      </c>
      <c r="B87" s="7">
        <v>120638</v>
      </c>
      <c r="C87" s="11">
        <v>97</v>
      </c>
      <c r="D87" s="7" t="s">
        <v>171</v>
      </c>
      <c r="E87" s="8" t="s">
        <v>998</v>
      </c>
      <c r="F87" s="9" t="s">
        <v>361</v>
      </c>
      <c r="G87" s="10" t="s">
        <v>308</v>
      </c>
      <c r="H87" s="7" t="s">
        <v>307</v>
      </c>
      <c r="I87" s="7" t="s">
        <v>185</v>
      </c>
      <c r="J87" s="34" t="s">
        <v>309</v>
      </c>
      <c r="K87" s="13">
        <v>43145</v>
      </c>
      <c r="L87" s="26">
        <v>43630</v>
      </c>
      <c r="M87" s="14">
        <f t="shared" ref="M87:M89" si="141">S87/AE87*100</f>
        <v>84.999998641808133</v>
      </c>
      <c r="N87" s="7">
        <v>4</v>
      </c>
      <c r="O87" s="7" t="s">
        <v>305</v>
      </c>
      <c r="P87" s="7" t="s">
        <v>306</v>
      </c>
      <c r="Q87" s="30" t="s">
        <v>213</v>
      </c>
      <c r="R87" s="7" t="s">
        <v>36</v>
      </c>
      <c r="S87" s="16">
        <f t="shared" ref="S87:S89" si="142">T87+U87</f>
        <v>312916.02</v>
      </c>
      <c r="T87" s="17">
        <v>312916.02</v>
      </c>
      <c r="U87" s="81">
        <v>0</v>
      </c>
      <c r="V87" s="18">
        <f t="shared" si="68"/>
        <v>47857.75</v>
      </c>
      <c r="W87" s="16">
        <v>47857.75</v>
      </c>
      <c r="X87" s="16">
        <v>0</v>
      </c>
      <c r="Y87" s="16">
        <f t="shared" ref="Y87:Y89" si="143">Z87+AA87</f>
        <v>7362.73</v>
      </c>
      <c r="Z87" s="16">
        <v>7362.73</v>
      </c>
      <c r="AA87" s="16">
        <v>0</v>
      </c>
      <c r="AB87" s="16">
        <f t="shared" si="69"/>
        <v>0</v>
      </c>
      <c r="AC87" s="16"/>
      <c r="AD87" s="16"/>
      <c r="AE87" s="16">
        <f t="shared" si="130"/>
        <v>368136.5</v>
      </c>
      <c r="AF87" s="16">
        <v>0</v>
      </c>
      <c r="AG87" s="16">
        <f t="shared" si="70"/>
        <v>368136.5</v>
      </c>
      <c r="AH87" s="20" t="s">
        <v>615</v>
      </c>
      <c r="AI87" s="21"/>
      <c r="AJ87" s="22">
        <f>52755.63+22985.7</f>
        <v>75741.33</v>
      </c>
      <c r="AK87" s="23">
        <f>8068.51+3515.46</f>
        <v>11583.970000000001</v>
      </c>
    </row>
    <row r="88" spans="1:37" s="165" customFormat="1" ht="141.75" x14ac:dyDescent="0.25">
      <c r="A88" s="7">
        <v>82</v>
      </c>
      <c r="B88" s="7">
        <v>120714</v>
      </c>
      <c r="C88" s="11">
        <v>111</v>
      </c>
      <c r="D88" s="11" t="s">
        <v>171</v>
      </c>
      <c r="E88" s="8" t="s">
        <v>998</v>
      </c>
      <c r="F88" s="9" t="s">
        <v>361</v>
      </c>
      <c r="G88" s="10" t="s">
        <v>328</v>
      </c>
      <c r="H88" s="7" t="s">
        <v>326</v>
      </c>
      <c r="I88" s="7" t="s">
        <v>327</v>
      </c>
      <c r="J88" s="12" t="s">
        <v>547</v>
      </c>
      <c r="K88" s="13">
        <v>43166</v>
      </c>
      <c r="L88" s="26">
        <v>43653</v>
      </c>
      <c r="M88" s="14">
        <f t="shared" si="141"/>
        <v>85</v>
      </c>
      <c r="N88" s="7">
        <v>4</v>
      </c>
      <c r="O88" s="7" t="s">
        <v>305</v>
      </c>
      <c r="P88" s="7" t="s">
        <v>306</v>
      </c>
      <c r="Q88" s="30" t="s">
        <v>213</v>
      </c>
      <c r="R88" s="7" t="s">
        <v>36</v>
      </c>
      <c r="S88" s="16">
        <f t="shared" si="142"/>
        <v>355906.39</v>
      </c>
      <c r="T88" s="45">
        <v>355906.39</v>
      </c>
      <c r="U88" s="45">
        <v>0</v>
      </c>
      <c r="V88" s="18">
        <f t="shared" si="68"/>
        <v>54432.74</v>
      </c>
      <c r="W88" s="16">
        <v>54432.74</v>
      </c>
      <c r="X88" s="16">
        <v>0</v>
      </c>
      <c r="Y88" s="16">
        <f t="shared" si="143"/>
        <v>8374.27</v>
      </c>
      <c r="Z88" s="16">
        <v>8374.27</v>
      </c>
      <c r="AA88" s="16">
        <v>0</v>
      </c>
      <c r="AB88" s="16">
        <f t="shared" si="69"/>
        <v>0</v>
      </c>
      <c r="AC88" s="16"/>
      <c r="AD88" s="16"/>
      <c r="AE88" s="16">
        <f t="shared" si="130"/>
        <v>418713.4</v>
      </c>
      <c r="AF88" s="16">
        <v>0</v>
      </c>
      <c r="AG88" s="16">
        <f t="shared" si="70"/>
        <v>418713.4</v>
      </c>
      <c r="AH88" s="20" t="s">
        <v>615</v>
      </c>
      <c r="AI88" s="21" t="s">
        <v>185</v>
      </c>
      <c r="AJ88" s="22">
        <f>3489.68+25692.1+174568.93</f>
        <v>203750.71</v>
      </c>
      <c r="AK88" s="23">
        <f>533.71+3929.38+26698.78</f>
        <v>31161.87</v>
      </c>
    </row>
    <row r="89" spans="1:37" s="165" customFormat="1" ht="141.75" x14ac:dyDescent="0.25">
      <c r="A89" s="7">
        <v>83</v>
      </c>
      <c r="B89" s="7">
        <v>119758</v>
      </c>
      <c r="C89" s="11">
        <v>460</v>
      </c>
      <c r="D89" s="11" t="s">
        <v>177</v>
      </c>
      <c r="E89" s="11" t="s">
        <v>1071</v>
      </c>
      <c r="F89" s="9" t="s">
        <v>574</v>
      </c>
      <c r="G89" s="201" t="s">
        <v>603</v>
      </c>
      <c r="H89" s="10" t="s">
        <v>604</v>
      </c>
      <c r="I89" s="7" t="s">
        <v>185</v>
      </c>
      <c r="J89" s="12" t="s">
        <v>605</v>
      </c>
      <c r="K89" s="13">
        <v>43264</v>
      </c>
      <c r="L89" s="26">
        <v>43751</v>
      </c>
      <c r="M89" s="14">
        <f t="shared" si="141"/>
        <v>85</v>
      </c>
      <c r="N89" s="7">
        <v>4</v>
      </c>
      <c r="O89" s="7" t="s">
        <v>305</v>
      </c>
      <c r="P89" s="7" t="s">
        <v>606</v>
      </c>
      <c r="Q89" s="30" t="s">
        <v>213</v>
      </c>
      <c r="R89" s="7" t="s">
        <v>36</v>
      </c>
      <c r="S89" s="16">
        <f t="shared" si="142"/>
        <v>356536.75</v>
      </c>
      <c r="T89" s="45">
        <v>356536.75</v>
      </c>
      <c r="U89" s="45">
        <v>0</v>
      </c>
      <c r="V89" s="18">
        <f t="shared" si="68"/>
        <v>54529.15</v>
      </c>
      <c r="W89" s="16">
        <v>54529.15</v>
      </c>
      <c r="X89" s="16"/>
      <c r="Y89" s="16">
        <f t="shared" si="143"/>
        <v>8389.1</v>
      </c>
      <c r="Z89" s="16">
        <v>8389.1</v>
      </c>
      <c r="AA89" s="16">
        <v>0</v>
      </c>
      <c r="AB89" s="16">
        <f t="shared" ref="AB89" si="144">AC89+AD89</f>
        <v>0</v>
      </c>
      <c r="AC89" s="16"/>
      <c r="AD89" s="16"/>
      <c r="AE89" s="16">
        <f t="shared" si="130"/>
        <v>419455</v>
      </c>
      <c r="AF89" s="16"/>
      <c r="AG89" s="16">
        <f t="shared" si="70"/>
        <v>419455</v>
      </c>
      <c r="AH89" s="20" t="s">
        <v>615</v>
      </c>
      <c r="AI89" s="21"/>
      <c r="AJ89" s="28">
        <f>41000-4123.49+46557.9+41000-738.9+41000</f>
        <v>164695.51</v>
      </c>
      <c r="AK89" s="23">
        <f>5639.94+7120.62+6157.58</f>
        <v>18918.14</v>
      </c>
    </row>
    <row r="90" spans="1:37" s="165" customFormat="1" ht="141.75" x14ac:dyDescent="0.25">
      <c r="A90" s="7">
        <v>84</v>
      </c>
      <c r="B90" s="7">
        <v>116766</v>
      </c>
      <c r="C90" s="11">
        <v>409</v>
      </c>
      <c r="D90" s="11" t="s">
        <v>714</v>
      </c>
      <c r="E90" s="8" t="s">
        <v>733</v>
      </c>
      <c r="F90" s="7" t="s">
        <v>640</v>
      </c>
      <c r="G90" s="8" t="s">
        <v>686</v>
      </c>
      <c r="H90" s="10" t="s">
        <v>327</v>
      </c>
      <c r="I90" s="7" t="s">
        <v>185</v>
      </c>
      <c r="J90" s="10" t="s">
        <v>687</v>
      </c>
      <c r="K90" s="13">
        <v>43278</v>
      </c>
      <c r="L90" s="26">
        <v>43765</v>
      </c>
      <c r="M90" s="14">
        <f>S90/AE90*100</f>
        <v>85.000000275422053</v>
      </c>
      <c r="N90" s="7">
        <v>4</v>
      </c>
      <c r="O90" s="7" t="s">
        <v>305</v>
      </c>
      <c r="P90" s="7" t="s">
        <v>688</v>
      </c>
      <c r="Q90" s="7" t="s">
        <v>213</v>
      </c>
      <c r="R90" s="7" t="s">
        <v>36</v>
      </c>
      <c r="S90" s="16">
        <f>T90+U90</f>
        <v>308617.27</v>
      </c>
      <c r="T90" s="45">
        <v>308617.27</v>
      </c>
      <c r="U90" s="45">
        <v>0</v>
      </c>
      <c r="V90" s="18">
        <f>W90+X90</f>
        <v>47200.29</v>
      </c>
      <c r="W90" s="16">
        <v>47200.29</v>
      </c>
      <c r="X90" s="16">
        <v>0</v>
      </c>
      <c r="Y90" s="16">
        <f>Z90+AA90</f>
        <v>7261.58</v>
      </c>
      <c r="Z90" s="16">
        <v>7261.58</v>
      </c>
      <c r="AA90" s="67">
        <v>0</v>
      </c>
      <c r="AB90" s="16">
        <f>AC90+AD90</f>
        <v>0</v>
      </c>
      <c r="AC90" s="67">
        <v>0</v>
      </c>
      <c r="AD90" s="67">
        <v>0</v>
      </c>
      <c r="AE90" s="16">
        <f>S90+V90+Y90+AB90</f>
        <v>363079.14</v>
      </c>
      <c r="AF90" s="174">
        <v>0</v>
      </c>
      <c r="AG90" s="16">
        <f>AE90+AF90</f>
        <v>363079.14</v>
      </c>
      <c r="AH90" s="20" t="s">
        <v>615</v>
      </c>
      <c r="AI90" s="54" t="s">
        <v>185</v>
      </c>
      <c r="AJ90" s="28">
        <v>30060.880000000001</v>
      </c>
      <c r="AK90" s="39">
        <v>4597.55</v>
      </c>
    </row>
    <row r="91" spans="1:37" s="165" customFormat="1" ht="141.75" x14ac:dyDescent="0.25">
      <c r="A91" s="7">
        <v>85</v>
      </c>
      <c r="B91" s="7">
        <v>126293</v>
      </c>
      <c r="C91" s="11">
        <v>523</v>
      </c>
      <c r="D91" s="7" t="s">
        <v>177</v>
      </c>
      <c r="E91" s="8" t="s">
        <v>998</v>
      </c>
      <c r="F91" s="11" t="s">
        <v>1165</v>
      </c>
      <c r="G91" s="8" t="s">
        <v>1210</v>
      </c>
      <c r="H91" s="8" t="s">
        <v>1179</v>
      </c>
      <c r="I91" s="7" t="s">
        <v>185</v>
      </c>
      <c r="J91" s="8" t="s">
        <v>1180</v>
      </c>
      <c r="K91" s="13">
        <v>43437</v>
      </c>
      <c r="L91" s="26">
        <v>44289</v>
      </c>
      <c r="M91" s="14">
        <f>S91/AE91*100</f>
        <v>85.000000538702352</v>
      </c>
      <c r="N91" s="7">
        <v>4</v>
      </c>
      <c r="O91" s="7" t="s">
        <v>305</v>
      </c>
      <c r="P91" s="7" t="s">
        <v>688</v>
      </c>
      <c r="Q91" s="7" t="s">
        <v>213</v>
      </c>
      <c r="R91" s="7" t="s">
        <v>36</v>
      </c>
      <c r="S91" s="16">
        <f>T91+U91</f>
        <v>2366798.75</v>
      </c>
      <c r="T91" s="45">
        <v>2366798.75</v>
      </c>
      <c r="U91" s="45">
        <v>0</v>
      </c>
      <c r="V91" s="18">
        <f>W91+X91</f>
        <v>361980.97</v>
      </c>
      <c r="W91" s="16">
        <v>361980.97</v>
      </c>
      <c r="X91" s="16">
        <v>0</v>
      </c>
      <c r="Y91" s="16">
        <f>Z91+AA91</f>
        <v>55689.38</v>
      </c>
      <c r="Z91" s="16">
        <v>55689.38</v>
      </c>
      <c r="AA91" s="23">
        <v>0</v>
      </c>
      <c r="AB91" s="16">
        <f>AC91+AD91</f>
        <v>0</v>
      </c>
      <c r="AC91" s="23">
        <v>0</v>
      </c>
      <c r="AD91" s="23">
        <v>0</v>
      </c>
      <c r="AE91" s="16">
        <f>S91+V91+Y91</f>
        <v>2784469.0999999996</v>
      </c>
      <c r="AF91" s="16">
        <v>129948</v>
      </c>
      <c r="AG91" s="16">
        <f>AE91+AF91+AB91</f>
        <v>2914417.0999999996</v>
      </c>
      <c r="AH91" s="20" t="s">
        <v>615</v>
      </c>
      <c r="AI91" s="54" t="s">
        <v>185</v>
      </c>
      <c r="AJ91" s="39">
        <v>3500.5</v>
      </c>
      <c r="AK91" s="39">
        <v>535.38</v>
      </c>
    </row>
    <row r="92" spans="1:37" s="165" customFormat="1" ht="141.75" x14ac:dyDescent="0.25">
      <c r="A92" s="7">
        <v>86</v>
      </c>
      <c r="B92" s="7">
        <v>126212</v>
      </c>
      <c r="C92" s="11">
        <v>516</v>
      </c>
      <c r="D92" s="7" t="s">
        <v>177</v>
      </c>
      <c r="E92" s="8" t="s">
        <v>998</v>
      </c>
      <c r="F92" s="11" t="s">
        <v>1165</v>
      </c>
      <c r="G92" s="8" t="s">
        <v>1209</v>
      </c>
      <c r="H92" s="8" t="s">
        <v>604</v>
      </c>
      <c r="I92" s="7" t="s">
        <v>185</v>
      </c>
      <c r="J92" s="8" t="s">
        <v>1208</v>
      </c>
      <c r="K92" s="13">
        <v>43445</v>
      </c>
      <c r="L92" s="26">
        <v>43993</v>
      </c>
      <c r="M92" s="14">
        <f t="shared" ref="M92:M93" si="145">S92/AE92*100</f>
        <v>85.000000138721092</v>
      </c>
      <c r="N92" s="7">
        <v>4</v>
      </c>
      <c r="O92" s="7" t="s">
        <v>305</v>
      </c>
      <c r="P92" s="7" t="s">
        <v>606</v>
      </c>
      <c r="Q92" s="7" t="s">
        <v>213</v>
      </c>
      <c r="R92" s="7" t="s">
        <v>36</v>
      </c>
      <c r="S92" s="16">
        <f t="shared" ref="S92:S93" si="146">T92+U92</f>
        <v>3063701.5</v>
      </c>
      <c r="T92" s="45">
        <v>3063701.5</v>
      </c>
      <c r="U92" s="45">
        <v>0</v>
      </c>
      <c r="V92" s="18">
        <f t="shared" ref="V92:V93" si="147">W92+X92</f>
        <v>468566.11</v>
      </c>
      <c r="W92" s="16">
        <v>468566.11</v>
      </c>
      <c r="X92" s="16">
        <v>0</v>
      </c>
      <c r="Y92" s="16">
        <f t="shared" ref="Y92:Y93" si="148">Z92+AA92</f>
        <v>72087.09</v>
      </c>
      <c r="Z92" s="16">
        <v>72087.09</v>
      </c>
      <c r="AA92" s="23">
        <v>0</v>
      </c>
      <c r="AB92" s="16">
        <f t="shared" ref="AB92:AB93" si="149">AC92+AD92</f>
        <v>0</v>
      </c>
      <c r="AC92" s="23">
        <v>0</v>
      </c>
      <c r="AD92" s="23">
        <v>0</v>
      </c>
      <c r="AE92" s="16">
        <f t="shared" ref="AE92:AE93" si="150">S92+V92+Y92</f>
        <v>3604354.6999999997</v>
      </c>
      <c r="AF92" s="63">
        <v>0</v>
      </c>
      <c r="AG92" s="16">
        <f t="shared" ref="AG92:AG93" si="151">AE92+AF92+AB92</f>
        <v>3604354.6999999997</v>
      </c>
      <c r="AH92" s="20" t="s">
        <v>615</v>
      </c>
      <c r="AI92" s="54" t="s">
        <v>185</v>
      </c>
      <c r="AJ92" s="39">
        <v>70000</v>
      </c>
      <c r="AK92" s="39">
        <v>0</v>
      </c>
    </row>
    <row r="93" spans="1:37" s="165" customFormat="1" ht="156.75" customHeight="1" x14ac:dyDescent="0.25">
      <c r="A93" s="7">
        <v>87</v>
      </c>
      <c r="B93" s="7">
        <v>125603</v>
      </c>
      <c r="C93" s="11">
        <v>528</v>
      </c>
      <c r="D93" s="7" t="s">
        <v>676</v>
      </c>
      <c r="E93" s="8" t="s">
        <v>998</v>
      </c>
      <c r="F93" s="11" t="s">
        <v>1165</v>
      </c>
      <c r="G93" s="8" t="s">
        <v>1266</v>
      </c>
      <c r="H93" s="8" t="s">
        <v>307</v>
      </c>
      <c r="I93" s="7" t="s">
        <v>185</v>
      </c>
      <c r="J93" s="8" t="s">
        <v>1267</v>
      </c>
      <c r="K93" s="13">
        <v>43486</v>
      </c>
      <c r="L93" s="26">
        <v>44398</v>
      </c>
      <c r="M93" s="14">
        <f t="shared" si="145"/>
        <v>85.000000127543871</v>
      </c>
      <c r="N93" s="7">
        <v>4</v>
      </c>
      <c r="O93" s="7" t="s">
        <v>305</v>
      </c>
      <c r="P93" s="7" t="s">
        <v>688</v>
      </c>
      <c r="Q93" s="7" t="s">
        <v>213</v>
      </c>
      <c r="R93" s="7" t="s">
        <v>36</v>
      </c>
      <c r="S93" s="16">
        <f t="shared" si="146"/>
        <v>2998968.16</v>
      </c>
      <c r="T93" s="45">
        <v>2998968.16</v>
      </c>
      <c r="U93" s="45">
        <v>0</v>
      </c>
      <c r="V93" s="18">
        <f t="shared" si="147"/>
        <v>458665.73</v>
      </c>
      <c r="W93" s="16">
        <v>458665.73</v>
      </c>
      <c r="X93" s="16">
        <v>0</v>
      </c>
      <c r="Y93" s="16">
        <f t="shared" si="148"/>
        <v>70563.94</v>
      </c>
      <c r="Z93" s="16">
        <v>70563.94</v>
      </c>
      <c r="AA93" s="23">
        <v>0</v>
      </c>
      <c r="AB93" s="16">
        <f t="shared" si="149"/>
        <v>0</v>
      </c>
      <c r="AC93" s="23">
        <v>0</v>
      </c>
      <c r="AD93" s="23">
        <v>0</v>
      </c>
      <c r="AE93" s="16">
        <f t="shared" si="150"/>
        <v>3528197.83</v>
      </c>
      <c r="AF93" s="63">
        <v>0</v>
      </c>
      <c r="AG93" s="16">
        <f t="shared" si="151"/>
        <v>3528197.83</v>
      </c>
      <c r="AH93" s="20" t="s">
        <v>615</v>
      </c>
      <c r="AI93" s="54"/>
      <c r="AJ93" s="39">
        <v>0</v>
      </c>
      <c r="AK93" s="39">
        <v>0</v>
      </c>
    </row>
    <row r="94" spans="1:37" s="165" customFormat="1" ht="141.75" x14ac:dyDescent="0.25">
      <c r="A94" s="7">
        <v>88</v>
      </c>
      <c r="B94" s="7">
        <v>111237</v>
      </c>
      <c r="C94" s="11">
        <v>124</v>
      </c>
      <c r="D94" s="7" t="s">
        <v>172</v>
      </c>
      <c r="E94" s="8" t="s">
        <v>998</v>
      </c>
      <c r="F94" s="9" t="s">
        <v>361</v>
      </c>
      <c r="G94" s="10" t="s">
        <v>548</v>
      </c>
      <c r="H94" s="10" t="s">
        <v>291</v>
      </c>
      <c r="I94" s="11" t="s">
        <v>185</v>
      </c>
      <c r="J94" s="12" t="s">
        <v>549</v>
      </c>
      <c r="K94" s="13">
        <v>43145</v>
      </c>
      <c r="L94" s="26">
        <v>43691</v>
      </c>
      <c r="M94" s="14">
        <f t="shared" ref="M94:M95" si="152">S94/AE94*100</f>
        <v>85.000000000000014</v>
      </c>
      <c r="N94" s="7">
        <v>7</v>
      </c>
      <c r="O94" s="175" t="s">
        <v>296</v>
      </c>
      <c r="P94" s="7" t="s">
        <v>290</v>
      </c>
      <c r="Q94" s="15" t="s">
        <v>213</v>
      </c>
      <c r="R94" s="11" t="s">
        <v>36</v>
      </c>
      <c r="S94" s="82">
        <f t="shared" ref="S94:S95" si="153">T94+U94</f>
        <v>306686.8</v>
      </c>
      <c r="T94" s="45">
        <v>306686.8</v>
      </c>
      <c r="U94" s="83">
        <v>0</v>
      </c>
      <c r="V94" s="18">
        <f t="shared" ref="V94:V129" si="154">W94+X94</f>
        <v>46905.04</v>
      </c>
      <c r="W94" s="16">
        <v>46905.04</v>
      </c>
      <c r="X94" s="16">
        <v>0</v>
      </c>
      <c r="Y94" s="16">
        <f t="shared" ref="Y94:Y95" si="155">Z94+AA94</f>
        <v>7216.16</v>
      </c>
      <c r="Z94" s="16">
        <v>7216.16</v>
      </c>
      <c r="AA94" s="16">
        <v>0</v>
      </c>
      <c r="AB94" s="16">
        <f t="shared" ref="AB94:AB129" si="156">AC94+AD94</f>
        <v>0</v>
      </c>
      <c r="AC94" s="16"/>
      <c r="AD94" s="16"/>
      <c r="AE94" s="16">
        <f t="shared" si="130"/>
        <v>360807.99999999994</v>
      </c>
      <c r="AF94" s="16">
        <v>0</v>
      </c>
      <c r="AG94" s="16">
        <f t="shared" ref="AG94:AG131" si="157">AE94+AF94</f>
        <v>360807.99999999994</v>
      </c>
      <c r="AH94" s="20" t="s">
        <v>615</v>
      </c>
      <c r="AI94" s="21" t="s">
        <v>1277</v>
      </c>
      <c r="AJ94" s="22">
        <v>0</v>
      </c>
      <c r="AK94" s="23">
        <v>0</v>
      </c>
    </row>
    <row r="95" spans="1:37" s="165" customFormat="1" ht="204.75" x14ac:dyDescent="0.25">
      <c r="A95" s="7">
        <v>89</v>
      </c>
      <c r="B95" s="7">
        <v>122784</v>
      </c>
      <c r="C95" s="11">
        <v>94</v>
      </c>
      <c r="D95" s="7" t="s">
        <v>176</v>
      </c>
      <c r="E95" s="8" t="s">
        <v>998</v>
      </c>
      <c r="F95" s="9" t="s">
        <v>361</v>
      </c>
      <c r="G95" s="8" t="s">
        <v>1060</v>
      </c>
      <c r="H95" s="8" t="s">
        <v>1059</v>
      </c>
      <c r="I95" s="8" t="s">
        <v>185</v>
      </c>
      <c r="J95" s="12" t="s">
        <v>1152</v>
      </c>
      <c r="K95" s="26">
        <v>43264</v>
      </c>
      <c r="L95" s="26">
        <v>43751</v>
      </c>
      <c r="M95" s="14">
        <f t="shared" si="152"/>
        <v>85.000002941982572</v>
      </c>
      <c r="N95" s="7">
        <v>7</v>
      </c>
      <c r="O95" s="175" t="s">
        <v>296</v>
      </c>
      <c r="P95" s="7" t="s">
        <v>1061</v>
      </c>
      <c r="Q95" s="15" t="s">
        <v>213</v>
      </c>
      <c r="R95" s="11" t="s">
        <v>36</v>
      </c>
      <c r="S95" s="82">
        <f t="shared" si="153"/>
        <v>361151.03</v>
      </c>
      <c r="T95" s="23">
        <v>361151.03</v>
      </c>
      <c r="U95" s="31">
        <v>0</v>
      </c>
      <c r="V95" s="18">
        <f t="shared" si="154"/>
        <v>55234.85</v>
      </c>
      <c r="W95" s="31">
        <v>55234.85</v>
      </c>
      <c r="X95" s="31">
        <v>0</v>
      </c>
      <c r="Y95" s="16">
        <f t="shared" si="155"/>
        <v>8497.67</v>
      </c>
      <c r="Z95" s="23">
        <v>8497.67</v>
      </c>
      <c r="AA95" s="23">
        <v>0</v>
      </c>
      <c r="AB95" s="16">
        <f t="shared" si="156"/>
        <v>0</v>
      </c>
      <c r="AC95" s="31"/>
      <c r="AD95" s="31"/>
      <c r="AE95" s="16">
        <f t="shared" si="130"/>
        <v>424883.55</v>
      </c>
      <c r="AF95" s="16">
        <v>0</v>
      </c>
      <c r="AG95" s="16">
        <f t="shared" si="157"/>
        <v>424883.55</v>
      </c>
      <c r="AH95" s="20" t="s">
        <v>1375</v>
      </c>
      <c r="AI95" s="63"/>
      <c r="AJ95" s="28">
        <v>0</v>
      </c>
      <c r="AK95" s="22">
        <v>0</v>
      </c>
    </row>
    <row r="96" spans="1:37" s="165" customFormat="1" ht="173.25" x14ac:dyDescent="0.25">
      <c r="A96" s="7">
        <v>90</v>
      </c>
      <c r="B96" s="7">
        <v>120617</v>
      </c>
      <c r="C96" s="11">
        <v>79</v>
      </c>
      <c r="D96" s="7" t="s">
        <v>175</v>
      </c>
      <c r="E96" s="8" t="s">
        <v>998</v>
      </c>
      <c r="F96" s="9" t="s">
        <v>361</v>
      </c>
      <c r="G96" s="84" t="s">
        <v>283</v>
      </c>
      <c r="H96" s="10" t="s">
        <v>284</v>
      </c>
      <c r="I96" s="11" t="s">
        <v>185</v>
      </c>
      <c r="J96" s="12" t="s">
        <v>287</v>
      </c>
      <c r="K96" s="13">
        <v>43145</v>
      </c>
      <c r="L96" s="26">
        <v>43630</v>
      </c>
      <c r="M96" s="14">
        <f t="shared" ref="M96:M100" si="158">S96/AE96*100</f>
        <v>84.999999644441075</v>
      </c>
      <c r="N96" s="7">
        <v>5</v>
      </c>
      <c r="O96" s="7" t="s">
        <v>294</v>
      </c>
      <c r="P96" s="7" t="s">
        <v>288</v>
      </c>
      <c r="Q96" s="15" t="s">
        <v>213</v>
      </c>
      <c r="R96" s="11" t="s">
        <v>36</v>
      </c>
      <c r="S96" s="16">
        <f>T96+U96</f>
        <v>358590.34</v>
      </c>
      <c r="T96" s="45">
        <v>358590.34</v>
      </c>
      <c r="U96" s="16">
        <v>0</v>
      </c>
      <c r="V96" s="18">
        <f t="shared" si="154"/>
        <v>54843.23</v>
      </c>
      <c r="W96" s="45">
        <v>54843.23</v>
      </c>
      <c r="X96" s="18">
        <v>0</v>
      </c>
      <c r="Y96" s="18">
        <f t="shared" ref="Y96:Y98" si="159">Z96+AA96</f>
        <v>8437.42</v>
      </c>
      <c r="Z96" s="45">
        <v>8437.42</v>
      </c>
      <c r="AA96" s="18">
        <v>0</v>
      </c>
      <c r="AB96" s="16">
        <f t="shared" si="156"/>
        <v>0</v>
      </c>
      <c r="AC96" s="16"/>
      <c r="AD96" s="16"/>
      <c r="AE96" s="16">
        <f t="shared" si="130"/>
        <v>421870.99</v>
      </c>
      <c r="AF96" s="16">
        <v>0</v>
      </c>
      <c r="AG96" s="16">
        <f t="shared" si="157"/>
        <v>421870.99</v>
      </c>
      <c r="AH96" s="20" t="s">
        <v>615</v>
      </c>
      <c r="AI96" s="21" t="s">
        <v>185</v>
      </c>
      <c r="AJ96" s="22">
        <f>96397.63+83926.36-2519.15+41501.07-4777.79</f>
        <v>214528.12</v>
      </c>
      <c r="AK96" s="23">
        <f>9960.19+14072.92+2519.15+536.51+4777.79</f>
        <v>31866.560000000001</v>
      </c>
    </row>
    <row r="97" spans="1:37" s="165" customFormat="1" ht="141.75" x14ac:dyDescent="0.25">
      <c r="A97" s="7">
        <v>91</v>
      </c>
      <c r="B97" s="7">
        <v>118193</v>
      </c>
      <c r="C97" s="11">
        <v>424</v>
      </c>
      <c r="D97" s="7" t="s">
        <v>714</v>
      </c>
      <c r="E97" s="8" t="s">
        <v>733</v>
      </c>
      <c r="F97" s="9" t="s">
        <v>640</v>
      </c>
      <c r="G97" s="84" t="s">
        <v>750</v>
      </c>
      <c r="H97" s="8" t="s">
        <v>751</v>
      </c>
      <c r="I97" s="11" t="s">
        <v>185</v>
      </c>
      <c r="J97" s="8" t="s">
        <v>822</v>
      </c>
      <c r="K97" s="13">
        <v>43285</v>
      </c>
      <c r="L97" s="26">
        <v>43773</v>
      </c>
      <c r="M97" s="14">
        <f t="shared" si="158"/>
        <v>85.000000000000014</v>
      </c>
      <c r="N97" s="7">
        <v>5</v>
      </c>
      <c r="O97" s="11" t="s">
        <v>752</v>
      </c>
      <c r="P97" s="11" t="s">
        <v>753</v>
      </c>
      <c r="Q97" s="11" t="s">
        <v>213</v>
      </c>
      <c r="R97" s="7" t="s">
        <v>36</v>
      </c>
      <c r="S97" s="16">
        <v>239111.8</v>
      </c>
      <c r="T97" s="33">
        <v>239111.8</v>
      </c>
      <c r="U97" s="31">
        <v>0</v>
      </c>
      <c r="V97" s="18">
        <v>36570.04</v>
      </c>
      <c r="W97" s="33">
        <v>36570.04</v>
      </c>
      <c r="X97" s="31"/>
      <c r="Y97" s="18">
        <v>5626.16</v>
      </c>
      <c r="Z97" s="22">
        <v>5626.16</v>
      </c>
      <c r="AA97" s="23">
        <v>0</v>
      </c>
      <c r="AB97" s="16">
        <f t="shared" si="156"/>
        <v>0</v>
      </c>
      <c r="AC97" s="31"/>
      <c r="AD97" s="31"/>
      <c r="AE97" s="16">
        <f t="shared" si="130"/>
        <v>281307.99999999994</v>
      </c>
      <c r="AF97" s="63"/>
      <c r="AG97" s="16">
        <f t="shared" si="157"/>
        <v>281307.99999999994</v>
      </c>
      <c r="AH97" s="20" t="s">
        <v>615</v>
      </c>
      <c r="AI97" s="63"/>
      <c r="AJ97" s="39">
        <f>28130+781.9+43081.69+28130</f>
        <v>100123.59</v>
      </c>
      <c r="AK97" s="39">
        <f>4421.82+6588.95</f>
        <v>11010.77</v>
      </c>
    </row>
    <row r="98" spans="1:37" s="165" customFormat="1" ht="204.75" x14ac:dyDescent="0.25">
      <c r="A98" s="7">
        <v>92</v>
      </c>
      <c r="B98" s="11">
        <v>117483</v>
      </c>
      <c r="C98" s="11">
        <v>412</v>
      </c>
      <c r="D98" s="11" t="s">
        <v>172</v>
      </c>
      <c r="E98" s="8" t="s">
        <v>733</v>
      </c>
      <c r="F98" s="9" t="s">
        <v>640</v>
      </c>
      <c r="G98" s="84" t="s">
        <v>896</v>
      </c>
      <c r="H98" s="177" t="s">
        <v>284</v>
      </c>
      <c r="I98" s="11" t="s">
        <v>185</v>
      </c>
      <c r="J98" s="8" t="s">
        <v>897</v>
      </c>
      <c r="K98" s="13">
        <v>43314</v>
      </c>
      <c r="L98" s="26">
        <v>43678</v>
      </c>
      <c r="M98" s="14">
        <f t="shared" si="158"/>
        <v>85.000000000000014</v>
      </c>
      <c r="N98" s="7">
        <v>5</v>
      </c>
      <c r="O98" s="11" t="s">
        <v>752</v>
      </c>
      <c r="P98" s="7" t="s">
        <v>288</v>
      </c>
      <c r="Q98" s="15" t="s">
        <v>213</v>
      </c>
      <c r="R98" s="7" t="s">
        <v>36</v>
      </c>
      <c r="S98" s="16">
        <v>242732.46</v>
      </c>
      <c r="T98" s="17">
        <f>S98</f>
        <v>242732.46</v>
      </c>
      <c r="U98" s="16">
        <v>0</v>
      </c>
      <c r="V98" s="16">
        <f t="shared" si="154"/>
        <v>37123.78</v>
      </c>
      <c r="W98" s="17">
        <v>37123.78</v>
      </c>
      <c r="X98" s="18">
        <v>0</v>
      </c>
      <c r="Y98" s="18">
        <f t="shared" si="159"/>
        <v>5711.36</v>
      </c>
      <c r="Z98" s="17">
        <v>5711.36</v>
      </c>
      <c r="AA98" s="18">
        <v>0</v>
      </c>
      <c r="AB98" s="16">
        <f t="shared" si="156"/>
        <v>0</v>
      </c>
      <c r="AC98" s="16"/>
      <c r="AD98" s="16"/>
      <c r="AE98" s="16">
        <f t="shared" si="130"/>
        <v>285567.59999999998</v>
      </c>
      <c r="AF98" s="16">
        <v>0</v>
      </c>
      <c r="AG98" s="16">
        <f t="shared" si="157"/>
        <v>285567.59999999998</v>
      </c>
      <c r="AH98" s="20" t="s">
        <v>615</v>
      </c>
      <c r="AI98" s="21" t="s">
        <v>185</v>
      </c>
      <c r="AJ98" s="39">
        <f>24768.62+25919.16+42164.52+19764.2+19764.2-1842.36</f>
        <v>130538.33999999998</v>
      </c>
      <c r="AK98" s="39">
        <f>3788.14+2637.6+3407.69+3022.76+3022.76+1842.36</f>
        <v>17721.310000000001</v>
      </c>
    </row>
    <row r="99" spans="1:37" s="165" customFormat="1" ht="141.75" x14ac:dyDescent="0.25">
      <c r="A99" s="7">
        <v>93</v>
      </c>
      <c r="B99" s="7">
        <v>126237</v>
      </c>
      <c r="C99" s="11">
        <v>529</v>
      </c>
      <c r="D99" s="7" t="s">
        <v>174</v>
      </c>
      <c r="E99" s="8" t="s">
        <v>998</v>
      </c>
      <c r="F99" s="7" t="s">
        <v>1165</v>
      </c>
      <c r="G99" s="10" t="s">
        <v>1229</v>
      </c>
      <c r="H99" s="10" t="s">
        <v>1211</v>
      </c>
      <c r="I99" s="7" t="s">
        <v>185</v>
      </c>
      <c r="J99" s="34" t="s">
        <v>1230</v>
      </c>
      <c r="K99" s="13">
        <v>43446</v>
      </c>
      <c r="L99" s="26">
        <v>44177</v>
      </c>
      <c r="M99" s="14">
        <f t="shared" ref="M99" si="160">S99/AE99*100</f>
        <v>85.000000000000014</v>
      </c>
      <c r="N99" s="7">
        <v>5</v>
      </c>
      <c r="O99" s="7" t="s">
        <v>752</v>
      </c>
      <c r="P99" s="7" t="s">
        <v>752</v>
      </c>
      <c r="Q99" s="30" t="s">
        <v>213</v>
      </c>
      <c r="R99" s="7" t="s">
        <v>36</v>
      </c>
      <c r="S99" s="16">
        <f>T99+U99</f>
        <v>2072800.65</v>
      </c>
      <c r="T99" s="45">
        <v>2072800.65</v>
      </c>
      <c r="U99" s="16">
        <v>0</v>
      </c>
      <c r="V99" s="18">
        <f t="shared" ref="V99:V100" si="161">W99+X99</f>
        <v>317016.56999999995</v>
      </c>
      <c r="W99" s="16">
        <v>317016.56999999995</v>
      </c>
      <c r="X99" s="16">
        <v>0</v>
      </c>
      <c r="Y99" s="16">
        <f t="shared" ref="Y99:Y100" si="162">Z99+AA99</f>
        <v>48771.78</v>
      </c>
      <c r="Z99" s="16">
        <v>48771.78</v>
      </c>
      <c r="AA99" s="16">
        <v>0</v>
      </c>
      <c r="AB99" s="16">
        <f>AC99+AD99</f>
        <v>0</v>
      </c>
      <c r="AC99" s="16">
        <v>0</v>
      </c>
      <c r="AD99" s="16">
        <v>0</v>
      </c>
      <c r="AE99" s="16">
        <f t="shared" ref="AE99:AE100" si="163">S99+V99+Y99+AB99</f>
        <v>2438588.9999999995</v>
      </c>
      <c r="AF99" s="16">
        <v>0</v>
      </c>
      <c r="AG99" s="16">
        <f t="shared" ref="AG99:AG100" si="164">AE99+AF99</f>
        <v>2438588.9999999995</v>
      </c>
      <c r="AH99" s="20" t="s">
        <v>615</v>
      </c>
      <c r="AI99" s="21" t="s">
        <v>185</v>
      </c>
      <c r="AJ99" s="22">
        <v>0</v>
      </c>
      <c r="AK99" s="23">
        <v>0</v>
      </c>
    </row>
    <row r="100" spans="1:37" s="165" customFormat="1" ht="156" customHeight="1" x14ac:dyDescent="0.25">
      <c r="A100" s="7">
        <v>94</v>
      </c>
      <c r="B100" s="7">
        <v>126422</v>
      </c>
      <c r="C100" s="11">
        <v>536</v>
      </c>
      <c r="D100" s="7" t="s">
        <v>176</v>
      </c>
      <c r="E100" s="8" t="s">
        <v>998</v>
      </c>
      <c r="F100" s="7" t="s">
        <v>1165</v>
      </c>
      <c r="G100" s="10" t="s">
        <v>1382</v>
      </c>
      <c r="H100" s="176" t="s">
        <v>751</v>
      </c>
      <c r="I100" s="177" t="s">
        <v>1383</v>
      </c>
      <c r="J100" s="34" t="s">
        <v>1384</v>
      </c>
      <c r="K100" s="13">
        <v>43556</v>
      </c>
      <c r="L100" s="26">
        <v>44470</v>
      </c>
      <c r="M100" s="14">
        <f t="shared" si="158"/>
        <v>84.449828692364051</v>
      </c>
      <c r="N100" s="7">
        <v>5</v>
      </c>
      <c r="O100" s="7" t="s">
        <v>752</v>
      </c>
      <c r="P100" s="7" t="s">
        <v>753</v>
      </c>
      <c r="Q100" s="30" t="s">
        <v>213</v>
      </c>
      <c r="R100" s="7" t="s">
        <v>36</v>
      </c>
      <c r="S100" s="16">
        <f>T100+U100</f>
        <v>3195443.02</v>
      </c>
      <c r="T100" s="23">
        <v>3195443.02</v>
      </c>
      <c r="U100" s="23">
        <v>0</v>
      </c>
      <c r="V100" s="18">
        <f t="shared" si="161"/>
        <v>512716.26</v>
      </c>
      <c r="W100" s="23">
        <v>512716.26</v>
      </c>
      <c r="X100" s="31">
        <v>0</v>
      </c>
      <c r="Y100" s="16">
        <f t="shared" si="162"/>
        <v>51185.440000000002</v>
      </c>
      <c r="Z100" s="23">
        <v>51185.440000000002</v>
      </c>
      <c r="AA100" s="23">
        <v>0</v>
      </c>
      <c r="AB100" s="16">
        <f t="shared" ref="AB100" si="165">AC100+AD100</f>
        <v>24491.279999999999</v>
      </c>
      <c r="AC100" s="23">
        <v>24491.279999999999</v>
      </c>
      <c r="AD100" s="31">
        <v>0</v>
      </c>
      <c r="AE100" s="16">
        <f t="shared" si="163"/>
        <v>3783836</v>
      </c>
      <c r="AF100" s="16">
        <v>0</v>
      </c>
      <c r="AG100" s="16">
        <f t="shared" si="164"/>
        <v>3783836</v>
      </c>
      <c r="AH100" s="20" t="s">
        <v>615</v>
      </c>
      <c r="AI100" s="21" t="s">
        <v>185</v>
      </c>
      <c r="AJ100" s="22">
        <v>0</v>
      </c>
      <c r="AK100" s="22">
        <v>0</v>
      </c>
    </row>
    <row r="101" spans="1:37" s="165" customFormat="1" ht="173.25" x14ac:dyDescent="0.25">
      <c r="A101" s="7">
        <v>95</v>
      </c>
      <c r="B101" s="7">
        <v>120482</v>
      </c>
      <c r="C101" s="11">
        <v>68</v>
      </c>
      <c r="D101" s="7" t="s">
        <v>174</v>
      </c>
      <c r="E101" s="8" t="s">
        <v>998</v>
      </c>
      <c r="F101" s="9" t="s">
        <v>361</v>
      </c>
      <c r="G101" s="10" t="s">
        <v>310</v>
      </c>
      <c r="H101" s="10" t="s">
        <v>313</v>
      </c>
      <c r="I101" s="7" t="s">
        <v>185</v>
      </c>
      <c r="J101" s="34" t="s">
        <v>316</v>
      </c>
      <c r="K101" s="13">
        <v>43145</v>
      </c>
      <c r="L101" s="26">
        <v>43630</v>
      </c>
      <c r="M101" s="14">
        <f t="shared" ref="M101" si="166">S101/AE101*100</f>
        <v>85</v>
      </c>
      <c r="N101" s="7">
        <v>3</v>
      </c>
      <c r="O101" s="7" t="s">
        <v>317</v>
      </c>
      <c r="P101" s="7" t="s">
        <v>318</v>
      </c>
      <c r="Q101" s="30" t="s">
        <v>213</v>
      </c>
      <c r="R101" s="7" t="s">
        <v>36</v>
      </c>
      <c r="S101" s="16">
        <f>T101+U101</f>
        <v>508342.5</v>
      </c>
      <c r="T101" s="45">
        <v>508342.5</v>
      </c>
      <c r="U101" s="16">
        <v>0</v>
      </c>
      <c r="V101" s="18">
        <f t="shared" si="154"/>
        <v>77746.5</v>
      </c>
      <c r="W101" s="16">
        <v>77746.5</v>
      </c>
      <c r="X101" s="16">
        <v>0</v>
      </c>
      <c r="Y101" s="16">
        <f t="shared" ref="Y101" si="167">Z101+AA101</f>
        <v>11961</v>
      </c>
      <c r="Z101" s="16">
        <v>11961</v>
      </c>
      <c r="AA101" s="16">
        <v>0</v>
      </c>
      <c r="AB101" s="16">
        <f t="shared" si="156"/>
        <v>0</v>
      </c>
      <c r="AC101" s="16"/>
      <c r="AD101" s="16"/>
      <c r="AE101" s="16">
        <f t="shared" si="130"/>
        <v>598050</v>
      </c>
      <c r="AF101" s="16">
        <v>0</v>
      </c>
      <c r="AG101" s="16">
        <f t="shared" si="157"/>
        <v>598050</v>
      </c>
      <c r="AH101" s="20" t="s">
        <v>615</v>
      </c>
      <c r="AI101" s="21"/>
      <c r="AJ101" s="22">
        <f>139474.65+11873.47+58460.39+21305.82</f>
        <v>231114.33000000002</v>
      </c>
      <c r="AK101" s="23">
        <f>21331.41+1815.94+8941+3258.54</f>
        <v>35346.89</v>
      </c>
    </row>
    <row r="102" spans="1:37" s="165" customFormat="1" ht="330.75" x14ac:dyDescent="0.25">
      <c r="A102" s="7">
        <v>96</v>
      </c>
      <c r="B102" s="7">
        <v>122108</v>
      </c>
      <c r="C102" s="11">
        <v>83</v>
      </c>
      <c r="D102" s="7" t="s">
        <v>174</v>
      </c>
      <c r="E102" s="8" t="s">
        <v>998</v>
      </c>
      <c r="F102" s="9" t="s">
        <v>361</v>
      </c>
      <c r="G102" s="10" t="s">
        <v>497</v>
      </c>
      <c r="H102" s="10" t="s">
        <v>498</v>
      </c>
      <c r="I102" s="7" t="s">
        <v>185</v>
      </c>
      <c r="J102" s="34" t="s">
        <v>550</v>
      </c>
      <c r="K102" s="13">
        <v>43234</v>
      </c>
      <c r="L102" s="26">
        <v>43722</v>
      </c>
      <c r="M102" s="14">
        <f t="shared" ref="M102:M104" si="168">S102/AE102*100</f>
        <v>84.999995128143141</v>
      </c>
      <c r="N102" s="7">
        <v>3</v>
      </c>
      <c r="O102" s="7" t="s">
        <v>317</v>
      </c>
      <c r="P102" s="7" t="s">
        <v>499</v>
      </c>
      <c r="Q102" s="30" t="s">
        <v>213</v>
      </c>
      <c r="R102" s="7" t="s">
        <v>36</v>
      </c>
      <c r="S102" s="16">
        <f>T102+U102</f>
        <v>322772.19</v>
      </c>
      <c r="T102" s="17">
        <v>322772.19</v>
      </c>
      <c r="U102" s="85">
        <v>0</v>
      </c>
      <c r="V102" s="18">
        <f t="shared" ref="V102" si="169">W102+X102</f>
        <v>49365.18</v>
      </c>
      <c r="W102" s="16">
        <v>49365.18</v>
      </c>
      <c r="X102" s="16">
        <v>0</v>
      </c>
      <c r="Y102" s="16">
        <f t="shared" ref="Y102" si="170">Z102+AA102</f>
        <v>7594.64</v>
      </c>
      <c r="Z102" s="16">
        <v>7594.64</v>
      </c>
      <c r="AA102" s="16">
        <v>0</v>
      </c>
      <c r="AB102" s="16">
        <f t="shared" ref="AB102" si="171">AC102+AD102</f>
        <v>0</v>
      </c>
      <c r="AC102" s="16"/>
      <c r="AD102" s="16"/>
      <c r="AE102" s="16">
        <v>379732.01</v>
      </c>
      <c r="AF102" s="16">
        <v>73549.58</v>
      </c>
      <c r="AG102" s="16">
        <v>434081.59</v>
      </c>
      <c r="AH102" s="20" t="s">
        <v>615</v>
      </c>
      <c r="AI102" s="21" t="s">
        <v>1409</v>
      </c>
      <c r="AJ102" s="22">
        <f>33333.97+12894.42+14394.75</f>
        <v>60623.14</v>
      </c>
      <c r="AK102" s="23">
        <f>5098.14+1972.08+2201.55</f>
        <v>9271.77</v>
      </c>
    </row>
    <row r="103" spans="1:37" s="165" customFormat="1" ht="189" x14ac:dyDescent="0.25">
      <c r="A103" s="7">
        <v>97</v>
      </c>
      <c r="B103" s="11">
        <v>118782</v>
      </c>
      <c r="C103" s="11">
        <v>444</v>
      </c>
      <c r="D103" s="11" t="s">
        <v>714</v>
      </c>
      <c r="E103" s="8" t="s">
        <v>733</v>
      </c>
      <c r="F103" s="9" t="s">
        <v>640</v>
      </c>
      <c r="G103" s="8" t="s">
        <v>859</v>
      </c>
      <c r="H103" s="8" t="s">
        <v>858</v>
      </c>
      <c r="I103" s="7"/>
      <c r="J103" s="29" t="s">
        <v>857</v>
      </c>
      <c r="K103" s="13">
        <v>43304</v>
      </c>
      <c r="L103" s="26">
        <v>43669</v>
      </c>
      <c r="M103" s="14">
        <f t="shared" si="168"/>
        <v>85</v>
      </c>
      <c r="N103" s="7">
        <v>3</v>
      </c>
      <c r="O103" s="7" t="s">
        <v>317</v>
      </c>
      <c r="P103" s="11" t="s">
        <v>860</v>
      </c>
      <c r="Q103" s="30" t="s">
        <v>213</v>
      </c>
      <c r="R103" s="7" t="s">
        <v>36</v>
      </c>
      <c r="S103" s="16">
        <v>242091.39</v>
      </c>
      <c r="T103" s="86">
        <f>S103</f>
        <v>242091.39</v>
      </c>
      <c r="U103" s="31">
        <v>0</v>
      </c>
      <c r="V103" s="18">
        <v>37025.74</v>
      </c>
      <c r="W103" s="22">
        <f>V103</f>
        <v>37025.74</v>
      </c>
      <c r="X103" s="31">
        <v>0</v>
      </c>
      <c r="Y103" s="22">
        <v>5696.27</v>
      </c>
      <c r="Z103" s="22">
        <f>Y103</f>
        <v>5696.27</v>
      </c>
      <c r="AA103" s="22">
        <v>0</v>
      </c>
      <c r="AB103" s="16">
        <f t="shared" si="156"/>
        <v>0</v>
      </c>
      <c r="AC103" s="31"/>
      <c r="AD103" s="31"/>
      <c r="AE103" s="16">
        <f>S103+V103+Y103+AB103</f>
        <v>284813.40000000002</v>
      </c>
      <c r="AF103" s="63"/>
      <c r="AG103" s="16">
        <f t="shared" si="157"/>
        <v>284813.40000000002</v>
      </c>
      <c r="AH103" s="20" t="s">
        <v>615</v>
      </c>
      <c r="AI103" s="63"/>
      <c r="AJ103" s="16">
        <f>28481.34-3066.97+23120.26-3309.72</f>
        <v>45224.909999999996</v>
      </c>
      <c r="AK103" s="16">
        <f>3066.97+3309.72</f>
        <v>6376.69</v>
      </c>
    </row>
    <row r="104" spans="1:37" s="178" customFormat="1" ht="237.75" customHeight="1" x14ac:dyDescent="0.25">
      <c r="A104" s="7">
        <v>98</v>
      </c>
      <c r="B104" s="11">
        <v>118562</v>
      </c>
      <c r="C104" s="11">
        <v>430</v>
      </c>
      <c r="D104" s="11" t="s">
        <v>873</v>
      </c>
      <c r="E104" s="8" t="s">
        <v>733</v>
      </c>
      <c r="F104" s="9" t="s">
        <v>640</v>
      </c>
      <c r="G104" s="8" t="s">
        <v>919</v>
      </c>
      <c r="H104" s="11" t="s">
        <v>920</v>
      </c>
      <c r="I104" s="7" t="s">
        <v>185</v>
      </c>
      <c r="J104" s="29" t="s">
        <v>921</v>
      </c>
      <c r="K104" s="13">
        <v>43318</v>
      </c>
      <c r="L104" s="26">
        <v>43683</v>
      </c>
      <c r="M104" s="14">
        <f t="shared" si="168"/>
        <v>85</v>
      </c>
      <c r="N104" s="7">
        <v>3</v>
      </c>
      <c r="O104" s="7" t="s">
        <v>317</v>
      </c>
      <c r="P104" s="11" t="s">
        <v>318</v>
      </c>
      <c r="Q104" s="30" t="s">
        <v>213</v>
      </c>
      <c r="R104" s="7" t="s">
        <v>36</v>
      </c>
      <c r="S104" s="16">
        <f>T104+U104</f>
        <v>244199.22</v>
      </c>
      <c r="T104" s="86">
        <v>244199.22</v>
      </c>
      <c r="U104" s="31">
        <v>0</v>
      </c>
      <c r="V104" s="18">
        <f>W104+X104</f>
        <v>37348.11</v>
      </c>
      <c r="W104" s="22">
        <v>37348.11</v>
      </c>
      <c r="X104" s="31">
        <v>0</v>
      </c>
      <c r="Y104" s="22">
        <f>Z104+AA104</f>
        <v>5745.87</v>
      </c>
      <c r="Z104" s="22">
        <v>5745.87</v>
      </c>
      <c r="AA104" s="22">
        <v>0</v>
      </c>
      <c r="AB104" s="16">
        <f>AC104+AD104</f>
        <v>0</v>
      </c>
      <c r="AC104" s="31">
        <v>0</v>
      </c>
      <c r="AD104" s="31">
        <v>0</v>
      </c>
      <c r="AE104" s="16">
        <f>S104+V104+Y104+AB104</f>
        <v>287293.2</v>
      </c>
      <c r="AF104" s="63">
        <v>0</v>
      </c>
      <c r="AG104" s="16">
        <f t="shared" si="157"/>
        <v>287293.2</v>
      </c>
      <c r="AH104" s="20" t="s">
        <v>615</v>
      </c>
      <c r="AI104" s="63"/>
      <c r="AJ104" s="16">
        <f>28906.01+15593.07</f>
        <v>44499.08</v>
      </c>
      <c r="AK104" s="16">
        <f>4420.92+2384.82</f>
        <v>6805.74</v>
      </c>
    </row>
    <row r="105" spans="1:37" s="165" customFormat="1" ht="270" customHeight="1" x14ac:dyDescent="0.25">
      <c r="A105" s="7">
        <v>99</v>
      </c>
      <c r="B105" s="11">
        <v>119895</v>
      </c>
      <c r="C105" s="11">
        <v>458</v>
      </c>
      <c r="D105" s="11" t="s">
        <v>1104</v>
      </c>
      <c r="E105" s="11" t="s">
        <v>1071</v>
      </c>
      <c r="F105" s="10" t="s">
        <v>870</v>
      </c>
      <c r="G105" s="179" t="s">
        <v>880</v>
      </c>
      <c r="H105" s="179" t="s">
        <v>881</v>
      </c>
      <c r="I105" s="7" t="s">
        <v>185</v>
      </c>
      <c r="J105" s="8" t="s">
        <v>882</v>
      </c>
      <c r="K105" s="13">
        <v>43312</v>
      </c>
      <c r="L105" s="26">
        <v>43677</v>
      </c>
      <c r="M105" s="14">
        <f t="shared" ref="M105:M106" si="172">S105/AE105*100</f>
        <v>79.999998251321642</v>
      </c>
      <c r="N105" s="11">
        <v>8</v>
      </c>
      <c r="O105" s="7" t="s">
        <v>883</v>
      </c>
      <c r="P105" s="7" t="s">
        <v>884</v>
      </c>
      <c r="Q105" s="7" t="s">
        <v>213</v>
      </c>
      <c r="R105" s="7" t="s">
        <v>36</v>
      </c>
      <c r="S105" s="16">
        <f>T105+U105</f>
        <v>457488.35</v>
      </c>
      <c r="T105" s="88">
        <v>0</v>
      </c>
      <c r="U105" s="89">
        <v>457488.35</v>
      </c>
      <c r="V105" s="18">
        <f t="shared" si="154"/>
        <v>102934.89</v>
      </c>
      <c r="W105" s="89">
        <v>0</v>
      </c>
      <c r="X105" s="90">
        <v>102934.89</v>
      </c>
      <c r="Y105" s="16">
        <f>Z105+AA105</f>
        <v>11437.21</v>
      </c>
      <c r="Z105" s="89">
        <v>0</v>
      </c>
      <c r="AA105" s="91">
        <v>11437.21</v>
      </c>
      <c r="AB105" s="16">
        <f t="shared" si="156"/>
        <v>0</v>
      </c>
      <c r="AC105" s="89">
        <v>0</v>
      </c>
      <c r="AD105" s="91">
        <v>0</v>
      </c>
      <c r="AE105" s="16">
        <f>S105+V105+Y105+AB105</f>
        <v>571860.44999999995</v>
      </c>
      <c r="AF105" s="16">
        <v>0</v>
      </c>
      <c r="AG105" s="16">
        <f t="shared" si="157"/>
        <v>571860.44999999995</v>
      </c>
      <c r="AH105" s="20" t="s">
        <v>615</v>
      </c>
      <c r="AI105" s="63"/>
      <c r="AJ105" s="19">
        <v>0</v>
      </c>
      <c r="AK105" s="16">
        <v>0</v>
      </c>
    </row>
    <row r="106" spans="1:37" s="165" customFormat="1" ht="142.5" customHeight="1" x14ac:dyDescent="0.25">
      <c r="A106" s="7">
        <v>100</v>
      </c>
      <c r="B106" s="11">
        <v>126391</v>
      </c>
      <c r="C106" s="11">
        <v>508</v>
      </c>
      <c r="D106" s="11" t="s">
        <v>676</v>
      </c>
      <c r="E106" s="11" t="s">
        <v>998</v>
      </c>
      <c r="F106" s="7" t="s">
        <v>1172</v>
      </c>
      <c r="G106" s="8" t="s">
        <v>1232</v>
      </c>
      <c r="H106" s="179" t="s">
        <v>881</v>
      </c>
      <c r="I106" s="7" t="s">
        <v>185</v>
      </c>
      <c r="J106" s="8" t="s">
        <v>1233</v>
      </c>
      <c r="K106" s="13">
        <v>43452</v>
      </c>
      <c r="L106" s="26">
        <v>44365</v>
      </c>
      <c r="M106" s="14">
        <f t="shared" si="172"/>
        <v>80.000000098352359</v>
      </c>
      <c r="N106" s="11">
        <v>8</v>
      </c>
      <c r="O106" s="7" t="s">
        <v>883</v>
      </c>
      <c r="P106" s="7" t="s">
        <v>884</v>
      </c>
      <c r="Q106" s="7" t="s">
        <v>213</v>
      </c>
      <c r="R106" s="7" t="s">
        <v>36</v>
      </c>
      <c r="S106" s="16">
        <f t="shared" ref="S106" si="173">T106+U106</f>
        <v>1626803.97</v>
      </c>
      <c r="T106" s="180">
        <v>0</v>
      </c>
      <c r="U106" s="22">
        <v>1626803.97</v>
      </c>
      <c r="V106" s="18">
        <f t="shared" si="154"/>
        <v>366030.89</v>
      </c>
      <c r="W106" s="180">
        <v>0</v>
      </c>
      <c r="X106" s="23">
        <v>366030.89</v>
      </c>
      <c r="Y106" s="23">
        <f>Z106+AA106</f>
        <v>40670.1</v>
      </c>
      <c r="Z106" s="181">
        <v>0</v>
      </c>
      <c r="AA106" s="180">
        <v>40670.1</v>
      </c>
      <c r="AB106" s="16">
        <f t="shared" si="156"/>
        <v>0</v>
      </c>
      <c r="AC106" s="181">
        <v>0</v>
      </c>
      <c r="AD106" s="180">
        <v>0</v>
      </c>
      <c r="AE106" s="16">
        <f>S106+V106+Y106+AB106</f>
        <v>2033504.96</v>
      </c>
      <c r="AF106" s="27">
        <v>485522.74</v>
      </c>
      <c r="AG106" s="16">
        <f t="shared" si="157"/>
        <v>2519027.7000000002</v>
      </c>
      <c r="AH106" s="20" t="s">
        <v>615</v>
      </c>
      <c r="AI106" s="63"/>
      <c r="AJ106" s="16">
        <v>0</v>
      </c>
      <c r="AK106" s="16">
        <v>0</v>
      </c>
    </row>
    <row r="107" spans="1:37" s="165" customFormat="1" ht="150" customHeight="1" x14ac:dyDescent="0.25">
      <c r="A107" s="7">
        <v>101</v>
      </c>
      <c r="B107" s="7">
        <v>122738</v>
      </c>
      <c r="C107" s="11">
        <v>73</v>
      </c>
      <c r="D107" s="7" t="s">
        <v>177</v>
      </c>
      <c r="E107" s="8" t="s">
        <v>998</v>
      </c>
      <c r="F107" s="9" t="s">
        <v>361</v>
      </c>
      <c r="G107" s="179" t="s">
        <v>734</v>
      </c>
      <c r="H107" s="8" t="s">
        <v>735</v>
      </c>
      <c r="I107" s="7" t="s">
        <v>185</v>
      </c>
      <c r="J107" s="8" t="s">
        <v>1414</v>
      </c>
      <c r="K107" s="13">
        <v>43284</v>
      </c>
      <c r="L107" s="26">
        <v>43772</v>
      </c>
      <c r="M107" s="14">
        <f t="shared" ref="M107:M108" si="174">S107/AE107*100</f>
        <v>85.000002334434541</v>
      </c>
      <c r="N107" s="7">
        <v>6</v>
      </c>
      <c r="O107" s="7" t="s">
        <v>736</v>
      </c>
      <c r="P107" s="7" t="s">
        <v>737</v>
      </c>
      <c r="Q107" s="30" t="s">
        <v>213</v>
      </c>
      <c r="R107" s="7" t="s">
        <v>36</v>
      </c>
      <c r="S107" s="18">
        <f t="shared" ref="S107" si="175">T107+U107</f>
        <v>527965.13</v>
      </c>
      <c r="T107" s="89">
        <v>527965.13</v>
      </c>
      <c r="U107" s="16">
        <v>0</v>
      </c>
      <c r="V107" s="18">
        <f t="shared" ref="V107" si="176">W107+X107</f>
        <v>80747.570000000007</v>
      </c>
      <c r="W107" s="89">
        <v>80747.570000000007</v>
      </c>
      <c r="X107" s="16">
        <v>0</v>
      </c>
      <c r="Y107" s="18">
        <f t="shared" ref="Y107" si="177">Z107+AA107</f>
        <v>12422.73</v>
      </c>
      <c r="Z107" s="92">
        <v>12422.73</v>
      </c>
      <c r="AA107" s="16">
        <v>0</v>
      </c>
      <c r="AB107" s="16">
        <f t="shared" ref="AB107" si="178">AC107+AD107</f>
        <v>0</v>
      </c>
      <c r="AC107" s="16">
        <v>0</v>
      </c>
      <c r="AD107" s="16">
        <v>0</v>
      </c>
      <c r="AE107" s="16">
        <f t="shared" ref="AE107" si="179">S107+V107+Y107+AB107</f>
        <v>621135.42999999993</v>
      </c>
      <c r="AF107" s="16">
        <v>0</v>
      </c>
      <c r="AG107" s="16">
        <f t="shared" ref="AG107" si="180">AE107+AF107</f>
        <v>621135.42999999993</v>
      </c>
      <c r="AH107" s="20" t="s">
        <v>615</v>
      </c>
      <c r="AI107" s="21"/>
      <c r="AJ107" s="19">
        <f>21406.41+58309.25</f>
        <v>79715.66</v>
      </c>
      <c r="AK107" s="16">
        <f>3273.92+8917.89</f>
        <v>12191.81</v>
      </c>
    </row>
    <row r="108" spans="1:37" s="165" customFormat="1" ht="173.25" x14ac:dyDescent="0.25">
      <c r="A108" s="7">
        <v>102</v>
      </c>
      <c r="B108" s="11">
        <v>126337</v>
      </c>
      <c r="C108" s="11">
        <v>556</v>
      </c>
      <c r="D108" s="7" t="s">
        <v>676</v>
      </c>
      <c r="E108" s="11" t="s">
        <v>998</v>
      </c>
      <c r="F108" s="9" t="s">
        <v>1165</v>
      </c>
      <c r="G108" s="8" t="s">
        <v>1413</v>
      </c>
      <c r="H108" s="8" t="s">
        <v>735</v>
      </c>
      <c r="I108" s="7" t="s">
        <v>185</v>
      </c>
      <c r="J108" s="8" t="s">
        <v>1415</v>
      </c>
      <c r="K108" s="13">
        <v>43577</v>
      </c>
      <c r="L108" s="26">
        <v>44491</v>
      </c>
      <c r="M108" s="14">
        <f t="shared" si="174"/>
        <v>85.000000442818262</v>
      </c>
      <c r="N108" s="7">
        <v>6</v>
      </c>
      <c r="O108" s="7" t="s">
        <v>736</v>
      </c>
      <c r="P108" s="7" t="s">
        <v>737</v>
      </c>
      <c r="Q108" s="30" t="s">
        <v>213</v>
      </c>
      <c r="R108" s="7" t="s">
        <v>36</v>
      </c>
      <c r="S108" s="16">
        <f t="shared" ref="S108" si="181">T108+U108</f>
        <v>3359165.89</v>
      </c>
      <c r="T108" s="89">
        <v>3359165.89</v>
      </c>
      <c r="U108" s="16">
        <v>0</v>
      </c>
      <c r="V108" s="18">
        <f t="shared" si="154"/>
        <v>513754.76</v>
      </c>
      <c r="W108" s="89">
        <v>513754.76</v>
      </c>
      <c r="X108" s="16">
        <v>0</v>
      </c>
      <c r="Y108" s="86">
        <f>Z108+AA108</f>
        <v>79039.199999999997</v>
      </c>
      <c r="Z108" s="92">
        <v>79039.199999999997</v>
      </c>
      <c r="AA108" s="16">
        <v>0</v>
      </c>
      <c r="AB108" s="16">
        <f t="shared" si="156"/>
        <v>0</v>
      </c>
      <c r="AC108" s="16">
        <v>0</v>
      </c>
      <c r="AD108" s="16">
        <v>0</v>
      </c>
      <c r="AE108" s="16">
        <f t="shared" si="130"/>
        <v>3951959.8500000006</v>
      </c>
      <c r="AF108" s="16">
        <v>15981.7</v>
      </c>
      <c r="AG108" s="16">
        <f t="shared" si="157"/>
        <v>3967941.5500000007</v>
      </c>
      <c r="AH108" s="20" t="s">
        <v>615</v>
      </c>
      <c r="AI108" s="63"/>
      <c r="AJ108" s="16">
        <v>0</v>
      </c>
      <c r="AK108" s="16">
        <v>0</v>
      </c>
    </row>
    <row r="109" spans="1:37" s="165" customFormat="1" ht="173.25" x14ac:dyDescent="0.25">
      <c r="A109" s="7">
        <v>103</v>
      </c>
      <c r="B109" s="7">
        <v>110238</v>
      </c>
      <c r="C109" s="11">
        <v>120</v>
      </c>
      <c r="D109" s="7" t="s">
        <v>172</v>
      </c>
      <c r="E109" s="8" t="s">
        <v>998</v>
      </c>
      <c r="F109" s="9" t="s">
        <v>361</v>
      </c>
      <c r="G109" s="170" t="s">
        <v>322</v>
      </c>
      <c r="H109" s="10" t="s">
        <v>323</v>
      </c>
      <c r="I109" s="7" t="s">
        <v>185</v>
      </c>
      <c r="J109" s="12" t="s">
        <v>339</v>
      </c>
      <c r="K109" s="13">
        <v>43166</v>
      </c>
      <c r="L109" s="26">
        <v>43653</v>
      </c>
      <c r="M109" s="14">
        <f t="shared" ref="M109:M110" si="182">S109/AE109*100</f>
        <v>85.000000235397167</v>
      </c>
      <c r="N109" s="7">
        <v>4</v>
      </c>
      <c r="O109" s="7" t="s">
        <v>325</v>
      </c>
      <c r="P109" s="7" t="s">
        <v>324</v>
      </c>
      <c r="Q109" s="30" t="s">
        <v>213</v>
      </c>
      <c r="R109" s="7" t="s">
        <v>36</v>
      </c>
      <c r="S109" s="18">
        <f t="shared" ref="S109:S110" si="183">T109+U109</f>
        <v>361091.85</v>
      </c>
      <c r="T109" s="90">
        <v>361091.85</v>
      </c>
      <c r="U109" s="16">
        <v>0</v>
      </c>
      <c r="V109" s="18">
        <f t="shared" si="154"/>
        <v>55225.82</v>
      </c>
      <c r="W109" s="90">
        <v>55225.82</v>
      </c>
      <c r="X109" s="16">
        <v>0</v>
      </c>
      <c r="Y109" s="18">
        <f t="shared" ref="Y109" si="184">Z109+AA109</f>
        <v>8496.27</v>
      </c>
      <c r="Z109" s="93">
        <v>8496.27</v>
      </c>
      <c r="AA109" s="16">
        <v>0</v>
      </c>
      <c r="AB109" s="16">
        <f t="shared" si="156"/>
        <v>0</v>
      </c>
      <c r="AC109" s="16"/>
      <c r="AD109" s="16"/>
      <c r="AE109" s="16">
        <f t="shared" si="130"/>
        <v>424813.94</v>
      </c>
      <c r="AF109" s="16">
        <v>0</v>
      </c>
      <c r="AG109" s="16">
        <f t="shared" si="157"/>
        <v>424813.94</v>
      </c>
      <c r="AH109" s="20" t="s">
        <v>615</v>
      </c>
      <c r="AI109" s="21"/>
      <c r="AJ109" s="19">
        <f>36851.39+107373.8</f>
        <v>144225.19</v>
      </c>
      <c r="AK109" s="16">
        <f>5630+16427.98</f>
        <v>22057.98</v>
      </c>
    </row>
    <row r="110" spans="1:37" s="165" customFormat="1" ht="173.25" x14ac:dyDescent="0.25">
      <c r="A110" s="7">
        <v>104</v>
      </c>
      <c r="B110" s="7">
        <v>117741</v>
      </c>
      <c r="C110" s="11">
        <v>415</v>
      </c>
      <c r="D110" s="7" t="s">
        <v>175</v>
      </c>
      <c r="E110" s="8" t="s">
        <v>733</v>
      </c>
      <c r="F110" s="10" t="s">
        <v>640</v>
      </c>
      <c r="G110" s="10" t="s">
        <v>874</v>
      </c>
      <c r="H110" s="10" t="s">
        <v>875</v>
      </c>
      <c r="I110" s="7" t="s">
        <v>775</v>
      </c>
      <c r="J110" s="10" t="s">
        <v>876</v>
      </c>
      <c r="K110" s="13">
        <v>43311</v>
      </c>
      <c r="L110" s="26">
        <v>43676</v>
      </c>
      <c r="M110" s="14">
        <f t="shared" si="182"/>
        <v>84.15024511492409</v>
      </c>
      <c r="N110" s="7">
        <v>4</v>
      </c>
      <c r="O110" s="7" t="s">
        <v>325</v>
      </c>
      <c r="P110" s="7" t="s">
        <v>324</v>
      </c>
      <c r="Q110" s="7" t="s">
        <v>213</v>
      </c>
      <c r="R110" s="7" t="s">
        <v>36</v>
      </c>
      <c r="S110" s="18">
        <f t="shared" si="183"/>
        <v>242958.31</v>
      </c>
      <c r="T110" s="23">
        <v>242958.31</v>
      </c>
      <c r="U110" s="31">
        <v>0</v>
      </c>
      <c r="V110" s="18">
        <f t="shared" si="154"/>
        <v>39986.97</v>
      </c>
      <c r="W110" s="23">
        <v>39986.97</v>
      </c>
      <c r="X110" s="31">
        <v>0</v>
      </c>
      <c r="Y110" s="23">
        <f>Z110+AA110</f>
        <v>2888.03</v>
      </c>
      <c r="Z110" s="23">
        <v>2888.03</v>
      </c>
      <c r="AA110" s="23">
        <v>0</v>
      </c>
      <c r="AB110" s="16">
        <f t="shared" si="156"/>
        <v>2886.36</v>
      </c>
      <c r="AC110" s="23">
        <v>2886.36</v>
      </c>
      <c r="AD110" s="31">
        <v>0</v>
      </c>
      <c r="AE110" s="16">
        <f t="shared" si="130"/>
        <v>288719.67000000004</v>
      </c>
      <c r="AF110" s="63"/>
      <c r="AG110" s="16">
        <f t="shared" si="157"/>
        <v>288719.67000000004</v>
      </c>
      <c r="AH110" s="20" t="s">
        <v>615</v>
      </c>
      <c r="AI110" s="63"/>
      <c r="AJ110" s="16">
        <f>28871.96-265.54+15843.66+15843.66+10893.14</f>
        <v>71186.880000000005</v>
      </c>
      <c r="AK110" s="16">
        <f>4137.44+2795.94+2795.94+1922.32</f>
        <v>11651.64</v>
      </c>
    </row>
    <row r="111" spans="1:37" s="165" customFormat="1" ht="172.5" customHeight="1" x14ac:dyDescent="0.25">
      <c r="A111" s="7">
        <v>105</v>
      </c>
      <c r="B111" s="7">
        <v>126246</v>
      </c>
      <c r="C111" s="11">
        <v>537</v>
      </c>
      <c r="D111" s="7" t="s">
        <v>176</v>
      </c>
      <c r="E111" s="11" t="s">
        <v>998</v>
      </c>
      <c r="F111" s="9" t="s">
        <v>1165</v>
      </c>
      <c r="G111" s="10" t="s">
        <v>1335</v>
      </c>
      <c r="H111" s="10" t="s">
        <v>875</v>
      </c>
      <c r="I111" s="7" t="s">
        <v>627</v>
      </c>
      <c r="J111" s="12" t="s">
        <v>1336</v>
      </c>
      <c r="K111" s="13">
        <v>43532</v>
      </c>
      <c r="L111" s="26">
        <v>44447</v>
      </c>
      <c r="M111" s="14">
        <f t="shared" ref="M111" si="185">S111/AE111*100</f>
        <v>84.376572868603944</v>
      </c>
      <c r="N111" s="7">
        <v>4</v>
      </c>
      <c r="O111" s="7" t="s">
        <v>325</v>
      </c>
      <c r="P111" s="7" t="s">
        <v>324</v>
      </c>
      <c r="Q111" s="7" t="s">
        <v>213</v>
      </c>
      <c r="R111" s="7" t="s">
        <v>36</v>
      </c>
      <c r="S111" s="18">
        <f t="shared" ref="S111" si="186">T111+U111</f>
        <v>3134478.71</v>
      </c>
      <c r="T111" s="23">
        <v>3134478.71</v>
      </c>
      <c r="U111" s="31">
        <v>0</v>
      </c>
      <c r="V111" s="18">
        <f t="shared" ref="V111" si="187">W111+X111</f>
        <v>506092.39</v>
      </c>
      <c r="W111" s="23">
        <v>506092.39</v>
      </c>
      <c r="X111" s="31">
        <v>0</v>
      </c>
      <c r="Y111" s="23">
        <f>Z111+AA111</f>
        <v>47050.879999999997</v>
      </c>
      <c r="Z111" s="23">
        <v>47050.879999999997</v>
      </c>
      <c r="AA111" s="23">
        <v>0</v>
      </c>
      <c r="AB111" s="16">
        <f t="shared" ref="AB111" si="188">AC111+AD111</f>
        <v>27246.5</v>
      </c>
      <c r="AC111" s="23">
        <v>27246.5</v>
      </c>
      <c r="AD111" s="31">
        <v>0</v>
      </c>
      <c r="AE111" s="16">
        <f t="shared" si="130"/>
        <v>3714868.48</v>
      </c>
      <c r="AF111" s="63">
        <v>0</v>
      </c>
      <c r="AG111" s="16">
        <f t="shared" ref="AG111" si="189">AE111+AF111</f>
        <v>3714868.48</v>
      </c>
      <c r="AH111" s="20" t="s">
        <v>615</v>
      </c>
      <c r="AI111" s="63"/>
      <c r="AJ111" s="39">
        <v>283028.44</v>
      </c>
      <c r="AK111" s="39">
        <v>0</v>
      </c>
    </row>
    <row r="112" spans="1:37" s="46" customFormat="1" ht="157.5" x14ac:dyDescent="0.25">
      <c r="A112" s="7">
        <v>106</v>
      </c>
      <c r="B112" s="7">
        <v>120531</v>
      </c>
      <c r="C112" s="11">
        <v>76</v>
      </c>
      <c r="D112" s="8" t="s">
        <v>177</v>
      </c>
      <c r="E112" s="8" t="s">
        <v>998</v>
      </c>
      <c r="F112" s="9" t="s">
        <v>361</v>
      </c>
      <c r="G112" s="43" t="s">
        <v>261</v>
      </c>
      <c r="H112" s="43" t="s">
        <v>262</v>
      </c>
      <c r="I112" s="11" t="s">
        <v>185</v>
      </c>
      <c r="J112" s="8" t="s">
        <v>263</v>
      </c>
      <c r="K112" s="13">
        <v>43129</v>
      </c>
      <c r="L112" s="26">
        <v>43614</v>
      </c>
      <c r="M112" s="14">
        <f t="shared" ref="M112:M115" si="190">S112/AE112*100</f>
        <v>85.000000405063261</v>
      </c>
      <c r="N112" s="11">
        <v>3</v>
      </c>
      <c r="O112" s="11" t="s">
        <v>265</v>
      </c>
      <c r="P112" s="11" t="s">
        <v>264</v>
      </c>
      <c r="Q112" s="15" t="s">
        <v>213</v>
      </c>
      <c r="R112" s="11" t="s">
        <v>36</v>
      </c>
      <c r="S112" s="16">
        <f t="shared" ref="S112:S115" si="191">T112+U112</f>
        <v>524609.42000000004</v>
      </c>
      <c r="T112" s="45">
        <v>524609.42000000004</v>
      </c>
      <c r="U112" s="19">
        <v>0</v>
      </c>
      <c r="V112" s="18">
        <f t="shared" si="154"/>
        <v>80234.38</v>
      </c>
      <c r="W112" s="45">
        <v>80234.38</v>
      </c>
      <c r="X112" s="19">
        <v>0</v>
      </c>
      <c r="Y112" s="16">
        <f t="shared" ref="Y112:Y115" si="192">Z112+AA112</f>
        <v>12343.75</v>
      </c>
      <c r="Z112" s="45">
        <v>12343.75</v>
      </c>
      <c r="AA112" s="19">
        <v>0</v>
      </c>
      <c r="AB112" s="16">
        <f t="shared" si="156"/>
        <v>0</v>
      </c>
      <c r="AC112" s="19"/>
      <c r="AD112" s="19"/>
      <c r="AE112" s="16">
        <f t="shared" si="130"/>
        <v>617187.55000000005</v>
      </c>
      <c r="AF112" s="19">
        <v>0</v>
      </c>
      <c r="AG112" s="16">
        <f t="shared" si="157"/>
        <v>617187.55000000005</v>
      </c>
      <c r="AH112" s="20" t="s">
        <v>615</v>
      </c>
      <c r="AI112" s="38" t="s">
        <v>185</v>
      </c>
      <c r="AJ112" s="22">
        <f>40294.21+38633.5</f>
        <v>78927.709999999992</v>
      </c>
      <c r="AK112" s="22">
        <f>6162.64+5908.66</f>
        <v>12071.3</v>
      </c>
    </row>
    <row r="113" spans="1:37" s="96" customFormat="1" ht="157.5" x14ac:dyDescent="0.25">
      <c r="A113" s="7">
        <v>107</v>
      </c>
      <c r="B113" s="11">
        <v>119702</v>
      </c>
      <c r="C113" s="11">
        <v>462</v>
      </c>
      <c r="D113" s="8" t="s">
        <v>174</v>
      </c>
      <c r="E113" s="11" t="s">
        <v>1071</v>
      </c>
      <c r="F113" s="94" t="s">
        <v>574</v>
      </c>
      <c r="G113" s="8" t="s">
        <v>633</v>
      </c>
      <c r="H113" s="8" t="s">
        <v>262</v>
      </c>
      <c r="I113" s="11" t="s">
        <v>185</v>
      </c>
      <c r="J113" s="8" t="s">
        <v>635</v>
      </c>
      <c r="K113" s="13">
        <v>43269</v>
      </c>
      <c r="L113" s="26">
        <v>43756</v>
      </c>
      <c r="M113" s="32">
        <f t="shared" si="190"/>
        <v>85.000000000000014</v>
      </c>
      <c r="N113" s="11">
        <v>3</v>
      </c>
      <c r="O113" s="11" t="s">
        <v>265</v>
      </c>
      <c r="P113" s="11" t="s">
        <v>264</v>
      </c>
      <c r="Q113" s="11" t="s">
        <v>213</v>
      </c>
      <c r="R113" s="11" t="s">
        <v>578</v>
      </c>
      <c r="S113" s="19">
        <f t="shared" si="191"/>
        <v>289363.96999999997</v>
      </c>
      <c r="T113" s="22">
        <v>289363.96999999997</v>
      </c>
      <c r="U113" s="19">
        <v>0</v>
      </c>
      <c r="V113" s="18">
        <f t="shared" ref="V113" si="193">W113+X113</f>
        <v>44255.67</v>
      </c>
      <c r="W113" s="22">
        <v>44255.67</v>
      </c>
      <c r="X113" s="19">
        <v>0</v>
      </c>
      <c r="Y113" s="19">
        <f t="shared" si="192"/>
        <v>6808.5599999999995</v>
      </c>
      <c r="Z113" s="22">
        <v>6808.5599999999995</v>
      </c>
      <c r="AA113" s="19">
        <v>0</v>
      </c>
      <c r="AB113" s="19">
        <f t="shared" ref="AB113" si="194">AC113+AD113</f>
        <v>0</v>
      </c>
      <c r="AC113" s="19">
        <v>0</v>
      </c>
      <c r="AD113" s="19">
        <v>0</v>
      </c>
      <c r="AE113" s="19">
        <f>S113+V113+Y113+AB113</f>
        <v>340428.19999999995</v>
      </c>
      <c r="AF113" s="19">
        <v>0</v>
      </c>
      <c r="AG113" s="19">
        <f t="shared" ref="AG113" si="195">AE113+AF113</f>
        <v>340428.19999999995</v>
      </c>
      <c r="AH113" s="20" t="s">
        <v>615</v>
      </c>
      <c r="AI113" s="95" t="s">
        <v>1409</v>
      </c>
      <c r="AJ113" s="22">
        <f>29938.25-3891.97+46974.03</f>
        <v>73020.31</v>
      </c>
      <c r="AK113" s="22">
        <f>3891.97+7275.84</f>
        <v>11167.81</v>
      </c>
    </row>
    <row r="114" spans="1:37" s="166" customFormat="1" ht="204.75" x14ac:dyDescent="0.25">
      <c r="A114" s="7">
        <v>108</v>
      </c>
      <c r="B114" s="11">
        <v>117960</v>
      </c>
      <c r="C114" s="11">
        <v>418</v>
      </c>
      <c r="D114" s="11" t="s">
        <v>873</v>
      </c>
      <c r="E114" s="8" t="s">
        <v>733</v>
      </c>
      <c r="F114" s="8" t="s">
        <v>640</v>
      </c>
      <c r="G114" s="8" t="s">
        <v>923</v>
      </c>
      <c r="H114" s="8" t="s">
        <v>262</v>
      </c>
      <c r="I114" s="11" t="s">
        <v>185</v>
      </c>
      <c r="J114" s="8" t="s">
        <v>924</v>
      </c>
      <c r="K114" s="26">
        <v>43318</v>
      </c>
      <c r="L114" s="26">
        <v>43805</v>
      </c>
      <c r="M114" s="32">
        <f t="shared" si="190"/>
        <v>85</v>
      </c>
      <c r="N114" s="11">
        <v>3</v>
      </c>
      <c r="O114" s="11" t="s">
        <v>265</v>
      </c>
      <c r="P114" s="11" t="s">
        <v>264</v>
      </c>
      <c r="Q114" s="11" t="s">
        <v>213</v>
      </c>
      <c r="R114" s="11" t="s">
        <v>578</v>
      </c>
      <c r="S114" s="19">
        <f t="shared" si="191"/>
        <v>339865.02</v>
      </c>
      <c r="T114" s="22">
        <v>339865.02</v>
      </c>
      <c r="U114" s="97">
        <v>0</v>
      </c>
      <c r="V114" s="18">
        <f t="shared" si="154"/>
        <v>51979.35</v>
      </c>
      <c r="W114" s="22">
        <v>51979.35</v>
      </c>
      <c r="X114" s="97">
        <v>0</v>
      </c>
      <c r="Y114" s="19">
        <f t="shared" si="192"/>
        <v>7996.83</v>
      </c>
      <c r="Z114" s="22">
        <v>7996.83</v>
      </c>
      <c r="AA114" s="22">
        <v>0</v>
      </c>
      <c r="AB114" s="19">
        <f t="shared" si="156"/>
        <v>0</v>
      </c>
      <c r="AC114" s="97">
        <v>0</v>
      </c>
      <c r="AD114" s="97">
        <v>0</v>
      </c>
      <c r="AE114" s="19">
        <f t="shared" si="130"/>
        <v>399841.2</v>
      </c>
      <c r="AF114" s="22">
        <v>0</v>
      </c>
      <c r="AG114" s="19">
        <f t="shared" si="157"/>
        <v>399841.2</v>
      </c>
      <c r="AH114" s="20" t="s">
        <v>615</v>
      </c>
      <c r="AI114" s="20"/>
      <c r="AJ114" s="22">
        <v>16106.21</v>
      </c>
      <c r="AK114" s="22">
        <v>2463.3000000000002</v>
      </c>
    </row>
    <row r="115" spans="1:37" s="166" customFormat="1" ht="141.75" x14ac:dyDescent="0.25">
      <c r="A115" s="7">
        <v>109</v>
      </c>
      <c r="B115" s="11">
        <v>126286</v>
      </c>
      <c r="C115" s="11">
        <v>513</v>
      </c>
      <c r="D115" s="11" t="s">
        <v>176</v>
      </c>
      <c r="E115" s="8" t="s">
        <v>998</v>
      </c>
      <c r="F115" s="8" t="s">
        <v>1165</v>
      </c>
      <c r="G115" s="8" t="s">
        <v>1234</v>
      </c>
      <c r="H115" s="8" t="s">
        <v>1235</v>
      </c>
      <c r="I115" s="11" t="s">
        <v>185</v>
      </c>
      <c r="J115" s="8" t="s">
        <v>1236</v>
      </c>
      <c r="K115" s="26">
        <v>43451</v>
      </c>
      <c r="L115" s="26">
        <v>44182</v>
      </c>
      <c r="M115" s="32">
        <f t="shared" si="190"/>
        <v>85.000000627550136</v>
      </c>
      <c r="N115" s="11">
        <v>3</v>
      </c>
      <c r="O115" s="11" t="s">
        <v>265</v>
      </c>
      <c r="P115" s="11" t="s">
        <v>1237</v>
      </c>
      <c r="Q115" s="11" t="s">
        <v>213</v>
      </c>
      <c r="R115" s="11" t="s">
        <v>578</v>
      </c>
      <c r="S115" s="19">
        <f t="shared" si="191"/>
        <v>2370328.59</v>
      </c>
      <c r="T115" s="22">
        <v>2370328.59</v>
      </c>
      <c r="U115" s="97">
        <v>0</v>
      </c>
      <c r="V115" s="18">
        <f t="shared" ref="V115" si="196">W115+X115</f>
        <v>362520.82</v>
      </c>
      <c r="W115" s="22">
        <v>362520.82</v>
      </c>
      <c r="X115" s="97">
        <v>0</v>
      </c>
      <c r="Y115" s="19">
        <f t="shared" si="192"/>
        <v>55772.44</v>
      </c>
      <c r="Z115" s="22">
        <v>55772.44</v>
      </c>
      <c r="AA115" s="22">
        <v>0</v>
      </c>
      <c r="AB115" s="19">
        <f t="shared" ref="AB115" si="197">AC115+AD115</f>
        <v>0</v>
      </c>
      <c r="AC115" s="97">
        <v>0</v>
      </c>
      <c r="AD115" s="97">
        <v>0</v>
      </c>
      <c r="AE115" s="19">
        <f t="shared" ref="AE115" si="198">S115+V115+Y115+AB115</f>
        <v>2788621.8499999996</v>
      </c>
      <c r="AF115" s="22">
        <v>0</v>
      </c>
      <c r="AG115" s="19">
        <f t="shared" ref="AG115" si="199">AE115+AF115</f>
        <v>2788621.8499999996</v>
      </c>
      <c r="AH115" s="20" t="s">
        <v>615</v>
      </c>
      <c r="AI115" s="20"/>
      <c r="AJ115" s="22">
        <v>82670</v>
      </c>
      <c r="AK115" s="22">
        <v>0</v>
      </c>
    </row>
    <row r="116" spans="1:37" s="165" customFormat="1" ht="126" customHeight="1" x14ac:dyDescent="0.25">
      <c r="A116" s="7">
        <v>110</v>
      </c>
      <c r="B116" s="7">
        <v>119208</v>
      </c>
      <c r="C116" s="11">
        <v>489</v>
      </c>
      <c r="D116" s="7" t="s">
        <v>168</v>
      </c>
      <c r="E116" s="8" t="s">
        <v>1071</v>
      </c>
      <c r="F116" s="9" t="s">
        <v>574</v>
      </c>
      <c r="G116" s="7" t="s">
        <v>1136</v>
      </c>
      <c r="H116" s="7" t="s">
        <v>1137</v>
      </c>
      <c r="I116" s="7" t="s">
        <v>451</v>
      </c>
      <c r="J116" s="12" t="s">
        <v>1138</v>
      </c>
      <c r="K116" s="26">
        <v>43396</v>
      </c>
      <c r="L116" s="26">
        <v>43884</v>
      </c>
      <c r="M116" s="32">
        <v>85</v>
      </c>
      <c r="N116" s="7">
        <v>1</v>
      </c>
      <c r="O116" s="7" t="s">
        <v>1135</v>
      </c>
      <c r="P116" s="7" t="s">
        <v>1139</v>
      </c>
      <c r="Q116" s="15" t="s">
        <v>213</v>
      </c>
      <c r="R116" s="7" t="s">
        <v>36</v>
      </c>
      <c r="S116" s="19">
        <f>T116+U116</f>
        <v>529360.44999999995</v>
      </c>
      <c r="T116" s="16">
        <v>529360.44999999995</v>
      </c>
      <c r="U116" s="16">
        <v>0</v>
      </c>
      <c r="V116" s="18">
        <f>W116+X116</f>
        <v>80961.009999999995</v>
      </c>
      <c r="W116" s="16">
        <v>80961.009999999995</v>
      </c>
      <c r="X116" s="16">
        <v>0</v>
      </c>
      <c r="Y116" s="18">
        <f>Z116+AA116</f>
        <v>12455.54</v>
      </c>
      <c r="Z116" s="16">
        <v>12455.54</v>
      </c>
      <c r="AA116" s="16">
        <v>0</v>
      </c>
      <c r="AB116" s="16">
        <f>AC116+AD116</f>
        <v>0</v>
      </c>
      <c r="AC116" s="16">
        <v>0</v>
      </c>
      <c r="AD116" s="16">
        <v>0</v>
      </c>
      <c r="AE116" s="19">
        <f>S116+V116+Y116+AB116</f>
        <v>622777</v>
      </c>
      <c r="AF116" s="16"/>
      <c r="AG116" s="16">
        <f>AE116+AF116</f>
        <v>622777</v>
      </c>
      <c r="AH116" s="20" t="s">
        <v>901</v>
      </c>
      <c r="AI116" s="21"/>
      <c r="AJ116" s="22">
        <v>20646.5</v>
      </c>
      <c r="AK116" s="23">
        <v>3157.7</v>
      </c>
    </row>
    <row r="117" spans="1:37" s="165" customFormat="1" ht="141.75" x14ac:dyDescent="0.25">
      <c r="A117" s="7">
        <v>111</v>
      </c>
      <c r="B117" s="7">
        <v>122867</v>
      </c>
      <c r="C117" s="11">
        <v>105</v>
      </c>
      <c r="D117" s="7" t="s">
        <v>873</v>
      </c>
      <c r="E117" s="8" t="s">
        <v>998</v>
      </c>
      <c r="F117" s="9" t="s">
        <v>361</v>
      </c>
      <c r="G117" s="24" t="s">
        <v>1011</v>
      </c>
      <c r="H117" s="24" t="s">
        <v>1010</v>
      </c>
      <c r="I117" s="11" t="s">
        <v>1012</v>
      </c>
      <c r="J117" s="25" t="s">
        <v>1013</v>
      </c>
      <c r="K117" s="13">
        <v>43342</v>
      </c>
      <c r="L117" s="26">
        <v>43707</v>
      </c>
      <c r="M117" s="14">
        <f>S117/AE117*100</f>
        <v>84.194914940710191</v>
      </c>
      <c r="N117" s="7">
        <v>1</v>
      </c>
      <c r="O117" s="7" t="s">
        <v>1014</v>
      </c>
      <c r="P117" s="7" t="s">
        <v>1015</v>
      </c>
      <c r="Q117" s="15" t="s">
        <v>213</v>
      </c>
      <c r="R117" s="7" t="s">
        <v>36</v>
      </c>
      <c r="S117" s="16">
        <f>T117+U117</f>
        <v>351606.78</v>
      </c>
      <c r="T117" s="16">
        <v>351606.78</v>
      </c>
      <c r="U117" s="16">
        <v>0</v>
      </c>
      <c r="V117" s="16">
        <f>W117+X117</f>
        <v>57651.47</v>
      </c>
      <c r="W117" s="16">
        <v>57651.47</v>
      </c>
      <c r="X117" s="16">
        <v>0</v>
      </c>
      <c r="Y117" s="16">
        <f>Z117+AA117</f>
        <v>8352.2199999999993</v>
      </c>
      <c r="Z117" s="16">
        <v>8352.2199999999993</v>
      </c>
      <c r="AA117" s="16">
        <v>0</v>
      </c>
      <c r="AB117" s="16">
        <f>AC117+AD117</f>
        <v>0</v>
      </c>
      <c r="AC117" s="16"/>
      <c r="AD117" s="16"/>
      <c r="AE117" s="16">
        <f>S117+V117+Y117+AB117</f>
        <v>417610.47</v>
      </c>
      <c r="AF117" s="16"/>
      <c r="AG117" s="16">
        <f>AE117+AF117</f>
        <v>417610.47</v>
      </c>
      <c r="AH117" s="20" t="s">
        <v>615</v>
      </c>
      <c r="AI117" s="21" t="s">
        <v>380</v>
      </c>
      <c r="AJ117" s="23">
        <f>41760.02+3682.21+18068.95+21982.99+19777.03+31928.54+41760.02+8276.15</f>
        <v>187235.90999999997</v>
      </c>
      <c r="AK117" s="23">
        <f>6030.95+4165.9+11886.5+8211.11</f>
        <v>30294.46</v>
      </c>
    </row>
    <row r="118" spans="1:37" s="165" customFormat="1" ht="141.75" x14ac:dyDescent="0.25">
      <c r="A118" s="7">
        <v>112</v>
      </c>
      <c r="B118" s="7">
        <v>126260</v>
      </c>
      <c r="C118" s="11">
        <v>526</v>
      </c>
      <c r="D118" s="7" t="s">
        <v>177</v>
      </c>
      <c r="E118" s="8" t="s">
        <v>998</v>
      </c>
      <c r="F118" s="9" t="s">
        <v>1165</v>
      </c>
      <c r="G118" s="10" t="s">
        <v>1177</v>
      </c>
      <c r="H118" s="10" t="s">
        <v>1176</v>
      </c>
      <c r="I118" s="7" t="s">
        <v>185</v>
      </c>
      <c r="J118" s="12" t="s">
        <v>1178</v>
      </c>
      <c r="K118" s="13">
        <v>43433</v>
      </c>
      <c r="L118" s="26">
        <v>44164</v>
      </c>
      <c r="M118" s="32">
        <f t="shared" ref="M118" si="200">S118/AE118*100</f>
        <v>84.999999887651384</v>
      </c>
      <c r="N118" s="7">
        <v>1</v>
      </c>
      <c r="O118" s="7" t="s">
        <v>1014</v>
      </c>
      <c r="P118" s="7" t="s">
        <v>1015</v>
      </c>
      <c r="Q118" s="15" t="s">
        <v>213</v>
      </c>
      <c r="R118" s="7" t="s">
        <v>36</v>
      </c>
      <c r="S118" s="19">
        <f t="shared" ref="S118" si="201">T118+U118</f>
        <v>2269720.81</v>
      </c>
      <c r="T118" s="16">
        <v>2269720.81</v>
      </c>
      <c r="U118" s="16">
        <v>0</v>
      </c>
      <c r="V118" s="18">
        <f t="shared" ref="V118" si="202">W118+X118</f>
        <v>347133.77</v>
      </c>
      <c r="W118" s="16">
        <v>347133.77</v>
      </c>
      <c r="X118" s="16">
        <v>0</v>
      </c>
      <c r="Y118" s="18">
        <f t="shared" ref="Y118" si="203">Z118+AA118</f>
        <v>53405.2</v>
      </c>
      <c r="Z118" s="16">
        <v>53405.2</v>
      </c>
      <c r="AA118" s="16">
        <v>0</v>
      </c>
      <c r="AB118" s="16">
        <f t="shared" ref="AB118" si="204">AC118+AD118</f>
        <v>0</v>
      </c>
      <c r="AC118" s="16">
        <v>0</v>
      </c>
      <c r="AD118" s="16">
        <v>0</v>
      </c>
      <c r="AE118" s="19">
        <f t="shared" ref="AE118" si="205">S118+V118+Y118+AB118</f>
        <v>2670259.7800000003</v>
      </c>
      <c r="AF118" s="16">
        <v>57120</v>
      </c>
      <c r="AG118" s="16">
        <f t="shared" ref="AG118" si="206">AE118+AF118</f>
        <v>2727379.7800000003</v>
      </c>
      <c r="AH118" s="20" t="s">
        <v>615</v>
      </c>
      <c r="AI118" s="21"/>
      <c r="AJ118" s="22">
        <v>0</v>
      </c>
      <c r="AK118" s="23">
        <v>0</v>
      </c>
    </row>
    <row r="119" spans="1:37" s="165" customFormat="1" ht="283.5" x14ac:dyDescent="0.25">
      <c r="A119" s="7">
        <v>113</v>
      </c>
      <c r="B119" s="7">
        <v>120572</v>
      </c>
      <c r="C119" s="11">
        <v>82</v>
      </c>
      <c r="D119" s="7" t="s">
        <v>174</v>
      </c>
      <c r="E119" s="8" t="s">
        <v>998</v>
      </c>
      <c r="F119" s="9" t="s">
        <v>361</v>
      </c>
      <c r="G119" s="10" t="s">
        <v>348</v>
      </c>
      <c r="H119" s="10" t="s">
        <v>349</v>
      </c>
      <c r="I119" s="7" t="s">
        <v>185</v>
      </c>
      <c r="J119" s="12" t="s">
        <v>777</v>
      </c>
      <c r="K119" s="13">
        <v>43171</v>
      </c>
      <c r="L119" s="26">
        <v>43658</v>
      </c>
      <c r="M119" s="14">
        <f t="shared" ref="M119:M121" si="207">S119/AE119*100</f>
        <v>85.000000359311386</v>
      </c>
      <c r="N119" s="7">
        <v>4</v>
      </c>
      <c r="O119" s="7" t="s">
        <v>350</v>
      </c>
      <c r="P119" s="7" t="s">
        <v>351</v>
      </c>
      <c r="Q119" s="15" t="s">
        <v>213</v>
      </c>
      <c r="R119" s="7" t="s">
        <v>36</v>
      </c>
      <c r="S119" s="18">
        <f t="shared" ref="S119:S121" si="208">T119+U119</f>
        <v>354845.43</v>
      </c>
      <c r="T119" s="16">
        <v>354845.43</v>
      </c>
      <c r="U119" s="16">
        <v>0</v>
      </c>
      <c r="V119" s="18">
        <f t="shared" si="154"/>
        <v>54270.48</v>
      </c>
      <c r="W119" s="16">
        <v>54270.48</v>
      </c>
      <c r="X119" s="16">
        <v>0</v>
      </c>
      <c r="Y119" s="18">
        <f t="shared" ref="Y119:Y121" si="209">Z119+AA119</f>
        <v>8349.2999999999993</v>
      </c>
      <c r="Z119" s="16">
        <v>8349.2999999999993</v>
      </c>
      <c r="AA119" s="16">
        <v>0</v>
      </c>
      <c r="AB119" s="16">
        <f t="shared" si="156"/>
        <v>0</v>
      </c>
      <c r="AC119" s="16"/>
      <c r="AD119" s="16"/>
      <c r="AE119" s="16">
        <f t="shared" si="130"/>
        <v>417465.20999999996</v>
      </c>
      <c r="AF119" s="16">
        <v>0</v>
      </c>
      <c r="AG119" s="16">
        <f t="shared" si="157"/>
        <v>417465.20999999996</v>
      </c>
      <c r="AH119" s="20" t="s">
        <v>615</v>
      </c>
      <c r="AI119" s="21" t="s">
        <v>185</v>
      </c>
      <c r="AJ119" s="22">
        <f>14375+7002.3+6416.65+7759.57+9685.75</f>
        <v>45239.27</v>
      </c>
      <c r="AK119" s="23">
        <f>2198.53+1070.94+981.37+1186.75+1481.35</f>
        <v>6918.9400000000005</v>
      </c>
    </row>
    <row r="120" spans="1:37" s="165" customFormat="1" ht="141.75" x14ac:dyDescent="0.25">
      <c r="A120" s="7">
        <v>114</v>
      </c>
      <c r="B120" s="7">
        <v>118183</v>
      </c>
      <c r="C120" s="11">
        <v>422</v>
      </c>
      <c r="D120" s="7" t="s">
        <v>170</v>
      </c>
      <c r="E120" s="8" t="s">
        <v>733</v>
      </c>
      <c r="F120" s="9" t="s">
        <v>640</v>
      </c>
      <c r="G120" s="10" t="s">
        <v>776</v>
      </c>
      <c r="H120" s="10" t="s">
        <v>349</v>
      </c>
      <c r="I120" s="7" t="s">
        <v>185</v>
      </c>
      <c r="J120" s="8" t="s">
        <v>778</v>
      </c>
      <c r="K120" s="13">
        <v>43290</v>
      </c>
      <c r="L120" s="26">
        <v>43778</v>
      </c>
      <c r="M120" s="14">
        <f t="shared" si="207"/>
        <v>85.000012009815109</v>
      </c>
      <c r="N120" s="7">
        <v>4</v>
      </c>
      <c r="O120" s="7" t="s">
        <v>350</v>
      </c>
      <c r="P120" s="7" t="s">
        <v>351</v>
      </c>
      <c r="Q120" s="15" t="s">
        <v>213</v>
      </c>
      <c r="R120" s="11" t="s">
        <v>779</v>
      </c>
      <c r="S120" s="18">
        <f t="shared" si="208"/>
        <v>247714.09</v>
      </c>
      <c r="T120" s="16">
        <v>247714.09</v>
      </c>
      <c r="U120" s="16">
        <v>0</v>
      </c>
      <c r="V120" s="18">
        <f t="shared" si="154"/>
        <v>37885.64</v>
      </c>
      <c r="W120" s="22">
        <v>37885.64</v>
      </c>
      <c r="X120" s="16">
        <v>0</v>
      </c>
      <c r="Y120" s="18">
        <f t="shared" si="209"/>
        <v>5828.57</v>
      </c>
      <c r="Z120" s="22">
        <v>5828.57</v>
      </c>
      <c r="AA120" s="16">
        <v>0</v>
      </c>
      <c r="AB120" s="16">
        <f t="shared" si="156"/>
        <v>0</v>
      </c>
      <c r="AC120" s="31"/>
      <c r="AD120" s="31"/>
      <c r="AE120" s="16">
        <f t="shared" si="130"/>
        <v>291428.3</v>
      </c>
      <c r="AF120" s="16">
        <v>0</v>
      </c>
      <c r="AG120" s="16">
        <f t="shared" si="157"/>
        <v>291428.3</v>
      </c>
      <c r="AH120" s="20" t="s">
        <v>615</v>
      </c>
      <c r="AI120" s="21" t="s">
        <v>1352</v>
      </c>
      <c r="AJ120" s="16">
        <f>31913.97+11281.2+7318.5</f>
        <v>50513.67</v>
      </c>
      <c r="AK120" s="16">
        <f>5112.75+1725.36+1119.3</f>
        <v>7957.41</v>
      </c>
    </row>
    <row r="121" spans="1:37" s="165" customFormat="1" ht="141.75" x14ac:dyDescent="0.25">
      <c r="A121" s="7">
        <v>115</v>
      </c>
      <c r="B121" s="7">
        <v>126174</v>
      </c>
      <c r="C121" s="11">
        <v>534</v>
      </c>
      <c r="D121" s="11" t="s">
        <v>174</v>
      </c>
      <c r="E121" s="8" t="s">
        <v>733</v>
      </c>
      <c r="F121" s="11" t="s">
        <v>1165</v>
      </c>
      <c r="G121" s="10" t="s">
        <v>1224</v>
      </c>
      <c r="H121" s="10" t="s">
        <v>1225</v>
      </c>
      <c r="I121" s="7" t="s">
        <v>185</v>
      </c>
      <c r="J121" s="12" t="s">
        <v>1226</v>
      </c>
      <c r="K121" s="13">
        <v>43447</v>
      </c>
      <c r="L121" s="26">
        <v>43995</v>
      </c>
      <c r="M121" s="14">
        <f t="shared" si="207"/>
        <v>85.000000333995757</v>
      </c>
      <c r="N121" s="7">
        <v>4</v>
      </c>
      <c r="O121" s="7" t="s">
        <v>350</v>
      </c>
      <c r="P121" s="7" t="s">
        <v>351</v>
      </c>
      <c r="Q121" s="15" t="s">
        <v>213</v>
      </c>
      <c r="R121" s="7" t="s">
        <v>36</v>
      </c>
      <c r="S121" s="18">
        <f t="shared" si="208"/>
        <v>2544942.5099999998</v>
      </c>
      <c r="T121" s="16">
        <v>2544942.5099999998</v>
      </c>
      <c r="U121" s="16">
        <v>0</v>
      </c>
      <c r="V121" s="18">
        <f t="shared" si="154"/>
        <v>389226.49</v>
      </c>
      <c r="W121" s="22">
        <v>389226.49</v>
      </c>
      <c r="X121" s="16">
        <v>0</v>
      </c>
      <c r="Y121" s="18">
        <f t="shared" si="209"/>
        <v>59881</v>
      </c>
      <c r="Z121" s="22">
        <v>59881</v>
      </c>
      <c r="AA121" s="16">
        <v>0</v>
      </c>
      <c r="AB121" s="16">
        <f t="shared" si="156"/>
        <v>0</v>
      </c>
      <c r="AC121" s="19">
        <v>0</v>
      </c>
      <c r="AD121" s="19">
        <v>0</v>
      </c>
      <c r="AE121" s="16">
        <f t="shared" si="130"/>
        <v>2994050</v>
      </c>
      <c r="AF121" s="16">
        <v>0</v>
      </c>
      <c r="AG121" s="16">
        <f t="shared" si="157"/>
        <v>2994050</v>
      </c>
      <c r="AH121" s="20" t="s">
        <v>615</v>
      </c>
      <c r="AI121" s="63"/>
      <c r="AJ121" s="16">
        <v>0</v>
      </c>
      <c r="AK121" s="16">
        <v>0</v>
      </c>
    </row>
    <row r="122" spans="1:37" s="165" customFormat="1" ht="189" x14ac:dyDescent="0.25">
      <c r="A122" s="7">
        <v>116</v>
      </c>
      <c r="B122" s="7">
        <v>120801</v>
      </c>
      <c r="C122" s="11">
        <v>87</v>
      </c>
      <c r="D122" s="7" t="s">
        <v>175</v>
      </c>
      <c r="E122" s="8" t="s">
        <v>998</v>
      </c>
      <c r="F122" s="9" t="s">
        <v>361</v>
      </c>
      <c r="G122" s="10" t="s">
        <v>329</v>
      </c>
      <c r="H122" s="10" t="s">
        <v>330</v>
      </c>
      <c r="I122" s="7" t="s">
        <v>331</v>
      </c>
      <c r="J122" s="12" t="s">
        <v>332</v>
      </c>
      <c r="K122" s="13">
        <v>43166</v>
      </c>
      <c r="L122" s="26">
        <v>43653</v>
      </c>
      <c r="M122" s="14">
        <f t="shared" ref="M122:M129" si="210">S122/AE122*100</f>
        <v>84.168038598864953</v>
      </c>
      <c r="N122" s="7">
        <v>3</v>
      </c>
      <c r="O122" s="7" t="s">
        <v>333</v>
      </c>
      <c r="P122" s="7" t="s">
        <v>334</v>
      </c>
      <c r="Q122" s="30" t="s">
        <v>213</v>
      </c>
      <c r="R122" s="7" t="s">
        <v>36</v>
      </c>
      <c r="S122" s="18">
        <f t="shared" ref="S122:S125" si="211">T122+U122</f>
        <v>357481.33</v>
      </c>
      <c r="T122" s="16">
        <v>357481.33</v>
      </c>
      <c r="U122" s="16">
        <v>0</v>
      </c>
      <c r="V122" s="18">
        <f t="shared" si="154"/>
        <v>58747.57</v>
      </c>
      <c r="W122" s="16">
        <v>58747.57</v>
      </c>
      <c r="X122" s="16">
        <v>0</v>
      </c>
      <c r="Y122" s="18">
        <f t="shared" ref="Y122:Y125" si="212">Z122+AA122</f>
        <v>8494.4699999999993</v>
      </c>
      <c r="Z122" s="16">
        <v>8494.4699999999993</v>
      </c>
      <c r="AA122" s="16">
        <v>0</v>
      </c>
      <c r="AB122" s="16">
        <f t="shared" si="156"/>
        <v>0</v>
      </c>
      <c r="AC122" s="16"/>
      <c r="AD122" s="16"/>
      <c r="AE122" s="16">
        <f t="shared" si="130"/>
        <v>424723.37</v>
      </c>
      <c r="AF122" s="16">
        <v>0</v>
      </c>
      <c r="AG122" s="16" t="s">
        <v>582</v>
      </c>
      <c r="AH122" s="20" t="s">
        <v>615</v>
      </c>
      <c r="AI122" s="21" t="s">
        <v>185</v>
      </c>
      <c r="AJ122" s="22">
        <f>70082.64+38337.49-1246.56+48094.29</f>
        <v>155267.86000000002</v>
      </c>
      <c r="AK122" s="23">
        <f>4618.03+6264.08+1246.56+6443.69</f>
        <v>18572.36</v>
      </c>
    </row>
    <row r="123" spans="1:37" s="165" customFormat="1" ht="189" x14ac:dyDescent="0.25">
      <c r="A123" s="7">
        <v>117</v>
      </c>
      <c r="B123" s="7">
        <v>119511</v>
      </c>
      <c r="C123" s="11">
        <v>464</v>
      </c>
      <c r="D123" s="7" t="s">
        <v>172</v>
      </c>
      <c r="E123" s="11" t="s">
        <v>1071</v>
      </c>
      <c r="F123" s="7" t="s">
        <v>574</v>
      </c>
      <c r="G123" s="10" t="s">
        <v>575</v>
      </c>
      <c r="H123" s="10" t="s">
        <v>576</v>
      </c>
      <c r="I123" s="7" t="s">
        <v>380</v>
      </c>
      <c r="J123" s="10" t="s">
        <v>577</v>
      </c>
      <c r="K123" s="13">
        <v>43257</v>
      </c>
      <c r="L123" s="26">
        <v>43744</v>
      </c>
      <c r="M123" s="14">
        <f t="shared" si="210"/>
        <v>85.000000259943448</v>
      </c>
      <c r="N123" s="7">
        <v>3</v>
      </c>
      <c r="O123" s="11" t="s">
        <v>458</v>
      </c>
      <c r="P123" s="11" t="s">
        <v>334</v>
      </c>
      <c r="Q123" s="11" t="s">
        <v>213</v>
      </c>
      <c r="R123" s="11" t="s">
        <v>578</v>
      </c>
      <c r="S123" s="18">
        <f t="shared" si="211"/>
        <v>490491.32</v>
      </c>
      <c r="T123" s="16">
        <v>490491.32</v>
      </c>
      <c r="U123" s="16">
        <v>0</v>
      </c>
      <c r="V123" s="18">
        <f t="shared" si="154"/>
        <v>75016.320000000007</v>
      </c>
      <c r="W123" s="16">
        <v>75016.320000000007</v>
      </c>
      <c r="X123" s="16">
        <v>0</v>
      </c>
      <c r="Y123" s="18">
        <f t="shared" si="212"/>
        <v>11540.97</v>
      </c>
      <c r="Z123" s="23">
        <v>11540.97</v>
      </c>
      <c r="AA123" s="23">
        <v>0</v>
      </c>
      <c r="AB123" s="16">
        <f t="shared" si="156"/>
        <v>0</v>
      </c>
      <c r="AC123" s="19">
        <v>0</v>
      </c>
      <c r="AD123" s="19">
        <v>0</v>
      </c>
      <c r="AE123" s="16">
        <f>S123+V123+Y123+AB123</f>
        <v>577048.61</v>
      </c>
      <c r="AF123" s="63">
        <v>0</v>
      </c>
      <c r="AG123" s="16">
        <f t="shared" si="157"/>
        <v>577048.61</v>
      </c>
      <c r="AH123" s="20" t="s">
        <v>615</v>
      </c>
      <c r="AI123" s="63" t="s">
        <v>1316</v>
      </c>
      <c r="AJ123" s="28">
        <f>57677.81+46119.33+94319.49</f>
        <v>198116.63</v>
      </c>
      <c r="AK123" s="23">
        <f>8821.31+7053.55+14425.33</f>
        <v>30300.190000000002</v>
      </c>
    </row>
    <row r="124" spans="1:37" s="166" customFormat="1" ht="189" x14ac:dyDescent="0.25">
      <c r="A124" s="7">
        <v>118</v>
      </c>
      <c r="B124" s="11">
        <v>118799</v>
      </c>
      <c r="C124" s="11">
        <v>447</v>
      </c>
      <c r="D124" s="11" t="s">
        <v>873</v>
      </c>
      <c r="E124" s="8" t="s">
        <v>733</v>
      </c>
      <c r="F124" s="8" t="s">
        <v>640</v>
      </c>
      <c r="G124" s="8" t="s">
        <v>1162</v>
      </c>
      <c r="H124" s="10" t="s">
        <v>330</v>
      </c>
      <c r="I124" s="11" t="s">
        <v>1163</v>
      </c>
      <c r="J124" s="8" t="s">
        <v>1164</v>
      </c>
      <c r="K124" s="26">
        <v>43425</v>
      </c>
      <c r="L124" s="26">
        <v>43911</v>
      </c>
      <c r="M124" s="32">
        <f t="shared" si="210"/>
        <v>84.156465769886722</v>
      </c>
      <c r="N124" s="7">
        <v>3</v>
      </c>
      <c r="O124" s="7" t="s">
        <v>333</v>
      </c>
      <c r="P124" s="7" t="s">
        <v>334</v>
      </c>
      <c r="Q124" s="30" t="s">
        <v>213</v>
      </c>
      <c r="R124" s="7" t="s">
        <v>36</v>
      </c>
      <c r="S124" s="18">
        <f t="shared" si="211"/>
        <v>242273.69</v>
      </c>
      <c r="T124" s="19">
        <v>242273.69</v>
      </c>
      <c r="U124" s="19">
        <v>0</v>
      </c>
      <c r="V124" s="18">
        <f t="shared" si="154"/>
        <v>39853.42</v>
      </c>
      <c r="W124" s="19">
        <v>39853.42</v>
      </c>
      <c r="X124" s="19">
        <v>0</v>
      </c>
      <c r="Y124" s="18">
        <f t="shared" si="212"/>
        <v>2900.77</v>
      </c>
      <c r="Z124" s="22">
        <v>2900.77</v>
      </c>
      <c r="AA124" s="22">
        <v>0</v>
      </c>
      <c r="AB124" s="19">
        <f t="shared" si="156"/>
        <v>2856.94</v>
      </c>
      <c r="AC124" s="98">
        <v>2856.94</v>
      </c>
      <c r="AD124" s="98">
        <v>0</v>
      </c>
      <c r="AE124" s="19">
        <f t="shared" ref="AE124:AE125" si="213">S124+V124+Y124+AB124</f>
        <v>287884.82</v>
      </c>
      <c r="AF124" s="20">
        <v>0</v>
      </c>
      <c r="AG124" s="19">
        <f>AE124+AF124</f>
        <v>287884.82</v>
      </c>
      <c r="AH124" s="20" t="s">
        <v>615</v>
      </c>
      <c r="AI124" s="20"/>
      <c r="AJ124" s="28">
        <v>14394.24</v>
      </c>
      <c r="AK124" s="23">
        <v>0</v>
      </c>
    </row>
    <row r="125" spans="1:37" s="165" customFormat="1" ht="255" customHeight="1" x14ac:dyDescent="0.25">
      <c r="A125" s="7">
        <v>119</v>
      </c>
      <c r="B125" s="7">
        <v>126115</v>
      </c>
      <c r="C125" s="11">
        <v>542</v>
      </c>
      <c r="D125" s="7" t="s">
        <v>175</v>
      </c>
      <c r="E125" s="8" t="s">
        <v>998</v>
      </c>
      <c r="F125" s="10" t="s">
        <v>1165</v>
      </c>
      <c r="G125" s="10" t="s">
        <v>1394</v>
      </c>
      <c r="H125" s="10" t="s">
        <v>576</v>
      </c>
      <c r="I125" s="7" t="s">
        <v>451</v>
      </c>
      <c r="J125" s="49" t="s">
        <v>1395</v>
      </c>
      <c r="K125" s="13">
        <v>43564</v>
      </c>
      <c r="L125" s="26">
        <v>44173</v>
      </c>
      <c r="M125" s="14">
        <f t="shared" si="210"/>
        <v>85.000000984188233</v>
      </c>
      <c r="N125" s="7">
        <v>3</v>
      </c>
      <c r="O125" s="7" t="s">
        <v>333</v>
      </c>
      <c r="P125" s="7" t="s">
        <v>576</v>
      </c>
      <c r="Q125" s="30" t="s">
        <v>213</v>
      </c>
      <c r="R125" s="7" t="s">
        <v>36</v>
      </c>
      <c r="S125" s="18">
        <f t="shared" si="211"/>
        <v>431827.97</v>
      </c>
      <c r="T125" s="16">
        <v>431827.97</v>
      </c>
      <c r="U125" s="16">
        <v>0</v>
      </c>
      <c r="V125" s="18">
        <f t="shared" si="154"/>
        <v>66044.27</v>
      </c>
      <c r="W125" s="16">
        <v>66044.27</v>
      </c>
      <c r="X125" s="16">
        <v>0</v>
      </c>
      <c r="Y125" s="18">
        <f t="shared" si="212"/>
        <v>10160.66</v>
      </c>
      <c r="Z125" s="23">
        <v>10160.66</v>
      </c>
      <c r="AA125" s="23">
        <v>0</v>
      </c>
      <c r="AB125" s="16">
        <f t="shared" si="156"/>
        <v>0</v>
      </c>
      <c r="AC125" s="99"/>
      <c r="AD125" s="99"/>
      <c r="AE125" s="16">
        <f t="shared" si="213"/>
        <v>508032.89999999997</v>
      </c>
      <c r="AF125" s="63"/>
      <c r="AG125" s="16">
        <f t="shared" si="157"/>
        <v>508032.89999999997</v>
      </c>
      <c r="AH125" s="20"/>
      <c r="AI125" s="63"/>
      <c r="AJ125" s="28">
        <v>0</v>
      </c>
      <c r="AK125" s="28">
        <v>0</v>
      </c>
    </row>
    <row r="126" spans="1:37" s="165" customFormat="1" ht="141.75" x14ac:dyDescent="0.25">
      <c r="A126" s="7">
        <v>120</v>
      </c>
      <c r="B126" s="7">
        <v>118062</v>
      </c>
      <c r="C126" s="11">
        <v>421</v>
      </c>
      <c r="D126" s="7" t="s">
        <v>171</v>
      </c>
      <c r="E126" s="8" t="s">
        <v>733</v>
      </c>
      <c r="F126" s="9" t="s">
        <v>640</v>
      </c>
      <c r="G126" s="168" t="s">
        <v>1154</v>
      </c>
      <c r="H126" s="176" t="s">
        <v>1155</v>
      </c>
      <c r="I126" s="7" t="s">
        <v>970</v>
      </c>
      <c r="J126" s="10" t="s">
        <v>1157</v>
      </c>
      <c r="K126" s="13">
        <v>43412</v>
      </c>
      <c r="L126" s="26">
        <v>43807</v>
      </c>
      <c r="M126" s="7">
        <f t="shared" si="210"/>
        <v>85.000007860659679</v>
      </c>
      <c r="N126" s="7">
        <v>6</v>
      </c>
      <c r="O126" s="7" t="s">
        <v>459</v>
      </c>
      <c r="P126" s="7" t="s">
        <v>381</v>
      </c>
      <c r="Q126" s="182" t="s">
        <v>213</v>
      </c>
      <c r="R126" s="168" t="s">
        <v>36</v>
      </c>
      <c r="S126" s="18">
        <f>T126+U126</f>
        <v>308180.27</v>
      </c>
      <c r="T126" s="31">
        <v>308180.27</v>
      </c>
      <c r="U126" s="31">
        <v>0</v>
      </c>
      <c r="V126" s="18">
        <f t="shared" si="154"/>
        <v>47133.4</v>
      </c>
      <c r="W126" s="31">
        <v>47133.4</v>
      </c>
      <c r="X126" s="31">
        <v>0</v>
      </c>
      <c r="Y126" s="23">
        <f>Z126+AA126</f>
        <v>7251.32</v>
      </c>
      <c r="Z126" s="23">
        <v>7251.32</v>
      </c>
      <c r="AA126" s="23">
        <v>0</v>
      </c>
      <c r="AB126" s="16">
        <f t="shared" si="156"/>
        <v>0</v>
      </c>
      <c r="AC126" s="100">
        <v>0</v>
      </c>
      <c r="AD126" s="100">
        <v>0</v>
      </c>
      <c r="AE126" s="16">
        <f t="shared" ref="AE126:AE176" si="214">S126+V126+Y126+AB126</f>
        <v>362564.99000000005</v>
      </c>
      <c r="AF126" s="100">
        <v>0</v>
      </c>
      <c r="AG126" s="16">
        <f t="shared" si="157"/>
        <v>362564.99000000005</v>
      </c>
      <c r="AH126" s="20" t="s">
        <v>901</v>
      </c>
      <c r="AI126" s="63" t="s">
        <v>970</v>
      </c>
      <c r="AJ126" s="28">
        <v>6448.1</v>
      </c>
      <c r="AK126" s="22">
        <v>986.18</v>
      </c>
    </row>
    <row r="127" spans="1:37" s="165" customFormat="1" ht="151.5" customHeight="1" x14ac:dyDescent="0.25">
      <c r="A127" s="7">
        <v>121</v>
      </c>
      <c r="B127" s="7">
        <v>126302</v>
      </c>
      <c r="C127" s="11">
        <v>521</v>
      </c>
      <c r="D127" s="7" t="s">
        <v>177</v>
      </c>
      <c r="E127" s="8" t="s">
        <v>998</v>
      </c>
      <c r="F127" s="10" t="s">
        <v>1165</v>
      </c>
      <c r="G127" s="47" t="s">
        <v>1215</v>
      </c>
      <c r="H127" s="47" t="s">
        <v>379</v>
      </c>
      <c r="I127" s="11" t="s">
        <v>185</v>
      </c>
      <c r="J127" s="12" t="s">
        <v>1216</v>
      </c>
      <c r="K127" s="13">
        <v>43447</v>
      </c>
      <c r="L127" s="26">
        <v>44360</v>
      </c>
      <c r="M127" s="14">
        <f>S127/AE127*100</f>
        <v>85.000000283587156</v>
      </c>
      <c r="N127" s="7">
        <v>6</v>
      </c>
      <c r="O127" s="7" t="s">
        <v>459</v>
      </c>
      <c r="P127" s="7" t="s">
        <v>381</v>
      </c>
      <c r="Q127" s="15" t="s">
        <v>213</v>
      </c>
      <c r="R127" s="7" t="s">
        <v>36</v>
      </c>
      <c r="S127" s="18">
        <f>T127+U127</f>
        <v>2697583.52</v>
      </c>
      <c r="T127" s="16">
        <v>2697583.52</v>
      </c>
      <c r="U127" s="16">
        <v>0</v>
      </c>
      <c r="V127" s="18">
        <f>W127+X127</f>
        <v>412571.59</v>
      </c>
      <c r="W127" s="16">
        <v>412571.59</v>
      </c>
      <c r="X127" s="16">
        <v>0</v>
      </c>
      <c r="Y127" s="18">
        <f>Z127+AA127</f>
        <v>63472.55</v>
      </c>
      <c r="Z127" s="16">
        <v>63472.55</v>
      </c>
      <c r="AA127" s="22">
        <v>0</v>
      </c>
      <c r="AB127" s="16">
        <f>AC127+AD127</f>
        <v>0</v>
      </c>
      <c r="AC127" s="16">
        <v>0</v>
      </c>
      <c r="AD127" s="16">
        <v>0</v>
      </c>
      <c r="AE127" s="16">
        <f>S127+V127+Y127+AB127</f>
        <v>3173627.6599999997</v>
      </c>
      <c r="AF127" s="16">
        <v>44744</v>
      </c>
      <c r="AG127" s="16">
        <f>AE127+AF127</f>
        <v>3218371.6599999997</v>
      </c>
      <c r="AH127" s="20" t="s">
        <v>615</v>
      </c>
      <c r="AI127" s="63"/>
      <c r="AJ127" s="28">
        <v>0</v>
      </c>
      <c r="AK127" s="22">
        <v>0</v>
      </c>
    </row>
    <row r="128" spans="1:37" s="165" customFormat="1" ht="293.25" x14ac:dyDescent="0.25">
      <c r="A128" s="7">
        <v>122</v>
      </c>
      <c r="B128" s="7">
        <v>126243</v>
      </c>
      <c r="C128" s="11">
        <v>549</v>
      </c>
      <c r="D128" s="7" t="s">
        <v>175</v>
      </c>
      <c r="E128" s="11" t="s">
        <v>733</v>
      </c>
      <c r="F128" s="7" t="s">
        <v>1165</v>
      </c>
      <c r="G128" s="47" t="s">
        <v>1379</v>
      </c>
      <c r="H128" s="47" t="s">
        <v>1155</v>
      </c>
      <c r="I128" s="11" t="s">
        <v>451</v>
      </c>
      <c r="J128" s="47" t="s">
        <v>1380</v>
      </c>
      <c r="K128" s="13">
        <v>43556</v>
      </c>
      <c r="L128" s="26">
        <v>44316</v>
      </c>
      <c r="M128" s="7">
        <f t="shared" si="210"/>
        <v>84.9999995883324</v>
      </c>
      <c r="N128" s="7">
        <v>6</v>
      </c>
      <c r="O128" s="7" t="s">
        <v>459</v>
      </c>
      <c r="P128" s="7" t="s">
        <v>385</v>
      </c>
      <c r="Q128" s="7" t="s">
        <v>213</v>
      </c>
      <c r="R128" s="7" t="s">
        <v>1188</v>
      </c>
      <c r="S128" s="18">
        <f>T128+U128</f>
        <v>2477727.14</v>
      </c>
      <c r="T128" s="16">
        <v>2477727.14</v>
      </c>
      <c r="U128" s="16">
        <v>0</v>
      </c>
      <c r="V128" s="18">
        <f t="shared" si="154"/>
        <v>378946.5</v>
      </c>
      <c r="W128" s="16">
        <v>378946.5</v>
      </c>
      <c r="X128" s="16">
        <v>0</v>
      </c>
      <c r="Y128" s="18">
        <f>Z128+AA128</f>
        <v>58299.48</v>
      </c>
      <c r="Z128" s="16">
        <v>58299.48</v>
      </c>
      <c r="AA128" s="16">
        <v>0</v>
      </c>
      <c r="AB128" s="16">
        <f t="shared" si="156"/>
        <v>0</v>
      </c>
      <c r="AC128" s="16">
        <v>0</v>
      </c>
      <c r="AD128" s="16">
        <v>0</v>
      </c>
      <c r="AE128" s="16">
        <f t="shared" si="214"/>
        <v>2914973.12</v>
      </c>
      <c r="AF128" s="16">
        <v>16660</v>
      </c>
      <c r="AG128" s="16">
        <f t="shared" si="157"/>
        <v>2931633.12</v>
      </c>
      <c r="AH128" s="20" t="s">
        <v>615</v>
      </c>
      <c r="AI128" s="63"/>
      <c r="AJ128" s="22">
        <v>0</v>
      </c>
      <c r="AK128" s="22">
        <v>0</v>
      </c>
    </row>
    <row r="129" spans="1:37" s="165" customFormat="1" ht="126" x14ac:dyDescent="0.25">
      <c r="A129" s="7">
        <v>123</v>
      </c>
      <c r="B129" s="7">
        <v>119377</v>
      </c>
      <c r="C129" s="11">
        <v>463</v>
      </c>
      <c r="D129" s="7" t="s">
        <v>171</v>
      </c>
      <c r="E129" s="11" t="s">
        <v>1071</v>
      </c>
      <c r="F129" s="7" t="s">
        <v>574</v>
      </c>
      <c r="G129" s="168" t="s">
        <v>975</v>
      </c>
      <c r="H129" s="101" t="s">
        <v>972</v>
      </c>
      <c r="I129" s="7" t="s">
        <v>970</v>
      </c>
      <c r="J129" s="10" t="s">
        <v>973</v>
      </c>
      <c r="K129" s="13">
        <v>43332</v>
      </c>
      <c r="L129" s="26">
        <v>43819</v>
      </c>
      <c r="M129" s="11">
        <f t="shared" si="210"/>
        <v>85.000001900439869</v>
      </c>
      <c r="N129" s="11">
        <v>6</v>
      </c>
      <c r="O129" s="11" t="s">
        <v>460</v>
      </c>
      <c r="P129" s="11" t="s">
        <v>974</v>
      </c>
      <c r="Q129" s="11" t="s">
        <v>213</v>
      </c>
      <c r="R129" s="168" t="s">
        <v>36</v>
      </c>
      <c r="S129" s="18">
        <f t="shared" ref="S129" si="215">T129+U129</f>
        <v>313085.42</v>
      </c>
      <c r="T129" s="16">
        <v>313085.42</v>
      </c>
      <c r="U129" s="16">
        <v>0</v>
      </c>
      <c r="V129" s="18">
        <f t="shared" si="154"/>
        <v>47883.64</v>
      </c>
      <c r="W129" s="16">
        <v>47883.64</v>
      </c>
      <c r="X129" s="16">
        <v>0</v>
      </c>
      <c r="Y129" s="23">
        <f>Z129+AA129</f>
        <v>7366.72</v>
      </c>
      <c r="Z129" s="23">
        <v>7366.72</v>
      </c>
      <c r="AA129" s="23">
        <v>0</v>
      </c>
      <c r="AB129" s="16">
        <f t="shared" si="156"/>
        <v>0</v>
      </c>
      <c r="AC129" s="27">
        <v>0</v>
      </c>
      <c r="AD129" s="27">
        <v>0</v>
      </c>
      <c r="AE129" s="16">
        <f t="shared" si="214"/>
        <v>368335.77999999997</v>
      </c>
      <c r="AF129" s="23">
        <v>4938.5</v>
      </c>
      <c r="AG129" s="16">
        <f t="shared" si="157"/>
        <v>373274.27999999997</v>
      </c>
      <c r="AH129" s="20" t="s">
        <v>901</v>
      </c>
      <c r="AI129" s="63" t="s">
        <v>185</v>
      </c>
      <c r="AJ129" s="23">
        <f>21878.75+1547.93</f>
        <v>23426.68</v>
      </c>
      <c r="AK129" s="23">
        <f>3346.16+236.74</f>
        <v>3582.8999999999996</v>
      </c>
    </row>
    <row r="130" spans="1:37" s="165" customFormat="1" ht="157.5" x14ac:dyDescent="0.25">
      <c r="A130" s="7">
        <v>124</v>
      </c>
      <c r="B130" s="7">
        <v>126124</v>
      </c>
      <c r="C130" s="11">
        <v>532</v>
      </c>
      <c r="D130" s="7" t="s">
        <v>174</v>
      </c>
      <c r="E130" s="11" t="s">
        <v>733</v>
      </c>
      <c r="F130" s="7" t="s">
        <v>1165</v>
      </c>
      <c r="G130" s="168" t="s">
        <v>1245</v>
      </c>
      <c r="H130" s="101" t="s">
        <v>972</v>
      </c>
      <c r="I130" s="7" t="s">
        <v>970</v>
      </c>
      <c r="J130" s="10" t="s">
        <v>1246</v>
      </c>
      <c r="K130" s="13">
        <v>43462</v>
      </c>
      <c r="L130" s="26">
        <v>44375</v>
      </c>
      <c r="M130" s="11">
        <f t="shared" ref="M130" si="216">S130/AE130*100</f>
        <v>84.999999694403598</v>
      </c>
      <c r="N130" s="11">
        <v>6</v>
      </c>
      <c r="O130" s="11" t="s">
        <v>460</v>
      </c>
      <c r="P130" s="11" t="s">
        <v>974</v>
      </c>
      <c r="Q130" s="11" t="s">
        <v>213</v>
      </c>
      <c r="R130" s="168" t="s">
        <v>36</v>
      </c>
      <c r="S130" s="18">
        <f t="shared" ref="S130" si="217">T130+U130</f>
        <v>2086084.74</v>
      </c>
      <c r="T130" s="16">
        <v>2086084.74</v>
      </c>
      <c r="U130" s="16">
        <v>0</v>
      </c>
      <c r="V130" s="18">
        <f t="shared" ref="V130" si="218">W130+X130</f>
        <v>319048.28000000003</v>
      </c>
      <c r="W130" s="16">
        <v>319048.28000000003</v>
      </c>
      <c r="X130" s="16">
        <v>0</v>
      </c>
      <c r="Y130" s="23">
        <f>Z130+AA130</f>
        <v>49084.33</v>
      </c>
      <c r="Z130" s="23">
        <v>49084.33</v>
      </c>
      <c r="AA130" s="23">
        <v>0</v>
      </c>
      <c r="AB130" s="16">
        <f t="shared" ref="AB130" si="219">AC130+AD130</f>
        <v>0</v>
      </c>
      <c r="AC130" s="27">
        <v>0</v>
      </c>
      <c r="AD130" s="27">
        <v>0</v>
      </c>
      <c r="AE130" s="16">
        <f t="shared" ref="AE130" si="220">S130+V130+Y130+AB130</f>
        <v>2454217.35</v>
      </c>
      <c r="AF130" s="23">
        <v>0</v>
      </c>
      <c r="AG130" s="16">
        <f t="shared" ref="AG130" si="221">AE130+AF130</f>
        <v>2454217.35</v>
      </c>
      <c r="AH130" s="20" t="s">
        <v>901</v>
      </c>
      <c r="AI130" s="63" t="s">
        <v>185</v>
      </c>
      <c r="AJ130" s="23">
        <v>0</v>
      </c>
      <c r="AK130" s="23">
        <v>0</v>
      </c>
    </row>
    <row r="131" spans="1:37" s="165" customFormat="1" ht="150.75" customHeight="1" x14ac:dyDescent="0.25">
      <c r="A131" s="7">
        <v>125</v>
      </c>
      <c r="B131" s="7">
        <v>118759</v>
      </c>
      <c r="C131" s="11">
        <v>439</v>
      </c>
      <c r="D131" s="7" t="s">
        <v>1351</v>
      </c>
      <c r="E131" s="8" t="s">
        <v>733</v>
      </c>
      <c r="F131" s="8" t="s">
        <v>640</v>
      </c>
      <c r="G131" s="168" t="s">
        <v>835</v>
      </c>
      <c r="H131" s="10" t="s">
        <v>836</v>
      </c>
      <c r="I131" s="7" t="s">
        <v>837</v>
      </c>
      <c r="J131" s="10" t="s">
        <v>838</v>
      </c>
      <c r="K131" s="13">
        <v>43304</v>
      </c>
      <c r="L131" s="26">
        <v>43792</v>
      </c>
      <c r="M131" s="14">
        <f>S131/AE131*100</f>
        <v>84.213980856539493</v>
      </c>
      <c r="N131" s="168">
        <v>7</v>
      </c>
      <c r="O131" s="168" t="s">
        <v>839</v>
      </c>
      <c r="P131" s="168" t="s">
        <v>839</v>
      </c>
      <c r="Q131" s="168" t="s">
        <v>213</v>
      </c>
      <c r="R131" s="168" t="s">
        <v>36</v>
      </c>
      <c r="S131" s="18">
        <f t="shared" ref="S131" si="222">T131+U131</f>
        <v>288260.65000000002</v>
      </c>
      <c r="T131" s="102">
        <v>288260.65000000002</v>
      </c>
      <c r="U131" s="71" t="s">
        <v>842</v>
      </c>
      <c r="V131" s="18">
        <v>47188.93</v>
      </c>
      <c r="W131" s="71">
        <v>47188.93</v>
      </c>
      <c r="X131" s="71" t="s">
        <v>842</v>
      </c>
      <c r="Y131" s="18">
        <v>6845.9</v>
      </c>
      <c r="Z131" s="71">
        <v>6845.9</v>
      </c>
      <c r="AA131" s="71" t="s">
        <v>842</v>
      </c>
      <c r="AB131" s="16">
        <f t="shared" ref="AB131:AB172" si="223">AC131+AD131</f>
        <v>0</v>
      </c>
      <c r="AC131" s="27"/>
      <c r="AD131" s="27"/>
      <c r="AE131" s="16">
        <f>S131+V131+Y131+AB131</f>
        <v>342295.48000000004</v>
      </c>
      <c r="AF131" s="63"/>
      <c r="AG131" s="16">
        <f t="shared" si="157"/>
        <v>342295.48000000004</v>
      </c>
      <c r="AH131" s="20" t="s">
        <v>615</v>
      </c>
      <c r="AI131" s="21" t="s">
        <v>185</v>
      </c>
      <c r="AJ131" s="23">
        <f>34229.54+12542.88+12551.87</f>
        <v>59324.29</v>
      </c>
      <c r="AK131" s="23">
        <f>2950.38+2215.05</f>
        <v>5165.43</v>
      </c>
    </row>
    <row r="132" spans="1:37" s="165" customFormat="1" ht="139.5" customHeight="1" x14ac:dyDescent="0.25">
      <c r="A132" s="7">
        <v>126</v>
      </c>
      <c r="B132" s="7">
        <v>119841</v>
      </c>
      <c r="C132" s="11">
        <v>477</v>
      </c>
      <c r="D132" s="7" t="s">
        <v>177</v>
      </c>
      <c r="E132" s="11" t="s">
        <v>1071</v>
      </c>
      <c r="F132" s="8" t="s">
        <v>574</v>
      </c>
      <c r="G132" s="8" t="s">
        <v>855</v>
      </c>
      <c r="H132" s="10" t="s">
        <v>836</v>
      </c>
      <c r="I132" s="7" t="s">
        <v>837</v>
      </c>
      <c r="J132" s="8" t="s">
        <v>856</v>
      </c>
      <c r="K132" s="13">
        <v>43304</v>
      </c>
      <c r="L132" s="26">
        <v>43792</v>
      </c>
      <c r="M132" s="14">
        <f>S132/AE132*100</f>
        <v>84.227561665534452</v>
      </c>
      <c r="N132" s="168">
        <v>7</v>
      </c>
      <c r="O132" s="168" t="s">
        <v>839</v>
      </c>
      <c r="P132" s="168" t="s">
        <v>839</v>
      </c>
      <c r="Q132" s="168" t="s">
        <v>213</v>
      </c>
      <c r="R132" s="7" t="s">
        <v>36</v>
      </c>
      <c r="S132" s="18">
        <f>T132+U132</f>
        <v>486941.45</v>
      </c>
      <c r="T132" s="22">
        <v>486941.45</v>
      </c>
      <c r="U132" s="45">
        <v>0</v>
      </c>
      <c r="V132" s="18">
        <f t="shared" ref="V132:V154" si="224">W132+X132</f>
        <v>79622</v>
      </c>
      <c r="W132" s="63">
        <v>79622</v>
      </c>
      <c r="X132" s="45">
        <v>0</v>
      </c>
      <c r="Y132" s="18">
        <v>11562.57</v>
      </c>
      <c r="Z132" s="23">
        <v>11562.57</v>
      </c>
      <c r="AA132" s="45">
        <v>0</v>
      </c>
      <c r="AB132" s="16">
        <f t="shared" si="223"/>
        <v>0</v>
      </c>
      <c r="AC132" s="27">
        <v>0</v>
      </c>
      <c r="AD132" s="27">
        <v>0</v>
      </c>
      <c r="AE132" s="16">
        <f t="shared" si="214"/>
        <v>578126.0199999999</v>
      </c>
      <c r="AF132" s="63"/>
      <c r="AG132" s="16">
        <f t="shared" ref="AG132:AG188" si="225">AE132+AF132</f>
        <v>578126.0199999999</v>
      </c>
      <c r="AH132" s="20" t="s">
        <v>615</v>
      </c>
      <c r="AI132" s="21" t="s">
        <v>185</v>
      </c>
      <c r="AJ132" s="22">
        <f>55280.09+14628.07+12852.81+21538.21-3653.49</f>
        <v>100645.68999999999</v>
      </c>
      <c r="AK132" s="23">
        <f>2532.51+2255.31+2268.14+3800.86+3653.49</f>
        <v>14510.31</v>
      </c>
    </row>
    <row r="133" spans="1:37" s="165" customFormat="1" ht="288.75" customHeight="1" x14ac:dyDescent="0.25">
      <c r="A133" s="7">
        <v>127</v>
      </c>
      <c r="B133" s="7">
        <v>126267</v>
      </c>
      <c r="C133" s="11">
        <v>540</v>
      </c>
      <c r="D133" s="7" t="s">
        <v>176</v>
      </c>
      <c r="E133" s="11" t="s">
        <v>733</v>
      </c>
      <c r="F133" s="7" t="s">
        <v>1165</v>
      </c>
      <c r="G133" s="8" t="s">
        <v>1344</v>
      </c>
      <c r="H133" s="10" t="s">
        <v>1345</v>
      </c>
      <c r="I133" s="7" t="s">
        <v>185</v>
      </c>
      <c r="J133" s="10" t="s">
        <v>1346</v>
      </c>
      <c r="K133" s="13">
        <v>43544</v>
      </c>
      <c r="L133" s="26">
        <v>44459</v>
      </c>
      <c r="M133" s="14">
        <f>S133/AE133*100</f>
        <v>85.000000823943722</v>
      </c>
      <c r="N133" s="168">
        <v>7</v>
      </c>
      <c r="O133" s="168" t="s">
        <v>839</v>
      </c>
      <c r="P133" s="168" t="s">
        <v>839</v>
      </c>
      <c r="Q133" s="168" t="s">
        <v>213</v>
      </c>
      <c r="R133" s="7" t="s">
        <v>36</v>
      </c>
      <c r="S133" s="18">
        <f>T133+U133</f>
        <v>2630640.86</v>
      </c>
      <c r="T133" s="22">
        <v>2630640.86</v>
      </c>
      <c r="U133" s="45">
        <v>0</v>
      </c>
      <c r="V133" s="18">
        <f t="shared" si="224"/>
        <v>402333.28</v>
      </c>
      <c r="W133" s="23">
        <v>402333.28</v>
      </c>
      <c r="X133" s="45">
        <v>0</v>
      </c>
      <c r="Y133" s="18">
        <f>Z133+AA133</f>
        <v>61897.43</v>
      </c>
      <c r="Z133" s="23">
        <v>61897.43</v>
      </c>
      <c r="AA133" s="45">
        <v>0</v>
      </c>
      <c r="AB133" s="16">
        <f t="shared" si="223"/>
        <v>0</v>
      </c>
      <c r="AC133" s="27">
        <v>0</v>
      </c>
      <c r="AD133" s="27">
        <v>0</v>
      </c>
      <c r="AE133" s="16">
        <f t="shared" si="214"/>
        <v>3094871.57</v>
      </c>
      <c r="AF133" s="16">
        <v>7140</v>
      </c>
      <c r="AG133" s="16">
        <f t="shared" si="225"/>
        <v>3102011.57</v>
      </c>
      <c r="AH133" s="20" t="s">
        <v>615</v>
      </c>
      <c r="AI133" s="21" t="s">
        <v>185</v>
      </c>
      <c r="AJ133" s="28">
        <v>0</v>
      </c>
      <c r="AK133" s="23">
        <v>0</v>
      </c>
    </row>
    <row r="134" spans="1:37" s="165" customFormat="1" ht="151.5" customHeight="1" x14ac:dyDescent="0.25">
      <c r="A134" s="7">
        <v>128</v>
      </c>
      <c r="B134" s="7">
        <v>126475</v>
      </c>
      <c r="C134" s="11">
        <v>563</v>
      </c>
      <c r="D134" s="7" t="s">
        <v>176</v>
      </c>
      <c r="E134" s="11" t="s">
        <v>733</v>
      </c>
      <c r="F134" s="7" t="s">
        <v>1165</v>
      </c>
      <c r="G134" s="8" t="s">
        <v>1348</v>
      </c>
      <c r="H134" s="10" t="s">
        <v>1347</v>
      </c>
      <c r="I134" s="7" t="s">
        <v>837</v>
      </c>
      <c r="J134" s="8" t="s">
        <v>1349</v>
      </c>
      <c r="K134" s="13">
        <v>43546</v>
      </c>
      <c r="L134" s="26">
        <v>44277</v>
      </c>
      <c r="M134" s="14">
        <f>S134/AE134*100</f>
        <v>84.852694687750144</v>
      </c>
      <c r="N134" s="168">
        <v>7</v>
      </c>
      <c r="O134" s="168" t="s">
        <v>839</v>
      </c>
      <c r="P134" s="168" t="s">
        <v>839</v>
      </c>
      <c r="Q134" s="168" t="s">
        <v>213</v>
      </c>
      <c r="R134" s="7" t="s">
        <v>36</v>
      </c>
      <c r="S134" s="18">
        <f>T134+U134</f>
        <v>3141080.48</v>
      </c>
      <c r="T134" s="22">
        <v>3141080.48</v>
      </c>
      <c r="U134" s="45">
        <v>0</v>
      </c>
      <c r="V134" s="18">
        <f t="shared" si="224"/>
        <v>486687.45</v>
      </c>
      <c r="W134" s="63">
        <v>486687.45</v>
      </c>
      <c r="X134" s="45">
        <v>0</v>
      </c>
      <c r="Y134" s="18">
        <f>Z134+AA134</f>
        <v>67620.820000000007</v>
      </c>
      <c r="Z134" s="23">
        <v>67620.820000000007</v>
      </c>
      <c r="AA134" s="45">
        <v>0</v>
      </c>
      <c r="AB134" s="16">
        <f>AC134+AD134</f>
        <v>6415.29</v>
      </c>
      <c r="AC134" s="27">
        <v>6415.29</v>
      </c>
      <c r="AD134" s="27">
        <v>0</v>
      </c>
      <c r="AE134" s="16">
        <f t="shared" si="214"/>
        <v>3701804.04</v>
      </c>
      <c r="AF134" s="63">
        <v>0</v>
      </c>
      <c r="AG134" s="16">
        <f t="shared" si="225"/>
        <v>3701804.04</v>
      </c>
      <c r="AH134" s="20" t="s">
        <v>615</v>
      </c>
      <c r="AI134" s="21" t="s">
        <v>185</v>
      </c>
      <c r="AJ134" s="28">
        <v>0</v>
      </c>
      <c r="AK134" s="23">
        <v>0</v>
      </c>
    </row>
    <row r="135" spans="1:37" s="165" customFormat="1" ht="120" x14ac:dyDescent="0.25">
      <c r="A135" s="7">
        <v>129</v>
      </c>
      <c r="B135" s="7">
        <v>117764</v>
      </c>
      <c r="C135" s="11">
        <v>416</v>
      </c>
      <c r="D135" s="7" t="s">
        <v>714</v>
      </c>
      <c r="E135" s="8" t="s">
        <v>733</v>
      </c>
      <c r="F135" s="10" t="s">
        <v>640</v>
      </c>
      <c r="G135" s="10" t="s">
        <v>948</v>
      </c>
      <c r="H135" s="7" t="s">
        <v>949</v>
      </c>
      <c r="I135" s="7" t="s">
        <v>185</v>
      </c>
      <c r="J135" s="7"/>
      <c r="K135" s="13">
        <v>43326</v>
      </c>
      <c r="L135" s="26">
        <v>43813</v>
      </c>
      <c r="M135" s="7">
        <f t="shared" ref="M135" si="226">S135/AE135*100</f>
        <v>85.000000298812211</v>
      </c>
      <c r="N135" s="7">
        <v>1</v>
      </c>
      <c r="O135" s="7" t="s">
        <v>522</v>
      </c>
      <c r="P135" s="7" t="s">
        <v>522</v>
      </c>
      <c r="Q135" s="7" t="s">
        <v>213</v>
      </c>
      <c r="R135" s="168" t="s">
        <v>36</v>
      </c>
      <c r="S135" s="18">
        <f t="shared" ref="S135" si="227">T135+U135</f>
        <v>284459.59000000003</v>
      </c>
      <c r="T135" s="23">
        <v>284459.59000000003</v>
      </c>
      <c r="U135" s="45">
        <v>0</v>
      </c>
      <c r="V135" s="18">
        <f t="shared" si="224"/>
        <v>43505.58</v>
      </c>
      <c r="W135" s="23">
        <v>43505.58</v>
      </c>
      <c r="X135" s="45">
        <v>0</v>
      </c>
      <c r="Y135" s="23">
        <f>Z135+AA135</f>
        <v>6693.17</v>
      </c>
      <c r="Z135" s="23">
        <v>6693.17</v>
      </c>
      <c r="AA135" s="45">
        <v>0</v>
      </c>
      <c r="AB135" s="16">
        <f t="shared" si="223"/>
        <v>0</v>
      </c>
      <c r="AC135" s="31">
        <v>0</v>
      </c>
      <c r="AD135" s="31">
        <v>0</v>
      </c>
      <c r="AE135" s="16">
        <f t="shared" si="214"/>
        <v>334658.34000000003</v>
      </c>
      <c r="AF135" s="63">
        <v>0</v>
      </c>
      <c r="AG135" s="16">
        <f t="shared" si="225"/>
        <v>334658.34000000003</v>
      </c>
      <c r="AH135" s="20" t="s">
        <v>615</v>
      </c>
      <c r="AI135" s="63" t="s">
        <v>185</v>
      </c>
      <c r="AJ135" s="16">
        <f>33465.83-3352.6-821.73</f>
        <v>29291.500000000004</v>
      </c>
      <c r="AK135" s="16">
        <f>3352.6+821.73</f>
        <v>4174.33</v>
      </c>
    </row>
    <row r="136" spans="1:37" s="165" customFormat="1" ht="141.75" x14ac:dyDescent="0.25">
      <c r="A136" s="7">
        <v>130</v>
      </c>
      <c r="B136" s="7">
        <v>110909</v>
      </c>
      <c r="C136" s="11">
        <v>115</v>
      </c>
      <c r="D136" s="7" t="s">
        <v>177</v>
      </c>
      <c r="E136" s="8" t="s">
        <v>998</v>
      </c>
      <c r="F136" s="51" t="s">
        <v>361</v>
      </c>
      <c r="G136" s="168" t="s">
        <v>444</v>
      </c>
      <c r="H136" s="24" t="s">
        <v>443</v>
      </c>
      <c r="I136" s="11" t="s">
        <v>185</v>
      </c>
      <c r="J136" s="12" t="s">
        <v>445</v>
      </c>
      <c r="K136" s="13">
        <v>43214</v>
      </c>
      <c r="L136" s="26">
        <v>43701</v>
      </c>
      <c r="M136" s="14">
        <f t="shared" ref="M136:M137" si="228">S136/AE136*100</f>
        <v>85.000000000000014</v>
      </c>
      <c r="N136" s="7">
        <v>3</v>
      </c>
      <c r="O136" s="7" t="s">
        <v>446</v>
      </c>
      <c r="P136" s="7" t="s">
        <v>455</v>
      </c>
      <c r="Q136" s="15" t="s">
        <v>213</v>
      </c>
      <c r="R136" s="11" t="s">
        <v>36</v>
      </c>
      <c r="S136" s="18">
        <f t="shared" ref="S136:S137" si="229">T136+U136</f>
        <v>349633.9</v>
      </c>
      <c r="T136" s="103">
        <v>349633.9</v>
      </c>
      <c r="U136" s="45">
        <v>0</v>
      </c>
      <c r="V136" s="18">
        <f t="shared" si="224"/>
        <v>53473.42</v>
      </c>
      <c r="W136" s="104">
        <v>53473.42</v>
      </c>
      <c r="X136" s="45">
        <v>0</v>
      </c>
      <c r="Y136" s="18">
        <f t="shared" ref="Y136:Y137" si="230">Z136+AA136</f>
        <v>8226.68</v>
      </c>
      <c r="Z136" s="104">
        <v>8226.68</v>
      </c>
      <c r="AA136" s="45">
        <v>0</v>
      </c>
      <c r="AB136" s="16">
        <f t="shared" si="223"/>
        <v>0</v>
      </c>
      <c r="AC136" s="105">
        <v>0</v>
      </c>
      <c r="AD136" s="105">
        <v>0</v>
      </c>
      <c r="AE136" s="16">
        <f t="shared" si="214"/>
        <v>411334</v>
      </c>
      <c r="AF136" s="16">
        <v>0</v>
      </c>
      <c r="AG136" s="16">
        <f t="shared" si="225"/>
        <v>411334</v>
      </c>
      <c r="AH136" s="20" t="s">
        <v>615</v>
      </c>
      <c r="AI136" s="21" t="s">
        <v>185</v>
      </c>
      <c r="AJ136" s="22">
        <f>41133.4+12089.93+41133.4-2141.81</f>
        <v>92214.920000000013</v>
      </c>
      <c r="AK136" s="23">
        <f>8140.04+2141.81</f>
        <v>10281.85</v>
      </c>
    </row>
    <row r="137" spans="1:37" s="165" customFormat="1" ht="204.75" x14ac:dyDescent="0.25">
      <c r="A137" s="7">
        <v>131</v>
      </c>
      <c r="B137" s="7">
        <v>126118</v>
      </c>
      <c r="C137" s="11">
        <v>530</v>
      </c>
      <c r="D137" s="7" t="s">
        <v>175</v>
      </c>
      <c r="E137" s="8" t="s">
        <v>1217</v>
      </c>
      <c r="F137" s="51" t="s">
        <v>1165</v>
      </c>
      <c r="G137" s="168" t="s">
        <v>1218</v>
      </c>
      <c r="H137" s="168" t="s">
        <v>1219</v>
      </c>
      <c r="I137" s="11" t="s">
        <v>451</v>
      </c>
      <c r="J137" s="12" t="s">
        <v>1220</v>
      </c>
      <c r="K137" s="13">
        <v>43447</v>
      </c>
      <c r="L137" s="26">
        <v>44116</v>
      </c>
      <c r="M137" s="14">
        <f t="shared" si="228"/>
        <v>85.000000836129914</v>
      </c>
      <c r="N137" s="7">
        <v>3</v>
      </c>
      <c r="O137" s="7" t="s">
        <v>446</v>
      </c>
      <c r="P137" s="7" t="s">
        <v>446</v>
      </c>
      <c r="Q137" s="15" t="s">
        <v>213</v>
      </c>
      <c r="R137" s="11" t="s">
        <v>36</v>
      </c>
      <c r="S137" s="18">
        <f t="shared" si="229"/>
        <v>813270.76</v>
      </c>
      <c r="T137" s="103">
        <v>813270.76</v>
      </c>
      <c r="U137" s="45">
        <v>0</v>
      </c>
      <c r="V137" s="18">
        <f t="shared" si="224"/>
        <v>124382.58</v>
      </c>
      <c r="W137" s="104">
        <v>124382.58</v>
      </c>
      <c r="X137" s="104">
        <v>0</v>
      </c>
      <c r="Y137" s="18">
        <f t="shared" si="230"/>
        <v>19135.78</v>
      </c>
      <c r="Z137" s="104">
        <v>19135.78</v>
      </c>
      <c r="AA137" s="104">
        <v>0</v>
      </c>
      <c r="AB137" s="16">
        <f t="shared" si="223"/>
        <v>0</v>
      </c>
      <c r="AC137" s="19">
        <v>0</v>
      </c>
      <c r="AD137" s="19">
        <v>0</v>
      </c>
      <c r="AE137" s="16">
        <f t="shared" si="214"/>
        <v>956789.12</v>
      </c>
      <c r="AF137" s="63"/>
      <c r="AG137" s="16">
        <f t="shared" si="225"/>
        <v>956789.12</v>
      </c>
      <c r="AH137" s="20" t="s">
        <v>901</v>
      </c>
      <c r="AI137" s="63"/>
      <c r="AJ137" s="22">
        <v>0</v>
      </c>
      <c r="AK137" s="22">
        <v>0</v>
      </c>
    </row>
    <row r="138" spans="1:37" s="165" customFormat="1" ht="173.25" x14ac:dyDescent="0.25">
      <c r="A138" s="7">
        <v>132</v>
      </c>
      <c r="B138" s="7">
        <v>119235</v>
      </c>
      <c r="C138" s="11">
        <v>479</v>
      </c>
      <c r="D138" s="7" t="s">
        <v>171</v>
      </c>
      <c r="E138" s="11" t="s">
        <v>1071</v>
      </c>
      <c r="F138" s="10" t="s">
        <v>574</v>
      </c>
      <c r="G138" s="10" t="s">
        <v>677</v>
      </c>
      <c r="H138" s="59" t="s">
        <v>678</v>
      </c>
      <c r="I138" s="7" t="s">
        <v>185</v>
      </c>
      <c r="J138" s="10" t="s">
        <v>679</v>
      </c>
      <c r="K138" s="26">
        <v>43276</v>
      </c>
      <c r="L138" s="26">
        <v>43702</v>
      </c>
      <c r="M138" s="32">
        <f>S138/AE138*100</f>
        <v>84.999999139224727</v>
      </c>
      <c r="N138" s="168">
        <v>5</v>
      </c>
      <c r="O138" s="168" t="s">
        <v>680</v>
      </c>
      <c r="P138" s="168" t="s">
        <v>681</v>
      </c>
      <c r="Q138" s="168" t="s">
        <v>213</v>
      </c>
      <c r="R138" s="168" t="s">
        <v>578</v>
      </c>
      <c r="S138" s="18">
        <f>T138+U138</f>
        <v>246870.47</v>
      </c>
      <c r="T138" s="23">
        <v>246870.47</v>
      </c>
      <c r="U138" s="45">
        <v>0</v>
      </c>
      <c r="V138" s="18">
        <f>W138+X138</f>
        <v>37756.660000000003</v>
      </c>
      <c r="W138" s="63">
        <v>37756.660000000003</v>
      </c>
      <c r="X138" s="45">
        <v>0</v>
      </c>
      <c r="Y138" s="18">
        <f>Z138+AA138</f>
        <v>5808.72</v>
      </c>
      <c r="Z138" s="23">
        <v>5808.72</v>
      </c>
      <c r="AA138" s="45">
        <v>0</v>
      </c>
      <c r="AB138" s="16">
        <f>AC138+AD138</f>
        <v>0</v>
      </c>
      <c r="AC138" s="99">
        <v>0</v>
      </c>
      <c r="AD138" s="99">
        <v>0</v>
      </c>
      <c r="AE138" s="16">
        <f>S138+V138+Y138+AB138</f>
        <v>290435.84999999998</v>
      </c>
      <c r="AF138" s="63"/>
      <c r="AG138" s="16">
        <f>AE138+AF138</f>
        <v>290435.84999999998</v>
      </c>
      <c r="AH138" s="20" t="s">
        <v>615</v>
      </c>
      <c r="AI138" s="54"/>
      <c r="AJ138" s="22">
        <f>28682+46411.17+11796.6</f>
        <v>86889.77</v>
      </c>
      <c r="AK138" s="23">
        <f>11484.84+1803.88</f>
        <v>13288.720000000001</v>
      </c>
    </row>
    <row r="139" spans="1:37" s="165" customFormat="1" ht="141.75" x14ac:dyDescent="0.25">
      <c r="A139" s="7">
        <v>133</v>
      </c>
      <c r="B139" s="7">
        <v>119160</v>
      </c>
      <c r="C139" s="11">
        <v>482</v>
      </c>
      <c r="D139" s="7" t="s">
        <v>177</v>
      </c>
      <c r="E139" s="11" t="s">
        <v>1071</v>
      </c>
      <c r="F139" s="10" t="s">
        <v>574</v>
      </c>
      <c r="G139" s="8" t="s">
        <v>847</v>
      </c>
      <c r="H139" s="8" t="s">
        <v>848</v>
      </c>
      <c r="I139" s="7" t="s">
        <v>185</v>
      </c>
      <c r="J139" s="8" t="s">
        <v>849</v>
      </c>
      <c r="K139" s="26">
        <v>43304</v>
      </c>
      <c r="L139" s="26">
        <v>43792</v>
      </c>
      <c r="M139" s="32">
        <f>S139/AE139*100</f>
        <v>84.99999840000666</v>
      </c>
      <c r="N139" s="168">
        <v>5</v>
      </c>
      <c r="O139" s="168" t="s">
        <v>680</v>
      </c>
      <c r="P139" s="168" t="s">
        <v>850</v>
      </c>
      <c r="Q139" s="168" t="s">
        <v>213</v>
      </c>
      <c r="R139" s="7" t="s">
        <v>36</v>
      </c>
      <c r="S139" s="18">
        <f>T139+U139</f>
        <v>212500.88</v>
      </c>
      <c r="T139" s="23">
        <v>212500.88</v>
      </c>
      <c r="U139" s="45">
        <v>0</v>
      </c>
      <c r="V139" s="18">
        <f>W139+X139</f>
        <v>32500.1</v>
      </c>
      <c r="W139" s="63">
        <v>32500.1</v>
      </c>
      <c r="X139" s="45">
        <v>0</v>
      </c>
      <c r="Y139" s="18">
        <f>Z139+AA139</f>
        <v>5000.0600000000004</v>
      </c>
      <c r="Z139" s="23">
        <v>5000.0600000000004</v>
      </c>
      <c r="AA139" s="45">
        <v>0</v>
      </c>
      <c r="AB139" s="16">
        <f>AC139+AD139</f>
        <v>0</v>
      </c>
      <c r="AC139" s="27">
        <v>0</v>
      </c>
      <c r="AD139" s="27"/>
      <c r="AE139" s="16">
        <f>S139+V139+Y139+AB139</f>
        <v>250001.04</v>
      </c>
      <c r="AF139" s="63"/>
      <c r="AG139" s="16">
        <f>AE139+AF139</f>
        <v>250001.04</v>
      </c>
      <c r="AH139" s="20" t="s">
        <v>615</v>
      </c>
      <c r="AI139" s="54"/>
      <c r="AJ139" s="22">
        <v>30115.11</v>
      </c>
      <c r="AK139" s="23">
        <v>4605.84</v>
      </c>
    </row>
    <row r="140" spans="1:37" s="165" customFormat="1" ht="157.5" x14ac:dyDescent="0.25">
      <c r="A140" s="7">
        <v>134</v>
      </c>
      <c r="B140" s="7">
        <v>117063</v>
      </c>
      <c r="C140" s="11">
        <v>411</v>
      </c>
      <c r="D140" s="7" t="s">
        <v>873</v>
      </c>
      <c r="E140" s="8" t="s">
        <v>733</v>
      </c>
      <c r="F140" s="7" t="s">
        <v>640</v>
      </c>
      <c r="G140" s="8" t="s">
        <v>906</v>
      </c>
      <c r="H140" s="11" t="s">
        <v>848</v>
      </c>
      <c r="I140" s="7" t="s">
        <v>185</v>
      </c>
      <c r="J140" s="8" t="s">
        <v>907</v>
      </c>
      <c r="K140" s="26">
        <v>43313</v>
      </c>
      <c r="L140" s="26">
        <v>43677</v>
      </c>
      <c r="M140" s="32">
        <f>S140/AE140*100</f>
        <v>85</v>
      </c>
      <c r="N140" s="11">
        <v>5</v>
      </c>
      <c r="O140" s="11" t="s">
        <v>680</v>
      </c>
      <c r="P140" s="11" t="s">
        <v>850</v>
      </c>
      <c r="Q140" s="11" t="s">
        <v>213</v>
      </c>
      <c r="R140" s="7" t="s">
        <v>578</v>
      </c>
      <c r="S140" s="18">
        <f t="shared" ref="S140:S141" si="231">T140+U140</f>
        <v>213015.1</v>
      </c>
      <c r="T140" s="31">
        <v>213015.1</v>
      </c>
      <c r="U140" s="31">
        <v>0</v>
      </c>
      <c r="V140" s="18">
        <f t="shared" si="224"/>
        <v>32578.78</v>
      </c>
      <c r="W140" s="31">
        <v>32578.78</v>
      </c>
      <c r="X140" s="31">
        <v>0</v>
      </c>
      <c r="Y140" s="18">
        <f t="shared" ref="Y140:Y141" si="232">Z140+AA140</f>
        <v>5012.12</v>
      </c>
      <c r="Z140" s="23">
        <v>5012.12</v>
      </c>
      <c r="AA140" s="23">
        <v>0</v>
      </c>
      <c r="AB140" s="16">
        <f t="shared" si="223"/>
        <v>0</v>
      </c>
      <c r="AC140" s="16">
        <v>0</v>
      </c>
      <c r="AD140" s="16">
        <v>0</v>
      </c>
      <c r="AE140" s="16">
        <f t="shared" si="214"/>
        <v>250606</v>
      </c>
      <c r="AF140" s="63"/>
      <c r="AG140" s="16">
        <f t="shared" si="225"/>
        <v>250606</v>
      </c>
      <c r="AH140" s="20" t="s">
        <v>615</v>
      </c>
      <c r="AI140" s="63"/>
      <c r="AJ140" s="28">
        <v>38751.5</v>
      </c>
      <c r="AK140" s="28">
        <v>5926.7</v>
      </c>
    </row>
    <row r="141" spans="1:37" s="165" customFormat="1" ht="157.5" x14ac:dyDescent="0.3">
      <c r="A141" s="7">
        <v>135</v>
      </c>
      <c r="B141" s="7">
        <v>126522</v>
      </c>
      <c r="C141" s="11">
        <v>554</v>
      </c>
      <c r="D141" s="7" t="s">
        <v>177</v>
      </c>
      <c r="E141" s="8" t="s">
        <v>1217</v>
      </c>
      <c r="F141" s="51" t="s">
        <v>1165</v>
      </c>
      <c r="G141" s="200" t="s">
        <v>1376</v>
      </c>
      <c r="H141" s="11" t="s">
        <v>1377</v>
      </c>
      <c r="I141" s="7" t="s">
        <v>185</v>
      </c>
      <c r="J141" s="8" t="s">
        <v>1378</v>
      </c>
      <c r="K141" s="26">
        <v>43556</v>
      </c>
      <c r="L141" s="26">
        <v>44440</v>
      </c>
      <c r="M141" s="32">
        <f>S141/AE141*100</f>
        <v>85.0000001266326</v>
      </c>
      <c r="N141" s="11">
        <v>5</v>
      </c>
      <c r="O141" s="11" t="s">
        <v>680</v>
      </c>
      <c r="P141" s="11" t="s">
        <v>681</v>
      </c>
      <c r="Q141" s="11" t="s">
        <v>213</v>
      </c>
      <c r="R141" s="7" t="s">
        <v>578</v>
      </c>
      <c r="S141" s="18">
        <f t="shared" si="231"/>
        <v>3356165.93</v>
      </c>
      <c r="T141" s="31">
        <v>3356165.93</v>
      </c>
      <c r="U141" s="31">
        <v>0</v>
      </c>
      <c r="V141" s="18">
        <f t="shared" si="224"/>
        <v>513295.96</v>
      </c>
      <c r="W141" s="31">
        <v>513295.96</v>
      </c>
      <c r="X141" s="31">
        <v>0</v>
      </c>
      <c r="Y141" s="18">
        <f t="shared" si="232"/>
        <v>78968.61</v>
      </c>
      <c r="Z141" s="23">
        <v>78968.61</v>
      </c>
      <c r="AA141" s="23">
        <v>0</v>
      </c>
      <c r="AB141" s="16">
        <v>0</v>
      </c>
      <c r="AC141" s="16">
        <v>0</v>
      </c>
      <c r="AD141" s="16">
        <v>0</v>
      </c>
      <c r="AE141" s="16">
        <f t="shared" si="214"/>
        <v>3948430.5</v>
      </c>
      <c r="AF141" s="63"/>
      <c r="AG141" s="16">
        <f t="shared" si="225"/>
        <v>3948430.5</v>
      </c>
      <c r="AH141" s="20" t="s">
        <v>615</v>
      </c>
      <c r="AI141" s="63"/>
      <c r="AJ141" s="28">
        <v>0</v>
      </c>
      <c r="AK141" s="28">
        <v>0</v>
      </c>
    </row>
    <row r="142" spans="1:37" s="165" customFormat="1" ht="173.25" x14ac:dyDescent="0.25">
      <c r="A142" s="7">
        <v>136</v>
      </c>
      <c r="B142" s="7">
        <v>119289</v>
      </c>
      <c r="C142" s="11">
        <v>484</v>
      </c>
      <c r="D142" s="7" t="s">
        <v>174</v>
      </c>
      <c r="E142" s="11" t="s">
        <v>1071</v>
      </c>
      <c r="F142" s="7" t="s">
        <v>574</v>
      </c>
      <c r="G142" s="10" t="s">
        <v>654</v>
      </c>
      <c r="H142" s="10" t="s">
        <v>655</v>
      </c>
      <c r="I142" s="7" t="s">
        <v>380</v>
      </c>
      <c r="J142" s="34" t="s">
        <v>656</v>
      </c>
      <c r="K142" s="13">
        <v>43271</v>
      </c>
      <c r="L142" s="26">
        <v>43758</v>
      </c>
      <c r="M142" s="14">
        <f>S142/AE142*100</f>
        <v>85.000003319296809</v>
      </c>
      <c r="N142" s="7">
        <v>3</v>
      </c>
      <c r="O142" s="7" t="s">
        <v>461</v>
      </c>
      <c r="P142" s="7" t="s">
        <v>614</v>
      </c>
      <c r="Q142" s="7" t="s">
        <v>213</v>
      </c>
      <c r="R142" s="7" t="s">
        <v>578</v>
      </c>
      <c r="S142" s="18">
        <f>T142+U142</f>
        <v>332901.85000000009</v>
      </c>
      <c r="T142" s="27">
        <v>332901.85000000009</v>
      </c>
      <c r="U142" s="27">
        <v>0</v>
      </c>
      <c r="V142" s="18">
        <f>W142+X142</f>
        <v>50914.380000000005</v>
      </c>
      <c r="W142" s="27">
        <v>50914.380000000005</v>
      </c>
      <c r="X142" s="27">
        <v>0</v>
      </c>
      <c r="Y142" s="18">
        <f>Z142+AA142</f>
        <v>7832.9900000000016</v>
      </c>
      <c r="Z142" s="23">
        <v>7832.9900000000016</v>
      </c>
      <c r="AA142" s="23">
        <v>0</v>
      </c>
      <c r="AB142" s="16">
        <f>AC142+AD142</f>
        <v>0</v>
      </c>
      <c r="AC142" s="31">
        <v>0</v>
      </c>
      <c r="AD142" s="31">
        <v>0</v>
      </c>
      <c r="AE142" s="16">
        <f>S142+V142+Y142+AB142</f>
        <v>391649.22000000009</v>
      </c>
      <c r="AF142" s="27">
        <v>0</v>
      </c>
      <c r="AG142" s="16">
        <f>AE142+AF142</f>
        <v>391649.22000000009</v>
      </c>
      <c r="AH142" s="20" t="s">
        <v>615</v>
      </c>
      <c r="AI142" s="63"/>
      <c r="AJ142" s="28">
        <f>38381.62-1141.39</f>
        <v>37240.230000000003</v>
      </c>
      <c r="AK142" s="23">
        <v>5695.57</v>
      </c>
    </row>
    <row r="143" spans="1:37" s="165" customFormat="1" ht="315" x14ac:dyDescent="0.25">
      <c r="A143" s="7">
        <v>137</v>
      </c>
      <c r="B143" s="7">
        <v>118717</v>
      </c>
      <c r="C143" s="11">
        <v>435</v>
      </c>
      <c r="D143" s="7" t="s">
        <v>873</v>
      </c>
      <c r="E143" s="8" t="s">
        <v>733</v>
      </c>
      <c r="F143" s="9" t="s">
        <v>640</v>
      </c>
      <c r="G143" s="10" t="s">
        <v>991</v>
      </c>
      <c r="H143" s="7" t="s">
        <v>655</v>
      </c>
      <c r="I143" s="7" t="s">
        <v>380</v>
      </c>
      <c r="J143" s="12" t="s">
        <v>992</v>
      </c>
      <c r="K143" s="13">
        <v>43333</v>
      </c>
      <c r="L143" s="26">
        <v>43790</v>
      </c>
      <c r="M143" s="14">
        <f t="shared" ref="M143" si="233">S143/AE143*100</f>
        <v>84.999995136543049</v>
      </c>
      <c r="N143" s="11">
        <v>3</v>
      </c>
      <c r="O143" s="7" t="s">
        <v>461</v>
      </c>
      <c r="P143" s="7" t="s">
        <v>614</v>
      </c>
      <c r="Q143" s="7" t="s">
        <v>213</v>
      </c>
      <c r="R143" s="7" t="s">
        <v>578</v>
      </c>
      <c r="S143" s="18">
        <f t="shared" ref="S143" si="234">T143+U143</f>
        <v>227204.63</v>
      </c>
      <c r="T143" s="31">
        <v>227204.63</v>
      </c>
      <c r="U143" s="31"/>
      <c r="V143" s="18">
        <f t="shared" si="224"/>
        <v>34748.959999999999</v>
      </c>
      <c r="W143" s="31">
        <v>34748.959999999999</v>
      </c>
      <c r="X143" s="31"/>
      <c r="Y143" s="18">
        <f t="shared" ref="Y143" si="235">Z143+AA143</f>
        <v>5345.99</v>
      </c>
      <c r="Z143" s="23">
        <v>5345.99</v>
      </c>
      <c r="AA143" s="23">
        <v>0</v>
      </c>
      <c r="AB143" s="16">
        <f t="shared" si="223"/>
        <v>0</v>
      </c>
      <c r="AC143" s="31"/>
      <c r="AD143" s="31"/>
      <c r="AE143" s="16">
        <f t="shared" si="214"/>
        <v>267299.58</v>
      </c>
      <c r="AF143" s="63">
        <v>37391</v>
      </c>
      <c r="AG143" s="16">
        <f t="shared" si="225"/>
        <v>304690.58</v>
      </c>
      <c r="AH143" s="20" t="s">
        <v>615</v>
      </c>
      <c r="AI143" s="20" t="s">
        <v>1221</v>
      </c>
      <c r="AJ143" s="28">
        <f>26729+12123.33+40308.88</f>
        <v>79161.209999999992</v>
      </c>
      <c r="AK143" s="28">
        <f>5942.12+6164.89</f>
        <v>12107.01</v>
      </c>
    </row>
    <row r="144" spans="1:37" s="165" customFormat="1" ht="220.5" x14ac:dyDescent="0.25">
      <c r="A144" s="7">
        <v>138</v>
      </c>
      <c r="B144" s="7">
        <v>119720</v>
      </c>
      <c r="C144" s="11">
        <v>481</v>
      </c>
      <c r="D144" s="7" t="s">
        <v>174</v>
      </c>
      <c r="E144" s="11" t="s">
        <v>1071</v>
      </c>
      <c r="F144" s="7" t="s">
        <v>574</v>
      </c>
      <c r="G144" s="10" t="s">
        <v>616</v>
      </c>
      <c r="H144" s="10" t="s">
        <v>617</v>
      </c>
      <c r="I144" s="7" t="s">
        <v>380</v>
      </c>
      <c r="J144" s="34" t="s">
        <v>619</v>
      </c>
      <c r="K144" s="13">
        <v>43264</v>
      </c>
      <c r="L144" s="26">
        <v>43903</v>
      </c>
      <c r="M144" s="14">
        <f>S144/AE144*100</f>
        <v>85.00000159999999</v>
      </c>
      <c r="N144" s="7">
        <v>3</v>
      </c>
      <c r="O144" s="7" t="s">
        <v>462</v>
      </c>
      <c r="P144" s="7" t="s">
        <v>618</v>
      </c>
      <c r="Q144" s="7" t="s">
        <v>213</v>
      </c>
      <c r="R144" s="7" t="s">
        <v>578</v>
      </c>
      <c r="S144" s="18">
        <f>T144+U144</f>
        <v>531250.01</v>
      </c>
      <c r="T144" s="27">
        <v>531250.01</v>
      </c>
      <c r="U144" s="27">
        <v>0</v>
      </c>
      <c r="V144" s="18">
        <f>W144+X144</f>
        <v>81249.989999999991</v>
      </c>
      <c r="W144" s="27">
        <v>81249.989999999991</v>
      </c>
      <c r="X144" s="27">
        <v>0</v>
      </c>
      <c r="Y144" s="18">
        <f>Z144+AA144</f>
        <v>12500</v>
      </c>
      <c r="Z144" s="23">
        <v>12500</v>
      </c>
      <c r="AA144" s="23">
        <v>0</v>
      </c>
      <c r="AB144" s="16">
        <f>AC144+AD144</f>
        <v>0</v>
      </c>
      <c r="AC144" s="31">
        <v>0</v>
      </c>
      <c r="AD144" s="31">
        <v>0</v>
      </c>
      <c r="AE144" s="16">
        <f>S144+V144+Y144+AB144</f>
        <v>625000</v>
      </c>
      <c r="AF144" s="27">
        <v>19813.5</v>
      </c>
      <c r="AG144" s="16">
        <f>AE144+AF144</f>
        <v>644813.5</v>
      </c>
      <c r="AH144" s="20" t="s">
        <v>615</v>
      </c>
      <c r="AI144" s="63" t="s">
        <v>1405</v>
      </c>
      <c r="AJ144" s="28">
        <f>37222.35+21641</f>
        <v>58863.35</v>
      </c>
      <c r="AK144" s="23">
        <f>5692.83+3309.8</f>
        <v>9002.630000000001</v>
      </c>
    </row>
    <row r="145" spans="1:37" s="166" customFormat="1" ht="307.5" customHeight="1" x14ac:dyDescent="0.25">
      <c r="A145" s="7">
        <v>139</v>
      </c>
      <c r="B145" s="11">
        <v>118770</v>
      </c>
      <c r="C145" s="11">
        <v>440</v>
      </c>
      <c r="D145" s="11" t="s">
        <v>175</v>
      </c>
      <c r="E145" s="8" t="s">
        <v>733</v>
      </c>
      <c r="F145" s="8" t="s">
        <v>640</v>
      </c>
      <c r="G145" s="8" t="s">
        <v>925</v>
      </c>
      <c r="H145" s="11" t="s">
        <v>926</v>
      </c>
      <c r="I145" s="11" t="s">
        <v>185</v>
      </c>
      <c r="J145" s="8" t="s">
        <v>928</v>
      </c>
      <c r="K145" s="26">
        <v>43318</v>
      </c>
      <c r="L145" s="26">
        <v>43683</v>
      </c>
      <c r="M145" s="32">
        <f t="shared" ref="M145:M147" si="236">S145/AE145*100</f>
        <v>85</v>
      </c>
      <c r="N145" s="11">
        <v>3</v>
      </c>
      <c r="O145" s="11" t="s">
        <v>462</v>
      </c>
      <c r="P145" s="11" t="s">
        <v>927</v>
      </c>
      <c r="Q145" s="11" t="s">
        <v>213</v>
      </c>
      <c r="R145" s="11" t="s">
        <v>578</v>
      </c>
      <c r="S145" s="18">
        <f t="shared" ref="S145:S147" si="237">T145+U145</f>
        <v>254981.3</v>
      </c>
      <c r="T145" s="22">
        <v>254981.3</v>
      </c>
      <c r="U145" s="33">
        <v>0</v>
      </c>
      <c r="V145" s="18">
        <f t="shared" si="224"/>
        <v>38997.14</v>
      </c>
      <c r="W145" s="22">
        <v>38997.14</v>
      </c>
      <c r="X145" s="33">
        <v>0</v>
      </c>
      <c r="Y145" s="18">
        <f t="shared" ref="Y145:Y147" si="238">Z145+AA145</f>
        <v>5999.56</v>
      </c>
      <c r="Z145" s="22">
        <v>5999.56</v>
      </c>
      <c r="AA145" s="22">
        <v>0</v>
      </c>
      <c r="AB145" s="19">
        <f t="shared" si="223"/>
        <v>0</v>
      </c>
      <c r="AC145" s="33">
        <v>0</v>
      </c>
      <c r="AD145" s="33">
        <v>0</v>
      </c>
      <c r="AE145" s="19">
        <f t="shared" si="214"/>
        <v>299978</v>
      </c>
      <c r="AF145" s="20">
        <v>0</v>
      </c>
      <c r="AG145" s="19">
        <f t="shared" si="225"/>
        <v>299978</v>
      </c>
      <c r="AH145" s="20" t="s">
        <v>615</v>
      </c>
      <c r="AI145" s="20" t="s">
        <v>1317</v>
      </c>
      <c r="AJ145" s="28">
        <f>29900+23800.54+29900</f>
        <v>83600.540000000008</v>
      </c>
      <c r="AK145" s="28">
        <v>8213.02</v>
      </c>
    </row>
    <row r="146" spans="1:37" s="166" customFormat="1" ht="220.5" x14ac:dyDescent="0.25">
      <c r="A146" s="7">
        <v>140</v>
      </c>
      <c r="B146" s="11">
        <v>126498</v>
      </c>
      <c r="C146" s="11">
        <v>572</v>
      </c>
      <c r="D146" s="11" t="s">
        <v>174</v>
      </c>
      <c r="E146" s="8" t="s">
        <v>733</v>
      </c>
      <c r="F146" s="8" t="s">
        <v>1165</v>
      </c>
      <c r="G146" s="8" t="s">
        <v>1360</v>
      </c>
      <c r="H146" s="11" t="s">
        <v>926</v>
      </c>
      <c r="I146" s="11" t="s">
        <v>185</v>
      </c>
      <c r="J146" s="8" t="s">
        <v>1361</v>
      </c>
      <c r="K146" s="26">
        <v>43552</v>
      </c>
      <c r="L146" s="26">
        <v>44467</v>
      </c>
      <c r="M146" s="32">
        <f t="shared" ref="M146" si="239">S146/AE146*100</f>
        <v>85.000000127055301</v>
      </c>
      <c r="N146" s="11">
        <v>3</v>
      </c>
      <c r="O146" s="11" t="s">
        <v>462</v>
      </c>
      <c r="P146" s="11" t="s">
        <v>927</v>
      </c>
      <c r="Q146" s="11" t="s">
        <v>213</v>
      </c>
      <c r="R146" s="11" t="s">
        <v>578</v>
      </c>
      <c r="S146" s="18">
        <f t="shared" ref="S146" si="240">T146+U146</f>
        <v>3345000.16</v>
      </c>
      <c r="T146" s="22">
        <v>3345000.16</v>
      </c>
      <c r="U146" s="33">
        <v>0</v>
      </c>
      <c r="V146" s="18">
        <f t="shared" ref="V146" si="241">W146+X146</f>
        <v>516462.97</v>
      </c>
      <c r="W146" s="22">
        <v>516462.97</v>
      </c>
      <c r="X146" s="33">
        <v>0</v>
      </c>
      <c r="Y146" s="18">
        <f t="shared" ref="Y146" si="242">Z146+AA146</f>
        <v>73831.17</v>
      </c>
      <c r="Z146" s="22">
        <v>73831.17</v>
      </c>
      <c r="AA146" s="22">
        <v>0</v>
      </c>
      <c r="AB146" s="19">
        <f t="shared" ref="AB146" si="243">AC146+AD146</f>
        <v>0</v>
      </c>
      <c r="AC146" s="33">
        <v>0</v>
      </c>
      <c r="AD146" s="33">
        <v>0</v>
      </c>
      <c r="AE146" s="19">
        <f t="shared" ref="AE146" si="244">S146+V146+Y146+AB146</f>
        <v>3935294.3</v>
      </c>
      <c r="AF146" s="20">
        <v>4974.2</v>
      </c>
      <c r="AG146" s="19">
        <f t="shared" ref="AG146" si="245">AE146+AF146</f>
        <v>3940268.5</v>
      </c>
      <c r="AH146" s="20" t="s">
        <v>615</v>
      </c>
      <c r="AI146" s="20" t="s">
        <v>1317</v>
      </c>
      <c r="AJ146" s="28">
        <v>0</v>
      </c>
      <c r="AK146" s="28">
        <v>0</v>
      </c>
    </row>
    <row r="147" spans="1:37" s="165" customFormat="1" ht="265.5" customHeight="1" x14ac:dyDescent="0.25">
      <c r="A147" s="7">
        <v>141</v>
      </c>
      <c r="B147" s="11">
        <v>126289</v>
      </c>
      <c r="C147" s="11">
        <v>492</v>
      </c>
      <c r="D147" s="11" t="s">
        <v>175</v>
      </c>
      <c r="E147" s="8" t="s">
        <v>733</v>
      </c>
      <c r="F147" s="8" t="s">
        <v>1165</v>
      </c>
      <c r="G147" s="8" t="s">
        <v>1390</v>
      </c>
      <c r="H147" s="11" t="s">
        <v>1391</v>
      </c>
      <c r="I147" s="11" t="s">
        <v>451</v>
      </c>
      <c r="J147" s="8" t="s">
        <v>1392</v>
      </c>
      <c r="K147" s="13">
        <v>43563</v>
      </c>
      <c r="L147" s="26">
        <v>44476</v>
      </c>
      <c r="M147" s="14">
        <f t="shared" si="236"/>
        <v>85.000000203645214</v>
      </c>
      <c r="N147" s="7">
        <v>3</v>
      </c>
      <c r="O147" s="11" t="s">
        <v>462</v>
      </c>
      <c r="P147" s="11" t="s">
        <v>618</v>
      </c>
      <c r="Q147" s="11" t="s">
        <v>213</v>
      </c>
      <c r="R147" s="11" t="s">
        <v>1393</v>
      </c>
      <c r="S147" s="18">
        <f t="shared" si="237"/>
        <v>2504355.21</v>
      </c>
      <c r="T147" s="16">
        <v>2504355.21</v>
      </c>
      <c r="U147" s="16">
        <v>0</v>
      </c>
      <c r="V147" s="18">
        <f t="shared" si="224"/>
        <v>383019.03</v>
      </c>
      <c r="W147" s="16">
        <v>383019.03</v>
      </c>
      <c r="X147" s="16">
        <v>0</v>
      </c>
      <c r="Y147" s="18">
        <f t="shared" si="238"/>
        <v>58926</v>
      </c>
      <c r="Z147" s="16">
        <v>58926</v>
      </c>
      <c r="AA147" s="16">
        <v>0</v>
      </c>
      <c r="AB147" s="16">
        <f t="shared" si="223"/>
        <v>0</v>
      </c>
      <c r="AC147" s="31"/>
      <c r="AD147" s="31"/>
      <c r="AE147" s="16">
        <f t="shared" si="214"/>
        <v>2946300.24</v>
      </c>
      <c r="AF147" s="16">
        <v>3255.78</v>
      </c>
      <c r="AG147" s="16">
        <f t="shared" si="225"/>
        <v>2949556.02</v>
      </c>
      <c r="AH147" s="20" t="s">
        <v>615</v>
      </c>
      <c r="AI147" s="63"/>
      <c r="AJ147" s="28">
        <v>0</v>
      </c>
      <c r="AK147" s="28">
        <v>0</v>
      </c>
    </row>
    <row r="148" spans="1:37" s="165" customFormat="1" ht="189" x14ac:dyDescent="0.25">
      <c r="A148" s="7">
        <v>142</v>
      </c>
      <c r="B148" s="7">
        <v>120582</v>
      </c>
      <c r="C148" s="11">
        <v>109</v>
      </c>
      <c r="D148" s="7" t="s">
        <v>174</v>
      </c>
      <c r="E148" s="8" t="s">
        <v>998</v>
      </c>
      <c r="F148" s="9" t="s">
        <v>361</v>
      </c>
      <c r="G148" s="10" t="s">
        <v>216</v>
      </c>
      <c r="H148" s="10" t="s">
        <v>219</v>
      </c>
      <c r="I148" s="7" t="s">
        <v>185</v>
      </c>
      <c r="J148" s="34" t="s">
        <v>222</v>
      </c>
      <c r="K148" s="13">
        <v>43129</v>
      </c>
      <c r="L148" s="26">
        <v>43675</v>
      </c>
      <c r="M148" s="14">
        <f t="shared" ref="M148:M155" si="246">S148/AE148*100</f>
        <v>85.000000819683009</v>
      </c>
      <c r="N148" s="7">
        <v>1</v>
      </c>
      <c r="O148" s="7" t="s">
        <v>226</v>
      </c>
      <c r="P148" s="7" t="s">
        <v>226</v>
      </c>
      <c r="Q148" s="30" t="s">
        <v>213</v>
      </c>
      <c r="R148" s="7" t="s">
        <v>36</v>
      </c>
      <c r="S148" s="16">
        <f>T148+U148</f>
        <v>518493.12</v>
      </c>
      <c r="T148" s="16">
        <v>518493.12</v>
      </c>
      <c r="U148" s="16">
        <v>0</v>
      </c>
      <c r="V148" s="18">
        <f t="shared" si="224"/>
        <v>79298.94</v>
      </c>
      <c r="W148" s="16">
        <v>79298.94</v>
      </c>
      <c r="X148" s="16">
        <v>0</v>
      </c>
      <c r="Y148" s="16">
        <f>Z148+AA148</f>
        <v>12199.84</v>
      </c>
      <c r="Z148" s="16">
        <v>12199.84</v>
      </c>
      <c r="AA148" s="16">
        <v>0</v>
      </c>
      <c r="AB148" s="16">
        <f t="shared" si="223"/>
        <v>0</v>
      </c>
      <c r="AC148" s="16"/>
      <c r="AD148" s="16"/>
      <c r="AE148" s="16">
        <f t="shared" si="214"/>
        <v>609991.9</v>
      </c>
      <c r="AF148" s="16">
        <v>0</v>
      </c>
      <c r="AG148" s="16">
        <f t="shared" si="225"/>
        <v>609991.9</v>
      </c>
      <c r="AH148" s="20" t="s">
        <v>615</v>
      </c>
      <c r="AI148" s="21" t="s">
        <v>1407</v>
      </c>
      <c r="AJ148" s="22">
        <f>120214.04+104774.33+39837.96</f>
        <v>264826.33</v>
      </c>
      <c r="AK148" s="35">
        <f>18385.68+16024.31+6092.87</f>
        <v>40502.86</v>
      </c>
    </row>
    <row r="149" spans="1:37" s="165" customFormat="1" ht="173.25" x14ac:dyDescent="0.25">
      <c r="A149" s="7">
        <v>143</v>
      </c>
      <c r="B149" s="7">
        <v>120630</v>
      </c>
      <c r="C149" s="11">
        <v>101</v>
      </c>
      <c r="D149" s="7" t="s">
        <v>174</v>
      </c>
      <c r="E149" s="8" t="s">
        <v>998</v>
      </c>
      <c r="F149" s="9" t="s">
        <v>361</v>
      </c>
      <c r="G149" s="10" t="s">
        <v>311</v>
      </c>
      <c r="H149" s="10" t="s">
        <v>314</v>
      </c>
      <c r="I149" s="7" t="s">
        <v>185</v>
      </c>
      <c r="J149" s="12" t="s">
        <v>320</v>
      </c>
      <c r="K149" s="13">
        <v>43145</v>
      </c>
      <c r="L149" s="26">
        <v>43630</v>
      </c>
      <c r="M149" s="14">
        <f t="shared" si="246"/>
        <v>85.000000236289679</v>
      </c>
      <c r="N149" s="7">
        <v>1</v>
      </c>
      <c r="O149" s="7" t="s">
        <v>226</v>
      </c>
      <c r="P149" s="7" t="s">
        <v>319</v>
      </c>
      <c r="Q149" s="30" t="s">
        <v>213</v>
      </c>
      <c r="R149" s="7" t="s">
        <v>36</v>
      </c>
      <c r="S149" s="16">
        <f t="shared" ref="S149:S150" si="247">T149+U149</f>
        <v>359727.94</v>
      </c>
      <c r="T149" s="16">
        <v>359727.94</v>
      </c>
      <c r="U149" s="16">
        <v>0</v>
      </c>
      <c r="V149" s="18">
        <f t="shared" si="224"/>
        <v>55017.21</v>
      </c>
      <c r="W149" s="16">
        <v>55017.21</v>
      </c>
      <c r="X149" s="16">
        <v>0</v>
      </c>
      <c r="Y149" s="16">
        <f t="shared" ref="Y149:Y154" si="248">Z149+AA149</f>
        <v>8464.19</v>
      </c>
      <c r="Z149" s="16">
        <v>8464.19</v>
      </c>
      <c r="AA149" s="16">
        <v>0</v>
      </c>
      <c r="AB149" s="16">
        <f t="shared" si="223"/>
        <v>0</v>
      </c>
      <c r="AC149" s="16"/>
      <c r="AD149" s="16"/>
      <c r="AE149" s="16">
        <f t="shared" si="214"/>
        <v>423209.34</v>
      </c>
      <c r="AF149" s="16">
        <v>0</v>
      </c>
      <c r="AG149" s="16">
        <f t="shared" si="225"/>
        <v>423209.34</v>
      </c>
      <c r="AH149" s="20" t="s">
        <v>615</v>
      </c>
      <c r="AI149" s="21"/>
      <c r="AJ149" s="22">
        <f>172923.58+1813.03+21160-1356.83+11126.5-1232.65+26252.82</f>
        <v>230686.45</v>
      </c>
      <c r="AK149" s="23">
        <f>21665.98+2851.77+1356.83+1701.7+1232.65</f>
        <v>28808.930000000004</v>
      </c>
    </row>
    <row r="150" spans="1:37" s="165" customFormat="1" ht="157.5" x14ac:dyDescent="0.25">
      <c r="A150" s="7">
        <v>144</v>
      </c>
      <c r="B150" s="7">
        <v>120672</v>
      </c>
      <c r="C150" s="11">
        <v>106</v>
      </c>
      <c r="D150" s="7" t="s">
        <v>174</v>
      </c>
      <c r="E150" s="8" t="s">
        <v>998</v>
      </c>
      <c r="F150" s="9" t="s">
        <v>361</v>
      </c>
      <c r="G150" s="10" t="s">
        <v>312</v>
      </c>
      <c r="H150" s="10" t="s">
        <v>315</v>
      </c>
      <c r="I150" s="7" t="s">
        <v>185</v>
      </c>
      <c r="J150" s="12" t="s">
        <v>321</v>
      </c>
      <c r="K150" s="13">
        <v>43145</v>
      </c>
      <c r="L150" s="26">
        <v>43630</v>
      </c>
      <c r="M150" s="14">
        <f t="shared" si="246"/>
        <v>84.999999174149096</v>
      </c>
      <c r="N150" s="7">
        <v>1</v>
      </c>
      <c r="O150" s="7" t="s">
        <v>226</v>
      </c>
      <c r="P150" s="7" t="s">
        <v>226</v>
      </c>
      <c r="Q150" s="30" t="s">
        <v>213</v>
      </c>
      <c r="R150" s="7" t="s">
        <v>36</v>
      </c>
      <c r="S150" s="16">
        <f t="shared" si="247"/>
        <v>360234.51</v>
      </c>
      <c r="T150" s="165">
        <v>360234.51</v>
      </c>
      <c r="U150" s="16">
        <v>0</v>
      </c>
      <c r="V150" s="18">
        <f t="shared" si="224"/>
        <v>55094.69</v>
      </c>
      <c r="W150" s="183">
        <v>55094.69</v>
      </c>
      <c r="X150" s="16">
        <v>0</v>
      </c>
      <c r="Y150" s="81">
        <f t="shared" si="248"/>
        <v>8476.11</v>
      </c>
      <c r="Z150" s="27">
        <v>8476.11</v>
      </c>
      <c r="AA150" s="81">
        <v>0</v>
      </c>
      <c r="AB150" s="81">
        <f t="shared" si="223"/>
        <v>0</v>
      </c>
      <c r="AC150" s="16"/>
      <c r="AD150" s="16"/>
      <c r="AE150" s="16">
        <f t="shared" si="214"/>
        <v>423805.31</v>
      </c>
      <c r="AF150" s="16">
        <v>0</v>
      </c>
      <c r="AG150" s="16">
        <f t="shared" si="225"/>
        <v>423805.31</v>
      </c>
      <c r="AH150" s="20" t="s">
        <v>615</v>
      </c>
      <c r="AI150" s="21"/>
      <c r="AJ150" s="22">
        <f>63226.44+99468.28</f>
        <v>162694.72</v>
      </c>
      <c r="AK150" s="23">
        <f>9669.93+15212.79</f>
        <v>24882.720000000001</v>
      </c>
    </row>
    <row r="151" spans="1:37" s="165" customFormat="1" ht="141.75" x14ac:dyDescent="0.25">
      <c r="A151" s="7">
        <v>145</v>
      </c>
      <c r="B151" s="7">
        <v>118196</v>
      </c>
      <c r="C151" s="7">
        <v>425</v>
      </c>
      <c r="D151" s="7" t="s">
        <v>714</v>
      </c>
      <c r="E151" s="8" t="s">
        <v>733</v>
      </c>
      <c r="F151" s="9" t="s">
        <v>640</v>
      </c>
      <c r="G151" s="10" t="s">
        <v>631</v>
      </c>
      <c r="H151" s="10" t="s">
        <v>634</v>
      </c>
      <c r="I151" s="7" t="s">
        <v>451</v>
      </c>
      <c r="J151" s="12" t="s">
        <v>632</v>
      </c>
      <c r="K151" s="13">
        <v>43269</v>
      </c>
      <c r="L151" s="13">
        <v>43756</v>
      </c>
      <c r="M151" s="14">
        <f t="shared" si="246"/>
        <v>85</v>
      </c>
      <c r="N151" s="7">
        <v>1</v>
      </c>
      <c r="O151" s="7" t="s">
        <v>226</v>
      </c>
      <c r="P151" s="7" t="s">
        <v>226</v>
      </c>
      <c r="Q151" s="30" t="s">
        <v>213</v>
      </c>
      <c r="R151" s="7" t="s">
        <v>36</v>
      </c>
      <c r="S151" s="27">
        <f>T151+U151</f>
        <v>339668.5</v>
      </c>
      <c r="T151" s="27">
        <v>339668.5</v>
      </c>
      <c r="U151" s="27">
        <v>0</v>
      </c>
      <c r="V151" s="18">
        <f t="shared" si="224"/>
        <v>51949.3</v>
      </c>
      <c r="W151" s="27">
        <v>51949.3</v>
      </c>
      <c r="X151" s="27">
        <v>0</v>
      </c>
      <c r="Y151" s="81">
        <f t="shared" si="248"/>
        <v>7992.2</v>
      </c>
      <c r="Z151" s="27">
        <v>7992.2</v>
      </c>
      <c r="AA151" s="27">
        <v>0</v>
      </c>
      <c r="AB151" s="16">
        <f>AC151+AD151</f>
        <v>0</v>
      </c>
      <c r="AC151" s="27"/>
      <c r="AD151" s="27"/>
      <c r="AE151" s="16">
        <f>S151+V151+Y151+AB151</f>
        <v>399610</v>
      </c>
      <c r="AF151" s="27">
        <v>0</v>
      </c>
      <c r="AG151" s="16">
        <f>AE151+AF151</f>
        <v>399610</v>
      </c>
      <c r="AH151" s="20" t="s">
        <v>615</v>
      </c>
      <c r="AI151" s="21"/>
      <c r="AJ151" s="23">
        <f>16507.97+46617.76</f>
        <v>63125.73</v>
      </c>
      <c r="AK151" s="23">
        <f>2524.75+7129.77</f>
        <v>9654.52</v>
      </c>
    </row>
    <row r="152" spans="1:37" s="165" customFormat="1" ht="141.75" x14ac:dyDescent="0.25">
      <c r="A152" s="7">
        <v>146</v>
      </c>
      <c r="B152" s="7">
        <v>126155</v>
      </c>
      <c r="C152" s="7">
        <v>544</v>
      </c>
      <c r="D152" s="7" t="s">
        <v>176</v>
      </c>
      <c r="E152" s="8" t="s">
        <v>733</v>
      </c>
      <c r="F152" s="9" t="s">
        <v>1165</v>
      </c>
      <c r="G152" s="10" t="s">
        <v>1181</v>
      </c>
      <c r="H152" s="10" t="s">
        <v>1182</v>
      </c>
      <c r="I152" s="7" t="s">
        <v>451</v>
      </c>
      <c r="J152" s="12" t="s">
        <v>1183</v>
      </c>
      <c r="K152" s="13">
        <v>43437</v>
      </c>
      <c r="L152" s="26">
        <v>44411</v>
      </c>
      <c r="M152" s="14">
        <f t="shared" si="246"/>
        <v>85.000000318097122</v>
      </c>
      <c r="N152" s="7">
        <v>1</v>
      </c>
      <c r="O152" s="7" t="s">
        <v>226</v>
      </c>
      <c r="P152" s="7" t="s">
        <v>226</v>
      </c>
      <c r="Q152" s="30" t="s">
        <v>213</v>
      </c>
      <c r="R152" s="7" t="s">
        <v>36</v>
      </c>
      <c r="S152" s="27">
        <f t="shared" ref="S152:S154" si="249">T152+U152</f>
        <v>2672139.91</v>
      </c>
      <c r="T152" s="27">
        <v>2672139.91</v>
      </c>
      <c r="U152" s="27">
        <v>0</v>
      </c>
      <c r="V152" s="18">
        <f t="shared" si="224"/>
        <v>408680.21</v>
      </c>
      <c r="W152" s="27">
        <v>408680.21</v>
      </c>
      <c r="X152" s="27">
        <v>0</v>
      </c>
      <c r="Y152" s="81">
        <f t="shared" si="248"/>
        <v>62873.88</v>
      </c>
      <c r="Z152" s="27">
        <v>62873.88</v>
      </c>
      <c r="AA152" s="27">
        <v>0</v>
      </c>
      <c r="AB152" s="16">
        <f t="shared" ref="AB152:AB154" si="250">AC152+AD152</f>
        <v>0</v>
      </c>
      <c r="AC152" s="19">
        <v>0</v>
      </c>
      <c r="AD152" s="19">
        <v>0</v>
      </c>
      <c r="AE152" s="16">
        <f t="shared" ref="AE152:AE154" si="251">S152+V152+Y152+AB152</f>
        <v>3143694</v>
      </c>
      <c r="AF152" s="27">
        <v>0</v>
      </c>
      <c r="AG152" s="16">
        <f>AE152+AF152</f>
        <v>3143694</v>
      </c>
      <c r="AH152" s="20" t="s">
        <v>615</v>
      </c>
      <c r="AI152" s="21"/>
      <c r="AJ152" s="23">
        <v>0</v>
      </c>
      <c r="AK152" s="23">
        <v>0</v>
      </c>
    </row>
    <row r="153" spans="1:37" s="165" customFormat="1" ht="138" customHeight="1" x14ac:dyDescent="0.25">
      <c r="A153" s="7">
        <v>147</v>
      </c>
      <c r="B153" s="7">
        <v>125900</v>
      </c>
      <c r="C153" s="7">
        <v>518</v>
      </c>
      <c r="D153" s="7" t="s">
        <v>676</v>
      </c>
      <c r="E153" s="8" t="s">
        <v>733</v>
      </c>
      <c r="F153" s="9" t="s">
        <v>1165</v>
      </c>
      <c r="G153" s="10" t="s">
        <v>1189</v>
      </c>
      <c r="H153" s="10" t="s">
        <v>1190</v>
      </c>
      <c r="I153" s="7" t="s">
        <v>451</v>
      </c>
      <c r="J153" s="12" t="s">
        <v>1191</v>
      </c>
      <c r="K153" s="13">
        <v>43439</v>
      </c>
      <c r="L153" s="26">
        <v>43621</v>
      </c>
      <c r="M153" s="14">
        <f t="shared" si="246"/>
        <v>85.000001224772731</v>
      </c>
      <c r="N153" s="7">
        <v>1</v>
      </c>
      <c r="O153" s="7" t="s">
        <v>226</v>
      </c>
      <c r="P153" s="7" t="s">
        <v>226</v>
      </c>
      <c r="Q153" s="30" t="s">
        <v>213</v>
      </c>
      <c r="R153" s="7" t="s">
        <v>36</v>
      </c>
      <c r="S153" s="27">
        <f t="shared" si="249"/>
        <v>694006.31</v>
      </c>
      <c r="T153" s="27">
        <v>694006.31</v>
      </c>
      <c r="U153" s="27">
        <v>0</v>
      </c>
      <c r="V153" s="18">
        <f t="shared" si="224"/>
        <v>106142.13</v>
      </c>
      <c r="W153" s="27">
        <v>106142.13</v>
      </c>
      <c r="X153" s="27">
        <v>0</v>
      </c>
      <c r="Y153" s="81">
        <f t="shared" si="248"/>
        <v>16329.56</v>
      </c>
      <c r="Z153" s="27">
        <v>16329.56</v>
      </c>
      <c r="AA153" s="27">
        <v>0</v>
      </c>
      <c r="AB153" s="16">
        <f t="shared" si="250"/>
        <v>0</v>
      </c>
      <c r="AC153" s="27">
        <v>0</v>
      </c>
      <c r="AD153" s="27">
        <v>0</v>
      </c>
      <c r="AE153" s="16">
        <f t="shared" si="251"/>
        <v>816478.00000000012</v>
      </c>
      <c r="AF153" s="27">
        <v>0</v>
      </c>
      <c r="AG153" s="16">
        <f t="shared" ref="AG153:AG154" si="252">AE153+AF153</f>
        <v>816478.00000000012</v>
      </c>
      <c r="AH153" s="20" t="s">
        <v>615</v>
      </c>
      <c r="AI153" s="21"/>
      <c r="AJ153" s="23">
        <v>0</v>
      </c>
      <c r="AK153" s="23">
        <v>0</v>
      </c>
    </row>
    <row r="154" spans="1:37" s="165" customFormat="1" ht="157.5" x14ac:dyDescent="0.25">
      <c r="A154" s="7">
        <v>148</v>
      </c>
      <c r="B154" s="7">
        <v>126350</v>
      </c>
      <c r="C154" s="7">
        <v>570</v>
      </c>
      <c r="D154" s="7" t="s">
        <v>175</v>
      </c>
      <c r="E154" s="8" t="s">
        <v>733</v>
      </c>
      <c r="F154" s="9" t="s">
        <v>1165</v>
      </c>
      <c r="G154" s="10" t="s">
        <v>1398</v>
      </c>
      <c r="H154" s="10" t="s">
        <v>1190</v>
      </c>
      <c r="I154" s="7" t="s">
        <v>451</v>
      </c>
      <c r="J154" s="12" t="s">
        <v>1399</v>
      </c>
      <c r="K154" s="13">
        <v>43564</v>
      </c>
      <c r="L154" s="26">
        <v>44386</v>
      </c>
      <c r="M154" s="14">
        <f t="shared" si="246"/>
        <v>84.999999916591278</v>
      </c>
      <c r="N154" s="7">
        <v>1</v>
      </c>
      <c r="O154" s="7" t="s">
        <v>226</v>
      </c>
      <c r="P154" s="7" t="s">
        <v>226</v>
      </c>
      <c r="Q154" s="30" t="s">
        <v>213</v>
      </c>
      <c r="R154" s="7" t="s">
        <v>1400</v>
      </c>
      <c r="S154" s="27">
        <f t="shared" si="249"/>
        <v>2038156.45</v>
      </c>
      <c r="T154" s="27">
        <v>2038156.45</v>
      </c>
      <c r="U154" s="27">
        <v>0</v>
      </c>
      <c r="V154" s="18">
        <f t="shared" si="224"/>
        <v>311718.05</v>
      </c>
      <c r="W154" s="27">
        <v>311718.05</v>
      </c>
      <c r="X154" s="27"/>
      <c r="Y154" s="81">
        <f t="shared" si="248"/>
        <v>47956.62</v>
      </c>
      <c r="Z154" s="27">
        <v>47956.62</v>
      </c>
      <c r="AA154" s="27">
        <v>0</v>
      </c>
      <c r="AB154" s="16">
        <f t="shared" si="250"/>
        <v>0</v>
      </c>
      <c r="AC154" s="27"/>
      <c r="AD154" s="27"/>
      <c r="AE154" s="16">
        <f t="shared" si="251"/>
        <v>2397831.12</v>
      </c>
      <c r="AF154" s="27">
        <v>35700</v>
      </c>
      <c r="AG154" s="16">
        <f t="shared" si="252"/>
        <v>2433531.12</v>
      </c>
      <c r="AH154" s="20" t="s">
        <v>615</v>
      </c>
      <c r="AI154" s="21"/>
      <c r="AJ154" s="23">
        <v>0</v>
      </c>
      <c r="AK154" s="23">
        <v>0</v>
      </c>
    </row>
    <row r="155" spans="1:37" s="165" customFormat="1" ht="409.5" x14ac:dyDescent="0.25">
      <c r="A155" s="7">
        <v>149</v>
      </c>
      <c r="B155" s="7">
        <v>118788</v>
      </c>
      <c r="C155" s="11">
        <v>445</v>
      </c>
      <c r="D155" s="7" t="s">
        <v>873</v>
      </c>
      <c r="E155" s="8" t="s">
        <v>733</v>
      </c>
      <c r="F155" s="10" t="s">
        <v>640</v>
      </c>
      <c r="G155" s="10" t="s">
        <v>944</v>
      </c>
      <c r="H155" s="7" t="s">
        <v>945</v>
      </c>
      <c r="I155" s="7" t="s">
        <v>185</v>
      </c>
      <c r="J155" s="10" t="s">
        <v>946</v>
      </c>
      <c r="K155" s="13">
        <v>43325</v>
      </c>
      <c r="L155" s="26">
        <v>43690</v>
      </c>
      <c r="M155" s="7">
        <f t="shared" si="246"/>
        <v>85.000001253240569</v>
      </c>
      <c r="N155" s="7">
        <v>2</v>
      </c>
      <c r="O155" s="7" t="s">
        <v>463</v>
      </c>
      <c r="P155" s="7" t="s">
        <v>947</v>
      </c>
      <c r="Q155" s="7" t="s">
        <v>213</v>
      </c>
      <c r="R155" s="7" t="s">
        <v>36</v>
      </c>
      <c r="S155" s="23">
        <f>T155+U155</f>
        <v>339120.85</v>
      </c>
      <c r="T155" s="23">
        <v>339120.85</v>
      </c>
      <c r="U155" s="31">
        <v>0</v>
      </c>
      <c r="V155" s="23">
        <f>W155+X155</f>
        <v>51865.54</v>
      </c>
      <c r="W155" s="23">
        <v>51865.54</v>
      </c>
      <c r="X155" s="31">
        <v>0</v>
      </c>
      <c r="Y155" s="23">
        <f>Z155+AA155</f>
        <v>7979.31</v>
      </c>
      <c r="Z155" s="23">
        <v>7979.31</v>
      </c>
      <c r="AA155" s="23">
        <v>0</v>
      </c>
      <c r="AB155" s="16">
        <f>AC155+AD155</f>
        <v>0</v>
      </c>
      <c r="AC155" s="31"/>
      <c r="AD155" s="31"/>
      <c r="AE155" s="16">
        <f t="shared" si="214"/>
        <v>398965.69999999995</v>
      </c>
      <c r="AF155" s="63"/>
      <c r="AG155" s="16">
        <f t="shared" si="225"/>
        <v>398965.69999999995</v>
      </c>
      <c r="AH155" s="20" t="s">
        <v>615</v>
      </c>
      <c r="AI155" s="63" t="s">
        <v>185</v>
      </c>
      <c r="AJ155" s="23">
        <f>74317.96+82151.06</f>
        <v>156469.02000000002</v>
      </c>
      <c r="AK155" s="23">
        <f>11366.28+12564.27</f>
        <v>23930.550000000003</v>
      </c>
    </row>
    <row r="156" spans="1:37" s="165" customFormat="1" ht="252" x14ac:dyDescent="0.25">
      <c r="A156" s="7">
        <v>150</v>
      </c>
      <c r="B156" s="7">
        <v>125665</v>
      </c>
      <c r="C156" s="11">
        <v>557</v>
      </c>
      <c r="D156" s="7" t="s">
        <v>174</v>
      </c>
      <c r="E156" s="8" t="s">
        <v>998</v>
      </c>
      <c r="F156" s="10" t="s">
        <v>1165</v>
      </c>
      <c r="G156" s="10" t="s">
        <v>1166</v>
      </c>
      <c r="H156" s="7" t="s">
        <v>945</v>
      </c>
      <c r="I156" s="7" t="s">
        <v>185</v>
      </c>
      <c r="J156" s="10" t="s">
        <v>1167</v>
      </c>
      <c r="K156" s="13">
        <v>43425</v>
      </c>
      <c r="L156" s="26">
        <v>44248</v>
      </c>
      <c r="M156" s="7">
        <f t="shared" ref="M156" si="253">S156/AE156*100</f>
        <v>84.999999890649349</v>
      </c>
      <c r="N156" s="7">
        <v>2</v>
      </c>
      <c r="O156" s="7" t="s">
        <v>463</v>
      </c>
      <c r="P156" s="7" t="s">
        <v>947</v>
      </c>
      <c r="Q156" s="7" t="s">
        <v>213</v>
      </c>
      <c r="R156" s="7" t="s">
        <v>36</v>
      </c>
      <c r="S156" s="23">
        <f>T156+U156</f>
        <v>3497921.5</v>
      </c>
      <c r="T156" s="23">
        <v>3497921.5</v>
      </c>
      <c r="U156" s="31">
        <v>0</v>
      </c>
      <c r="V156" s="23">
        <f>W156+X156</f>
        <v>534976.2300000001</v>
      </c>
      <c r="W156" s="23">
        <v>534976.2300000001</v>
      </c>
      <c r="X156" s="31">
        <v>0</v>
      </c>
      <c r="Y156" s="23">
        <f>Z156+AA156</f>
        <v>82304.039999999994</v>
      </c>
      <c r="Z156" s="23">
        <v>82304.039999999994</v>
      </c>
      <c r="AA156" s="23">
        <v>0</v>
      </c>
      <c r="AB156" s="16">
        <f>AC156+AD156</f>
        <v>0</v>
      </c>
      <c r="AC156" s="19">
        <v>0</v>
      </c>
      <c r="AD156" s="19">
        <v>0</v>
      </c>
      <c r="AE156" s="16">
        <f t="shared" ref="AE156" si="254">S156+V156+Y156+AB156</f>
        <v>4115201.77</v>
      </c>
      <c r="AF156" s="63">
        <v>114240</v>
      </c>
      <c r="AG156" s="16">
        <f t="shared" ref="AG156" si="255">AE156+AF156</f>
        <v>4229441.7699999996</v>
      </c>
      <c r="AH156" s="20" t="s">
        <v>615</v>
      </c>
      <c r="AI156" s="63" t="s">
        <v>185</v>
      </c>
      <c r="AJ156" s="23">
        <v>0</v>
      </c>
      <c r="AK156" s="23">
        <v>0</v>
      </c>
    </row>
    <row r="157" spans="1:37" s="165" customFormat="1" ht="220.5" x14ac:dyDescent="0.25">
      <c r="A157" s="7">
        <v>151</v>
      </c>
      <c r="B157" s="7">
        <v>126354</v>
      </c>
      <c r="C157" s="11">
        <v>491</v>
      </c>
      <c r="D157" s="7" t="s">
        <v>163</v>
      </c>
      <c r="E157" s="8" t="s">
        <v>1298</v>
      </c>
      <c r="F157" s="10" t="s">
        <v>1297</v>
      </c>
      <c r="G157" s="10" t="s">
        <v>1296</v>
      </c>
      <c r="H157" s="7" t="s">
        <v>1295</v>
      </c>
      <c r="I157" s="7" t="s">
        <v>185</v>
      </c>
      <c r="J157" s="10" t="s">
        <v>1299</v>
      </c>
      <c r="K157" s="13">
        <v>43515</v>
      </c>
      <c r="L157" s="26">
        <v>44246</v>
      </c>
      <c r="M157" s="7">
        <f t="shared" ref="M157:M163" si="256">S157/AE157*100</f>
        <v>83.300000282457262</v>
      </c>
      <c r="N157" s="7" t="s">
        <v>1307</v>
      </c>
      <c r="O157" s="7" t="s">
        <v>1306</v>
      </c>
      <c r="P157" s="7" t="s">
        <v>1306</v>
      </c>
      <c r="Q157" s="7" t="s">
        <v>356</v>
      </c>
      <c r="R157" s="7" t="s">
        <v>36</v>
      </c>
      <c r="S157" s="23">
        <f>T157+U157</f>
        <v>2064383.09</v>
      </c>
      <c r="T157" s="23">
        <v>2064383.09</v>
      </c>
      <c r="U157" s="31">
        <v>0</v>
      </c>
      <c r="V157" s="23">
        <f>W157+X157</f>
        <v>364302.89</v>
      </c>
      <c r="W157" s="23">
        <v>364302.89</v>
      </c>
      <c r="X157" s="31">
        <v>0</v>
      </c>
      <c r="Y157" s="23">
        <f>Z157+AA157</f>
        <v>0</v>
      </c>
      <c r="Z157" s="23">
        <v>0</v>
      </c>
      <c r="AA157" s="23">
        <v>0</v>
      </c>
      <c r="AB157" s="16">
        <f>AC157+AD157</f>
        <v>49565.02</v>
      </c>
      <c r="AC157" s="19">
        <v>49565.02</v>
      </c>
      <c r="AD157" s="19">
        <v>0</v>
      </c>
      <c r="AE157" s="16">
        <f t="shared" ref="AE157:AE163" si="257">S157+V157+Y157+AB157</f>
        <v>2478251</v>
      </c>
      <c r="AF157" s="16">
        <v>0</v>
      </c>
      <c r="AG157" s="16">
        <f t="shared" ref="AG157:AG163" si="258">AE157+AF157</f>
        <v>2478251</v>
      </c>
      <c r="AH157" s="20" t="s">
        <v>615</v>
      </c>
      <c r="AI157" s="63" t="s">
        <v>185</v>
      </c>
      <c r="AJ157" s="23">
        <v>247825</v>
      </c>
      <c r="AK157" s="23">
        <v>0</v>
      </c>
    </row>
    <row r="158" spans="1:37" s="178" customFormat="1" ht="220.5" x14ac:dyDescent="0.25">
      <c r="A158" s="7">
        <v>152</v>
      </c>
      <c r="B158" s="7">
        <v>126532</v>
      </c>
      <c r="C158" s="11">
        <v>500</v>
      </c>
      <c r="D158" s="7" t="s">
        <v>163</v>
      </c>
      <c r="E158" s="8" t="s">
        <v>1298</v>
      </c>
      <c r="F158" s="10" t="s">
        <v>1297</v>
      </c>
      <c r="G158" s="10" t="s">
        <v>1302</v>
      </c>
      <c r="H158" s="7" t="s">
        <v>1301</v>
      </c>
      <c r="I158" s="7" t="s">
        <v>185</v>
      </c>
      <c r="J158" s="34" t="s">
        <v>1303</v>
      </c>
      <c r="K158" s="13">
        <v>43516</v>
      </c>
      <c r="L158" s="26">
        <v>44247</v>
      </c>
      <c r="M158" s="7">
        <f t="shared" si="256"/>
        <v>83.299999838210468</v>
      </c>
      <c r="N158" s="7" t="s">
        <v>1304</v>
      </c>
      <c r="O158" s="11" t="s">
        <v>1305</v>
      </c>
      <c r="P158" s="11" t="s">
        <v>1305</v>
      </c>
      <c r="Q158" s="7" t="s">
        <v>356</v>
      </c>
      <c r="R158" s="7" t="s">
        <v>36</v>
      </c>
      <c r="S158" s="23">
        <f>T158+U158</f>
        <v>2059465.88</v>
      </c>
      <c r="T158" s="16">
        <v>2059465.88</v>
      </c>
      <c r="U158" s="16">
        <v>0</v>
      </c>
      <c r="V158" s="23">
        <f>W158+X158</f>
        <v>363435.16</v>
      </c>
      <c r="W158" s="16">
        <v>363435.16</v>
      </c>
      <c r="X158" s="16">
        <v>0</v>
      </c>
      <c r="Y158" s="23">
        <f t="shared" ref="Y158:Y163" si="259">Z158+AA158</f>
        <v>0</v>
      </c>
      <c r="Z158" s="16">
        <v>0</v>
      </c>
      <c r="AA158" s="16">
        <v>0</v>
      </c>
      <c r="AB158" s="16">
        <f t="shared" ref="AB158:AB163" si="260">AC158+AD158</f>
        <v>49446.96</v>
      </c>
      <c r="AC158" s="16">
        <v>49446.96</v>
      </c>
      <c r="AD158" s="16">
        <v>0</v>
      </c>
      <c r="AE158" s="16">
        <f t="shared" si="257"/>
        <v>2472348</v>
      </c>
      <c r="AF158" s="16">
        <v>0</v>
      </c>
      <c r="AG158" s="16">
        <f t="shared" si="258"/>
        <v>2472348</v>
      </c>
      <c r="AH158" s="20" t="s">
        <v>901</v>
      </c>
      <c r="AI158" s="21" t="s">
        <v>185</v>
      </c>
      <c r="AJ158" s="39">
        <v>247230</v>
      </c>
      <c r="AK158" s="23">
        <v>0</v>
      </c>
    </row>
    <row r="159" spans="1:37" s="178" customFormat="1" ht="220.5" x14ac:dyDescent="0.25">
      <c r="A159" s="7">
        <v>153</v>
      </c>
      <c r="B159" s="7">
        <v>125435</v>
      </c>
      <c r="C159" s="11">
        <v>493</v>
      </c>
      <c r="D159" s="7" t="s">
        <v>163</v>
      </c>
      <c r="E159" s="8" t="s">
        <v>1298</v>
      </c>
      <c r="F159" s="10" t="s">
        <v>1297</v>
      </c>
      <c r="G159" s="10" t="s">
        <v>1326</v>
      </c>
      <c r="H159" s="7" t="s">
        <v>1327</v>
      </c>
      <c r="I159" s="7" t="s">
        <v>185</v>
      </c>
      <c r="J159" s="34" t="s">
        <v>1328</v>
      </c>
      <c r="K159" s="13">
        <v>43531</v>
      </c>
      <c r="L159" s="26">
        <v>44507</v>
      </c>
      <c r="M159" s="7">
        <f>S159/AE159*100</f>
        <v>83.30000027566841</v>
      </c>
      <c r="N159" s="7" t="s">
        <v>1329</v>
      </c>
      <c r="O159" s="11" t="s">
        <v>1330</v>
      </c>
      <c r="P159" s="11" t="s">
        <v>1330</v>
      </c>
      <c r="Q159" s="7" t="s">
        <v>356</v>
      </c>
      <c r="R159" s="7" t="s">
        <v>36</v>
      </c>
      <c r="S159" s="23">
        <f t="shared" ref="S159:S160" si="261">T159+U159</f>
        <v>1813047.83</v>
      </c>
      <c r="T159" s="16">
        <v>1813047.83</v>
      </c>
      <c r="U159" s="16">
        <v>0</v>
      </c>
      <c r="V159" s="23">
        <f t="shared" ref="V159:V160" si="262">W159+X159</f>
        <v>319949.61</v>
      </c>
      <c r="W159" s="16">
        <v>319949.61</v>
      </c>
      <c r="X159" s="16">
        <v>0</v>
      </c>
      <c r="Y159" s="23">
        <f t="shared" si="259"/>
        <v>0</v>
      </c>
      <c r="Z159" s="16">
        <v>0</v>
      </c>
      <c r="AA159" s="16">
        <v>0</v>
      </c>
      <c r="AB159" s="16">
        <f t="shared" si="260"/>
        <v>43530.559999999998</v>
      </c>
      <c r="AC159" s="16">
        <v>43530.559999999998</v>
      </c>
      <c r="AD159" s="16">
        <v>0</v>
      </c>
      <c r="AE159" s="16">
        <f t="shared" si="257"/>
        <v>2176528</v>
      </c>
      <c r="AF159" s="16">
        <v>0</v>
      </c>
      <c r="AG159" s="16">
        <f t="shared" si="258"/>
        <v>2176528</v>
      </c>
      <c r="AH159" s="20" t="s">
        <v>901</v>
      </c>
      <c r="AI159" s="21" t="s">
        <v>185</v>
      </c>
      <c r="AJ159" s="39">
        <v>181814</v>
      </c>
      <c r="AK159" s="23">
        <v>0</v>
      </c>
    </row>
    <row r="160" spans="1:37" s="178" customFormat="1" ht="157.5" x14ac:dyDescent="0.25">
      <c r="A160" s="7">
        <v>154</v>
      </c>
      <c r="B160" s="7">
        <v>126388</v>
      </c>
      <c r="C160" s="11">
        <v>494</v>
      </c>
      <c r="D160" s="7" t="s">
        <v>163</v>
      </c>
      <c r="E160" s="8" t="s">
        <v>1298</v>
      </c>
      <c r="F160" s="10" t="s">
        <v>1297</v>
      </c>
      <c r="G160" s="10" t="s">
        <v>1331</v>
      </c>
      <c r="H160" s="7" t="s">
        <v>1332</v>
      </c>
      <c r="I160" s="7" t="s">
        <v>185</v>
      </c>
      <c r="J160" s="34" t="s">
        <v>1333</v>
      </c>
      <c r="K160" s="13">
        <v>43531</v>
      </c>
      <c r="L160" s="26">
        <v>44262</v>
      </c>
      <c r="M160" s="7">
        <f>S160/AE160*100</f>
        <v>83.300001414159638</v>
      </c>
      <c r="N160" s="7">
        <v>3</v>
      </c>
      <c r="O160" s="11" t="s">
        <v>1334</v>
      </c>
      <c r="P160" s="11" t="s">
        <v>1334</v>
      </c>
      <c r="Q160" s="7" t="s">
        <v>356</v>
      </c>
      <c r="R160" s="7" t="s">
        <v>36</v>
      </c>
      <c r="S160" s="23">
        <f t="shared" si="261"/>
        <v>2043977.2</v>
      </c>
      <c r="T160" s="16">
        <v>2043977.2</v>
      </c>
      <c r="U160" s="16">
        <v>0</v>
      </c>
      <c r="V160" s="23">
        <f t="shared" si="262"/>
        <v>360701.81</v>
      </c>
      <c r="W160" s="16">
        <v>360701.81</v>
      </c>
      <c r="X160" s="16">
        <v>0</v>
      </c>
      <c r="Y160" s="23">
        <f t="shared" si="259"/>
        <v>0</v>
      </c>
      <c r="Z160" s="16">
        <v>0</v>
      </c>
      <c r="AA160" s="16">
        <v>0</v>
      </c>
      <c r="AB160" s="16">
        <f t="shared" si="260"/>
        <v>49075.09</v>
      </c>
      <c r="AC160" s="16">
        <v>49075.09</v>
      </c>
      <c r="AD160" s="16">
        <v>0</v>
      </c>
      <c r="AE160" s="16">
        <f t="shared" si="257"/>
        <v>2453754.0999999996</v>
      </c>
      <c r="AF160" s="16">
        <v>0</v>
      </c>
      <c r="AG160" s="16">
        <f t="shared" si="258"/>
        <v>2453754.0999999996</v>
      </c>
      <c r="AH160" s="20" t="s">
        <v>901</v>
      </c>
      <c r="AI160" s="21" t="s">
        <v>185</v>
      </c>
      <c r="AJ160" s="39">
        <v>240400</v>
      </c>
      <c r="AK160" s="23">
        <v>0</v>
      </c>
    </row>
    <row r="161" spans="1:37" s="178" customFormat="1" ht="252" x14ac:dyDescent="0.25">
      <c r="A161" s="7">
        <v>155</v>
      </c>
      <c r="B161" s="7">
        <v>126511</v>
      </c>
      <c r="C161" s="11">
        <v>499</v>
      </c>
      <c r="D161" s="7" t="s">
        <v>163</v>
      </c>
      <c r="E161" s="8" t="s">
        <v>1298</v>
      </c>
      <c r="F161" s="10" t="s">
        <v>1297</v>
      </c>
      <c r="G161" s="10" t="s">
        <v>1337</v>
      </c>
      <c r="H161" s="10" t="s">
        <v>1338</v>
      </c>
      <c r="I161" s="7" t="s">
        <v>185</v>
      </c>
      <c r="J161" s="34" t="s">
        <v>1341</v>
      </c>
      <c r="K161" s="13">
        <v>43535</v>
      </c>
      <c r="L161" s="26">
        <v>44266</v>
      </c>
      <c r="M161" s="7">
        <f t="shared" si="256"/>
        <v>83.300000000000011</v>
      </c>
      <c r="N161" s="7" t="s">
        <v>1340</v>
      </c>
      <c r="O161" s="7" t="s">
        <v>1339</v>
      </c>
      <c r="P161" s="7" t="s">
        <v>1339</v>
      </c>
      <c r="Q161" s="7" t="s">
        <v>356</v>
      </c>
      <c r="R161" s="7" t="s">
        <v>36</v>
      </c>
      <c r="S161" s="23">
        <f t="shared" ref="S161:S163" si="263">T161+U161</f>
        <v>2060383.85</v>
      </c>
      <c r="T161" s="16">
        <v>2060383.85</v>
      </c>
      <c r="U161" s="16">
        <v>0</v>
      </c>
      <c r="V161" s="23">
        <f t="shared" ref="V161:V163" si="264">W161+X161</f>
        <v>363597.15</v>
      </c>
      <c r="W161" s="16">
        <v>363597.15</v>
      </c>
      <c r="X161" s="16">
        <v>0</v>
      </c>
      <c r="Y161" s="23">
        <f t="shared" si="259"/>
        <v>0</v>
      </c>
      <c r="Z161" s="16">
        <v>0</v>
      </c>
      <c r="AA161" s="16">
        <v>0</v>
      </c>
      <c r="AB161" s="16">
        <f t="shared" si="260"/>
        <v>49469</v>
      </c>
      <c r="AC161" s="16">
        <v>49469</v>
      </c>
      <c r="AD161" s="16">
        <v>0</v>
      </c>
      <c r="AE161" s="16">
        <f t="shared" si="257"/>
        <v>2473450</v>
      </c>
      <c r="AF161" s="16">
        <v>0</v>
      </c>
      <c r="AG161" s="16">
        <f t="shared" si="258"/>
        <v>2473450</v>
      </c>
      <c r="AH161" s="20" t="s">
        <v>901</v>
      </c>
      <c r="AI161" s="21" t="s">
        <v>185</v>
      </c>
      <c r="AJ161" s="39">
        <v>247345</v>
      </c>
      <c r="AK161" s="23">
        <v>0</v>
      </c>
    </row>
    <row r="162" spans="1:37" s="165" customFormat="1" ht="267.75" x14ac:dyDescent="0.25">
      <c r="A162" s="7">
        <v>156</v>
      </c>
      <c r="B162" s="7">
        <v>126528</v>
      </c>
      <c r="C162" s="11">
        <v>496</v>
      </c>
      <c r="D162" s="7" t="s">
        <v>163</v>
      </c>
      <c r="E162" s="8" t="s">
        <v>1298</v>
      </c>
      <c r="F162" s="10" t="s">
        <v>1297</v>
      </c>
      <c r="G162" s="8" t="s">
        <v>1363</v>
      </c>
      <c r="H162" s="8" t="s">
        <v>1362</v>
      </c>
      <c r="I162" s="7" t="s">
        <v>1369</v>
      </c>
      <c r="J162" s="106" t="s">
        <v>1366</v>
      </c>
      <c r="K162" s="13">
        <v>43552</v>
      </c>
      <c r="L162" s="26">
        <v>44283</v>
      </c>
      <c r="M162" s="7">
        <f t="shared" si="256"/>
        <v>83.538686217523377</v>
      </c>
      <c r="N162" s="11" t="s">
        <v>1364</v>
      </c>
      <c r="O162" s="11" t="s">
        <v>1365</v>
      </c>
      <c r="P162" s="11" t="s">
        <v>1365</v>
      </c>
      <c r="Q162" s="7" t="s">
        <v>356</v>
      </c>
      <c r="R162" s="7" t="s">
        <v>36</v>
      </c>
      <c r="S162" s="23">
        <f t="shared" si="263"/>
        <v>1949308.98</v>
      </c>
      <c r="T162" s="72">
        <v>1949308.98</v>
      </c>
      <c r="U162" s="97">
        <v>0</v>
      </c>
      <c r="V162" s="23">
        <f t="shared" si="264"/>
        <v>337443.27</v>
      </c>
      <c r="W162" s="72">
        <v>337443.27</v>
      </c>
      <c r="X162" s="97">
        <v>0</v>
      </c>
      <c r="Y162" s="23">
        <f t="shared" si="259"/>
        <v>6552.42</v>
      </c>
      <c r="Z162" s="72">
        <v>6552.42</v>
      </c>
      <c r="AA162" s="97">
        <v>0</v>
      </c>
      <c r="AB162" s="16">
        <f t="shared" si="260"/>
        <v>40116.009999999995</v>
      </c>
      <c r="AC162" s="72">
        <f>23632.16+16483.85</f>
        <v>40116.009999999995</v>
      </c>
      <c r="AD162" s="97">
        <v>0</v>
      </c>
      <c r="AE162" s="16">
        <f t="shared" si="257"/>
        <v>2333420.6799999997</v>
      </c>
      <c r="AF162" s="63">
        <v>0</v>
      </c>
      <c r="AG162" s="16">
        <f t="shared" si="258"/>
        <v>2333420.6799999997</v>
      </c>
      <c r="AH162" s="20" t="s">
        <v>901</v>
      </c>
      <c r="AI162" s="63" t="s">
        <v>185</v>
      </c>
      <c r="AJ162" s="39">
        <v>233342.06</v>
      </c>
      <c r="AK162" s="39">
        <v>0</v>
      </c>
    </row>
    <row r="163" spans="1:37" s="165" customFormat="1" ht="157.5" x14ac:dyDescent="0.25">
      <c r="A163" s="7">
        <v>157</v>
      </c>
      <c r="B163" s="7">
        <v>126480</v>
      </c>
      <c r="C163" s="11">
        <v>495</v>
      </c>
      <c r="D163" s="7" t="s">
        <v>163</v>
      </c>
      <c r="E163" s="8" t="s">
        <v>1298</v>
      </c>
      <c r="F163" s="10" t="s">
        <v>1297</v>
      </c>
      <c r="G163" s="8" t="s">
        <v>1372</v>
      </c>
      <c r="H163" s="8" t="s">
        <v>1373</v>
      </c>
      <c r="I163" s="7" t="s">
        <v>185</v>
      </c>
      <c r="J163" s="106" t="s">
        <v>1374</v>
      </c>
      <c r="K163" s="13">
        <v>43553</v>
      </c>
      <c r="L163" s="26">
        <v>43919</v>
      </c>
      <c r="M163" s="7">
        <f t="shared" si="256"/>
        <v>83.300002424250337</v>
      </c>
      <c r="N163" s="7">
        <v>6</v>
      </c>
      <c r="O163" s="184" t="s">
        <v>223</v>
      </c>
      <c r="P163" s="184" t="s">
        <v>223</v>
      </c>
      <c r="Q163" s="7" t="s">
        <v>356</v>
      </c>
      <c r="R163" s="7" t="s">
        <v>36</v>
      </c>
      <c r="S163" s="23">
        <f t="shared" si="263"/>
        <v>876896.26</v>
      </c>
      <c r="T163" s="72">
        <v>876896.26</v>
      </c>
      <c r="U163" s="97">
        <v>0</v>
      </c>
      <c r="V163" s="23">
        <f t="shared" si="264"/>
        <v>154746.38</v>
      </c>
      <c r="W163" s="72">
        <v>154746.38</v>
      </c>
      <c r="X163" s="97">
        <v>0</v>
      </c>
      <c r="Y163" s="23">
        <f t="shared" si="259"/>
        <v>0</v>
      </c>
      <c r="Z163" s="97">
        <v>0</v>
      </c>
      <c r="AA163" s="97">
        <v>0</v>
      </c>
      <c r="AB163" s="16">
        <f t="shared" si="260"/>
        <v>21053.919999999998</v>
      </c>
      <c r="AC163" s="72">
        <v>21053.919999999998</v>
      </c>
      <c r="AD163" s="97">
        <v>0</v>
      </c>
      <c r="AE163" s="16">
        <f t="shared" si="257"/>
        <v>1052696.56</v>
      </c>
      <c r="AF163" s="63">
        <v>0</v>
      </c>
      <c r="AG163" s="16">
        <f t="shared" si="258"/>
        <v>1052696.56</v>
      </c>
      <c r="AH163" s="20" t="s">
        <v>901</v>
      </c>
      <c r="AI163" s="63"/>
      <c r="AJ163" s="28">
        <v>105000</v>
      </c>
      <c r="AK163" s="22">
        <v>0</v>
      </c>
    </row>
    <row r="164" spans="1:37" s="178" customFormat="1" ht="267.75" x14ac:dyDescent="0.25">
      <c r="A164" s="7">
        <v>158</v>
      </c>
      <c r="B164" s="7">
        <v>119193</v>
      </c>
      <c r="C164" s="11">
        <v>2</v>
      </c>
      <c r="D164" s="7" t="s">
        <v>172</v>
      </c>
      <c r="E164" s="11" t="s">
        <v>165</v>
      </c>
      <c r="F164" s="9" t="s">
        <v>125</v>
      </c>
      <c r="G164" s="10" t="s">
        <v>37</v>
      </c>
      <c r="H164" s="10" t="s">
        <v>35</v>
      </c>
      <c r="I164" s="7" t="s">
        <v>185</v>
      </c>
      <c r="J164" s="34" t="s">
        <v>38</v>
      </c>
      <c r="K164" s="13">
        <v>42459</v>
      </c>
      <c r="L164" s="26">
        <v>43373</v>
      </c>
      <c r="M164" s="14">
        <f>S164/AE164*100</f>
        <v>83.983862816086358</v>
      </c>
      <c r="N164" s="7" t="s">
        <v>155</v>
      </c>
      <c r="O164" s="7" t="s">
        <v>156</v>
      </c>
      <c r="P164" s="7" t="s">
        <v>156</v>
      </c>
      <c r="Q164" s="30" t="s">
        <v>157</v>
      </c>
      <c r="R164" s="7" t="s">
        <v>36</v>
      </c>
      <c r="S164" s="16">
        <f>T164+U164</f>
        <v>11141147.18</v>
      </c>
      <c r="T164" s="16">
        <v>8984364.5299999993</v>
      </c>
      <c r="U164" s="16">
        <v>2156782.65</v>
      </c>
      <c r="V164" s="16">
        <f>W164+X164</f>
        <v>0</v>
      </c>
      <c r="W164" s="16">
        <v>0</v>
      </c>
      <c r="X164" s="16">
        <v>0</v>
      </c>
      <c r="Y164" s="16">
        <f>Z164+AA164</f>
        <v>2124671.7600000002</v>
      </c>
      <c r="Z164" s="16">
        <v>1585476.09</v>
      </c>
      <c r="AA164" s="16">
        <v>539195.67000000004</v>
      </c>
      <c r="AB164" s="16">
        <f t="shared" si="223"/>
        <v>0</v>
      </c>
      <c r="AC164" s="16"/>
      <c r="AD164" s="16"/>
      <c r="AE164" s="16">
        <f t="shared" si="214"/>
        <v>13265818.939999999</v>
      </c>
      <c r="AF164" s="16">
        <v>0</v>
      </c>
      <c r="AG164" s="16">
        <f t="shared" si="225"/>
        <v>13265818.939999999</v>
      </c>
      <c r="AH164" s="20" t="s">
        <v>1103</v>
      </c>
      <c r="AI164" s="21" t="s">
        <v>357</v>
      </c>
      <c r="AJ164" s="39">
        <f>8636594.63+2463862.74+15076.78</f>
        <v>11115534.15</v>
      </c>
      <c r="AK164" s="23">
        <v>0</v>
      </c>
    </row>
    <row r="165" spans="1:37" s="165" customFormat="1" ht="204.75" x14ac:dyDescent="0.25">
      <c r="A165" s="7">
        <v>159</v>
      </c>
      <c r="B165" s="7">
        <v>117842</v>
      </c>
      <c r="C165" s="11">
        <v>3</v>
      </c>
      <c r="D165" s="7" t="s">
        <v>172</v>
      </c>
      <c r="E165" s="11" t="s">
        <v>165</v>
      </c>
      <c r="F165" s="107" t="s">
        <v>125</v>
      </c>
      <c r="G165" s="10" t="s">
        <v>40</v>
      </c>
      <c r="H165" s="10" t="s">
        <v>39</v>
      </c>
      <c r="I165" s="7" t="s">
        <v>197</v>
      </c>
      <c r="J165" s="34" t="s">
        <v>41</v>
      </c>
      <c r="K165" s="13">
        <v>42534</v>
      </c>
      <c r="L165" s="26">
        <v>43585</v>
      </c>
      <c r="M165" s="14">
        <f t="shared" ref="M165:M228" si="265">S165/AE165*100</f>
        <v>83.983864495221582</v>
      </c>
      <c r="N165" s="7" t="s">
        <v>155</v>
      </c>
      <c r="O165" s="7" t="s">
        <v>156</v>
      </c>
      <c r="P165" s="7" t="s">
        <v>156</v>
      </c>
      <c r="Q165" s="30" t="s">
        <v>157</v>
      </c>
      <c r="R165" s="7" t="s">
        <v>36</v>
      </c>
      <c r="S165" s="16">
        <f>T165+U165</f>
        <v>15396417.879999999</v>
      </c>
      <c r="T165" s="16">
        <v>12415869.539999999</v>
      </c>
      <c r="U165" s="16">
        <v>2980548.34</v>
      </c>
      <c r="V165" s="16">
        <f t="shared" ref="V165:V228" si="266">W165+X165</f>
        <v>0</v>
      </c>
      <c r="W165" s="16">
        <v>0</v>
      </c>
      <c r="X165" s="16">
        <v>0</v>
      </c>
      <c r="Y165" s="16">
        <f>Z165+AA165</f>
        <v>2936172.52</v>
      </c>
      <c r="Z165" s="16">
        <v>2191035.59</v>
      </c>
      <c r="AA165" s="16">
        <v>745136.93</v>
      </c>
      <c r="AB165" s="16">
        <f t="shared" si="223"/>
        <v>0</v>
      </c>
      <c r="AC165" s="16"/>
      <c r="AD165" s="16"/>
      <c r="AE165" s="16">
        <f t="shared" si="214"/>
        <v>18332590.399999999</v>
      </c>
      <c r="AF165" s="16">
        <v>0</v>
      </c>
      <c r="AG165" s="16">
        <f t="shared" si="225"/>
        <v>18332590.399999999</v>
      </c>
      <c r="AH165" s="20" t="s">
        <v>615</v>
      </c>
      <c r="AI165" s="21" t="s">
        <v>1238</v>
      </c>
      <c r="AJ165" s="23">
        <f>9867764.76+844965.23</f>
        <v>10712729.99</v>
      </c>
      <c r="AK165" s="35">
        <v>0</v>
      </c>
    </row>
    <row r="166" spans="1:37" s="165" customFormat="1" ht="204.75" x14ac:dyDescent="0.25">
      <c r="A166" s="7">
        <v>160</v>
      </c>
      <c r="B166" s="7">
        <v>118291</v>
      </c>
      <c r="C166" s="11">
        <v>4</v>
      </c>
      <c r="D166" s="7" t="s">
        <v>173</v>
      </c>
      <c r="E166" s="11" t="s">
        <v>165</v>
      </c>
      <c r="F166" s="107" t="s">
        <v>125</v>
      </c>
      <c r="G166" s="10" t="s">
        <v>43</v>
      </c>
      <c r="H166" s="10" t="s">
        <v>42</v>
      </c>
      <c r="I166" s="7" t="s">
        <v>196</v>
      </c>
      <c r="J166" s="34" t="s">
        <v>44</v>
      </c>
      <c r="K166" s="13">
        <v>42459</v>
      </c>
      <c r="L166" s="26">
        <v>43220</v>
      </c>
      <c r="M166" s="14">
        <f t="shared" si="265"/>
        <v>83.983862772799696</v>
      </c>
      <c r="N166" s="7" t="s">
        <v>155</v>
      </c>
      <c r="O166" s="7" t="s">
        <v>156</v>
      </c>
      <c r="P166" s="7" t="s">
        <v>156</v>
      </c>
      <c r="Q166" s="30" t="s">
        <v>157</v>
      </c>
      <c r="R166" s="7" t="s">
        <v>36</v>
      </c>
      <c r="S166" s="16">
        <f t="shared" ref="S166:S229" si="267">T166+U166</f>
        <v>9512414.3200000003</v>
      </c>
      <c r="T166" s="16">
        <v>7670933.3799999999</v>
      </c>
      <c r="U166" s="16">
        <v>1841480.94</v>
      </c>
      <c r="V166" s="16">
        <f t="shared" si="266"/>
        <v>0</v>
      </c>
      <c r="W166" s="16">
        <v>0</v>
      </c>
      <c r="X166" s="16">
        <v>0</v>
      </c>
      <c r="Y166" s="16">
        <f t="shared" ref="Y166:Y229" si="268">Z166+AA166</f>
        <v>1814064.3699999999</v>
      </c>
      <c r="Z166" s="16">
        <v>1353694.13</v>
      </c>
      <c r="AA166" s="16">
        <v>460370.24</v>
      </c>
      <c r="AB166" s="16">
        <f t="shared" si="223"/>
        <v>0</v>
      </c>
      <c r="AC166" s="16"/>
      <c r="AD166" s="16"/>
      <c r="AE166" s="16">
        <f t="shared" si="214"/>
        <v>11326478.689999999</v>
      </c>
      <c r="AF166" s="16">
        <v>0</v>
      </c>
      <c r="AG166" s="16">
        <f t="shared" si="225"/>
        <v>11326478.689999999</v>
      </c>
      <c r="AH166" s="20" t="s">
        <v>1103</v>
      </c>
      <c r="AI166" s="21" t="s">
        <v>211</v>
      </c>
      <c r="AJ166" s="23">
        <f>8122384.62+520669.77+28017.46</f>
        <v>8671071.8500000015</v>
      </c>
      <c r="AK166" s="35">
        <v>0</v>
      </c>
    </row>
    <row r="167" spans="1:37" s="165" customFormat="1" ht="141.75" x14ac:dyDescent="0.25">
      <c r="A167" s="7">
        <v>161</v>
      </c>
      <c r="B167" s="7">
        <v>118957</v>
      </c>
      <c r="C167" s="11">
        <v>5</v>
      </c>
      <c r="D167" s="7" t="s">
        <v>172</v>
      </c>
      <c r="E167" s="11" t="s">
        <v>165</v>
      </c>
      <c r="F167" s="107" t="s">
        <v>125</v>
      </c>
      <c r="G167" s="10" t="s">
        <v>46</v>
      </c>
      <c r="H167" s="10" t="s">
        <v>45</v>
      </c>
      <c r="I167" s="7" t="s">
        <v>197</v>
      </c>
      <c r="J167" s="34" t="s">
        <v>47</v>
      </c>
      <c r="K167" s="13">
        <v>42900</v>
      </c>
      <c r="L167" s="26">
        <v>43722</v>
      </c>
      <c r="M167" s="14">
        <f t="shared" si="265"/>
        <v>83.983862721834797</v>
      </c>
      <c r="N167" s="7" t="s">
        <v>155</v>
      </c>
      <c r="O167" s="7" t="s">
        <v>156</v>
      </c>
      <c r="P167" s="7" t="s">
        <v>156</v>
      </c>
      <c r="Q167" s="30" t="s">
        <v>157</v>
      </c>
      <c r="R167" s="7" t="s">
        <v>36</v>
      </c>
      <c r="S167" s="16">
        <f>T167+U167</f>
        <v>4555318.1900000004</v>
      </c>
      <c r="T167" s="16">
        <v>3673467.24</v>
      </c>
      <c r="U167" s="16">
        <v>881850.95</v>
      </c>
      <c r="V167" s="16">
        <f t="shared" si="266"/>
        <v>0</v>
      </c>
      <c r="W167" s="16">
        <v>0</v>
      </c>
      <c r="X167" s="16">
        <v>0</v>
      </c>
      <c r="Y167" s="16">
        <f t="shared" si="268"/>
        <v>868721.67</v>
      </c>
      <c r="Z167" s="16">
        <v>648258.93000000005</v>
      </c>
      <c r="AA167" s="16">
        <v>220462.74</v>
      </c>
      <c r="AB167" s="16">
        <f t="shared" si="223"/>
        <v>0</v>
      </c>
      <c r="AC167" s="16"/>
      <c r="AD167" s="16"/>
      <c r="AE167" s="16">
        <f t="shared" si="214"/>
        <v>5424039.8600000003</v>
      </c>
      <c r="AF167" s="16">
        <v>0</v>
      </c>
      <c r="AG167" s="16">
        <f t="shared" si="225"/>
        <v>5424039.8600000003</v>
      </c>
      <c r="AH167" s="20" t="s">
        <v>615</v>
      </c>
      <c r="AI167" s="108" t="s">
        <v>185</v>
      </c>
      <c r="AJ167" s="23">
        <v>2210161.75</v>
      </c>
      <c r="AK167" s="35">
        <v>0</v>
      </c>
    </row>
    <row r="168" spans="1:37" s="165" customFormat="1" ht="141.75" x14ac:dyDescent="0.25">
      <c r="A168" s="7">
        <v>162</v>
      </c>
      <c r="B168" s="7">
        <v>118448</v>
      </c>
      <c r="C168" s="11">
        <v>6</v>
      </c>
      <c r="D168" s="7" t="s">
        <v>172</v>
      </c>
      <c r="E168" s="11" t="s">
        <v>165</v>
      </c>
      <c r="F168" s="107" t="s">
        <v>125</v>
      </c>
      <c r="G168" s="10" t="s">
        <v>49</v>
      </c>
      <c r="H168" s="10" t="s">
        <v>48</v>
      </c>
      <c r="I168" s="7" t="s">
        <v>185</v>
      </c>
      <c r="J168" s="34" t="s">
        <v>50</v>
      </c>
      <c r="K168" s="13">
        <v>42458</v>
      </c>
      <c r="L168" s="26">
        <v>43613</v>
      </c>
      <c r="M168" s="14">
        <f t="shared" si="265"/>
        <v>83.983862365752117</v>
      </c>
      <c r="N168" s="7" t="s">
        <v>155</v>
      </c>
      <c r="O168" s="7" t="s">
        <v>156</v>
      </c>
      <c r="P168" s="7" t="s">
        <v>156</v>
      </c>
      <c r="Q168" s="30" t="s">
        <v>157</v>
      </c>
      <c r="R168" s="7" t="s">
        <v>36</v>
      </c>
      <c r="S168" s="16">
        <f t="shared" si="267"/>
        <v>15459786.27</v>
      </c>
      <c r="T168" s="16">
        <v>12466970.76</v>
      </c>
      <c r="U168" s="16">
        <v>2992815.51</v>
      </c>
      <c r="V168" s="16">
        <f t="shared" si="266"/>
        <v>0</v>
      </c>
      <c r="W168" s="16">
        <v>0</v>
      </c>
      <c r="X168" s="16">
        <v>0</v>
      </c>
      <c r="Y168" s="16">
        <f t="shared" si="268"/>
        <v>2948257.65</v>
      </c>
      <c r="Z168" s="16">
        <v>2200053.67</v>
      </c>
      <c r="AA168" s="16">
        <v>748203.98</v>
      </c>
      <c r="AB168" s="16">
        <f t="shared" si="223"/>
        <v>0</v>
      </c>
      <c r="AC168" s="16"/>
      <c r="AD168" s="16"/>
      <c r="AE168" s="16">
        <f t="shared" si="214"/>
        <v>18408043.919999998</v>
      </c>
      <c r="AF168" s="16">
        <v>0</v>
      </c>
      <c r="AG168" s="16">
        <f t="shared" si="225"/>
        <v>18408043.919999998</v>
      </c>
      <c r="AH168" s="20" t="s">
        <v>615</v>
      </c>
      <c r="AI168" s="21" t="s">
        <v>1308</v>
      </c>
      <c r="AJ168" s="23">
        <f>9840778.73+367299.37</f>
        <v>10208078.1</v>
      </c>
      <c r="AK168" s="35">
        <v>0</v>
      </c>
    </row>
    <row r="169" spans="1:37" s="165" customFormat="1" ht="141.75" x14ac:dyDescent="0.25">
      <c r="A169" s="7">
        <v>163</v>
      </c>
      <c r="B169" s="7">
        <v>118575</v>
      </c>
      <c r="C169" s="11">
        <v>7</v>
      </c>
      <c r="D169" s="7" t="s">
        <v>174</v>
      </c>
      <c r="E169" s="11" t="s">
        <v>165</v>
      </c>
      <c r="F169" s="107" t="s">
        <v>125</v>
      </c>
      <c r="G169" s="10" t="s">
        <v>52</v>
      </c>
      <c r="H169" s="10" t="s">
        <v>51</v>
      </c>
      <c r="I169" s="7" t="s">
        <v>185</v>
      </c>
      <c r="J169" s="34" t="s">
        <v>53</v>
      </c>
      <c r="K169" s="13">
        <v>42592</v>
      </c>
      <c r="L169" s="26">
        <v>43687</v>
      </c>
      <c r="M169" s="14">
        <f t="shared" si="265"/>
        <v>83.983862823517285</v>
      </c>
      <c r="N169" s="7" t="s">
        <v>155</v>
      </c>
      <c r="O169" s="7" t="s">
        <v>156</v>
      </c>
      <c r="P169" s="7" t="s">
        <v>156</v>
      </c>
      <c r="Q169" s="30" t="s">
        <v>157</v>
      </c>
      <c r="R169" s="7" t="s">
        <v>36</v>
      </c>
      <c r="S169" s="16">
        <f t="shared" si="267"/>
        <v>8244072.25</v>
      </c>
      <c r="T169" s="16">
        <v>6648126</v>
      </c>
      <c r="U169" s="16">
        <v>1595946.25</v>
      </c>
      <c r="V169" s="16">
        <f t="shared" si="266"/>
        <v>0</v>
      </c>
      <c r="W169" s="16">
        <v>0</v>
      </c>
      <c r="X169" s="16">
        <v>0</v>
      </c>
      <c r="Y169" s="16">
        <f t="shared" si="268"/>
        <v>1572185.27</v>
      </c>
      <c r="Z169" s="16">
        <v>1173198.71</v>
      </c>
      <c r="AA169" s="16">
        <v>398986.56</v>
      </c>
      <c r="AB169" s="16">
        <f t="shared" si="223"/>
        <v>0</v>
      </c>
      <c r="AC169" s="16"/>
      <c r="AD169" s="16"/>
      <c r="AE169" s="16">
        <f t="shared" si="214"/>
        <v>9816257.5199999996</v>
      </c>
      <c r="AF169" s="16">
        <v>0</v>
      </c>
      <c r="AG169" s="16">
        <f t="shared" si="225"/>
        <v>9816257.5199999996</v>
      </c>
      <c r="AH169" s="20" t="s">
        <v>615</v>
      </c>
      <c r="AI169" s="21" t="s">
        <v>1239</v>
      </c>
      <c r="AJ169" s="23">
        <f>2263203.63+133525.16</f>
        <v>2396728.79</v>
      </c>
      <c r="AK169" s="35">
        <v>0</v>
      </c>
    </row>
    <row r="170" spans="1:37" s="165" customFormat="1" ht="236.25" x14ac:dyDescent="0.25">
      <c r="A170" s="7">
        <v>164</v>
      </c>
      <c r="B170" s="7">
        <v>122100</v>
      </c>
      <c r="C170" s="11">
        <v>8</v>
      </c>
      <c r="D170" s="7" t="s">
        <v>175</v>
      </c>
      <c r="E170" s="11" t="s">
        <v>165</v>
      </c>
      <c r="F170" s="107" t="s">
        <v>125</v>
      </c>
      <c r="G170" s="10" t="s">
        <v>55</v>
      </c>
      <c r="H170" s="10" t="s">
        <v>54</v>
      </c>
      <c r="I170" s="7" t="s">
        <v>185</v>
      </c>
      <c r="J170" s="34" t="s">
        <v>56</v>
      </c>
      <c r="K170" s="13">
        <v>42661</v>
      </c>
      <c r="L170" s="26">
        <v>43573</v>
      </c>
      <c r="M170" s="14">
        <f t="shared" si="265"/>
        <v>83.983862943976007</v>
      </c>
      <c r="N170" s="7" t="s">
        <v>155</v>
      </c>
      <c r="O170" s="7" t="s">
        <v>156</v>
      </c>
      <c r="P170" s="7" t="s">
        <v>156</v>
      </c>
      <c r="Q170" s="30" t="s">
        <v>157</v>
      </c>
      <c r="R170" s="7" t="s">
        <v>36</v>
      </c>
      <c r="S170" s="16">
        <f t="shared" si="267"/>
        <v>1681184.87</v>
      </c>
      <c r="T170" s="16">
        <v>1355729.12</v>
      </c>
      <c r="U170" s="16">
        <v>325455.75</v>
      </c>
      <c r="V170" s="16">
        <f t="shared" si="266"/>
        <v>0</v>
      </c>
      <c r="W170" s="16">
        <v>0</v>
      </c>
      <c r="X170" s="16">
        <v>0</v>
      </c>
      <c r="Y170" s="16">
        <f t="shared" si="268"/>
        <v>320610.25</v>
      </c>
      <c r="Z170" s="16">
        <v>239246.31</v>
      </c>
      <c r="AA170" s="16">
        <v>81363.94</v>
      </c>
      <c r="AB170" s="16">
        <f t="shared" si="223"/>
        <v>0</v>
      </c>
      <c r="AC170" s="16"/>
      <c r="AD170" s="16"/>
      <c r="AE170" s="16">
        <f t="shared" si="214"/>
        <v>2001795.12</v>
      </c>
      <c r="AF170" s="16">
        <v>0</v>
      </c>
      <c r="AG170" s="16">
        <f t="shared" si="225"/>
        <v>2001795.12</v>
      </c>
      <c r="AH170" s="20" t="s">
        <v>615</v>
      </c>
      <c r="AI170" s="21" t="s">
        <v>481</v>
      </c>
      <c r="AJ170" s="23">
        <f>258033.64+369296.57</f>
        <v>627330.21</v>
      </c>
      <c r="AK170" s="35">
        <v>0</v>
      </c>
    </row>
    <row r="171" spans="1:37" s="165" customFormat="1" ht="173.25" x14ac:dyDescent="0.25">
      <c r="A171" s="7">
        <v>165</v>
      </c>
      <c r="B171" s="7">
        <v>120313</v>
      </c>
      <c r="C171" s="11">
        <v>9</v>
      </c>
      <c r="D171" s="7" t="s">
        <v>168</v>
      </c>
      <c r="E171" s="11" t="s">
        <v>165</v>
      </c>
      <c r="F171" s="107" t="s">
        <v>125</v>
      </c>
      <c r="G171" s="10" t="s">
        <v>57</v>
      </c>
      <c r="H171" s="10" t="s">
        <v>358</v>
      </c>
      <c r="I171" s="7" t="s">
        <v>201</v>
      </c>
      <c r="J171" s="34" t="s">
        <v>58</v>
      </c>
      <c r="K171" s="13">
        <v>42446</v>
      </c>
      <c r="L171" s="26">
        <v>43633</v>
      </c>
      <c r="M171" s="14">
        <f t="shared" si="265"/>
        <v>83.983862848864632</v>
      </c>
      <c r="N171" s="7" t="s">
        <v>155</v>
      </c>
      <c r="O171" s="7" t="s">
        <v>156</v>
      </c>
      <c r="P171" s="7" t="s">
        <v>156</v>
      </c>
      <c r="Q171" s="30" t="s">
        <v>157</v>
      </c>
      <c r="R171" s="7" t="s">
        <v>36</v>
      </c>
      <c r="S171" s="16">
        <f>T171+U171</f>
        <v>30189820.119999997</v>
      </c>
      <c r="T171" s="16">
        <v>24345459.629999999</v>
      </c>
      <c r="U171" s="16">
        <v>5844360.4900000002</v>
      </c>
      <c r="V171" s="16">
        <v>1966327.81</v>
      </c>
      <c r="W171" s="16">
        <v>1453132.81</v>
      </c>
      <c r="X171" s="16">
        <v>513195</v>
      </c>
      <c r="Y171" s="16">
        <f t="shared" si="268"/>
        <v>3791019.8899999997</v>
      </c>
      <c r="Z171" s="16">
        <v>2843124.76</v>
      </c>
      <c r="AA171" s="16">
        <v>947895.13</v>
      </c>
      <c r="AB171" s="16">
        <f t="shared" si="223"/>
        <v>0</v>
      </c>
      <c r="AC171" s="16"/>
      <c r="AD171" s="16"/>
      <c r="AE171" s="16">
        <f t="shared" si="214"/>
        <v>35947167.819999993</v>
      </c>
      <c r="AF171" s="16">
        <v>0</v>
      </c>
      <c r="AG171" s="16">
        <f t="shared" si="225"/>
        <v>35947167.819999993</v>
      </c>
      <c r="AH171" s="20" t="s">
        <v>615</v>
      </c>
      <c r="AI171" s="21" t="s">
        <v>1300</v>
      </c>
      <c r="AJ171" s="23">
        <f>25165624.15-64.26</f>
        <v>25165559.889999997</v>
      </c>
      <c r="AK171" s="35">
        <f>1447911.57+64.26</f>
        <v>1447975.83</v>
      </c>
    </row>
    <row r="172" spans="1:37" s="165" customFormat="1" ht="330.75" x14ac:dyDescent="0.25">
      <c r="A172" s="7">
        <v>166</v>
      </c>
      <c r="B172" s="7">
        <v>121644</v>
      </c>
      <c r="C172" s="11">
        <v>10</v>
      </c>
      <c r="D172" s="7" t="s">
        <v>175</v>
      </c>
      <c r="E172" s="11" t="s">
        <v>165</v>
      </c>
      <c r="F172" s="107" t="s">
        <v>125</v>
      </c>
      <c r="G172" s="10" t="s">
        <v>59</v>
      </c>
      <c r="H172" s="10" t="s">
        <v>54</v>
      </c>
      <c r="I172" s="7" t="s">
        <v>185</v>
      </c>
      <c r="J172" s="34" t="s">
        <v>60</v>
      </c>
      <c r="K172" s="13">
        <v>42538</v>
      </c>
      <c r="L172" s="26">
        <v>43298</v>
      </c>
      <c r="M172" s="14">
        <f t="shared" si="265"/>
        <v>83.983862739322618</v>
      </c>
      <c r="N172" s="7" t="s">
        <v>155</v>
      </c>
      <c r="O172" s="7" t="s">
        <v>156</v>
      </c>
      <c r="P172" s="7" t="s">
        <v>156</v>
      </c>
      <c r="Q172" s="30" t="s">
        <v>157</v>
      </c>
      <c r="R172" s="7" t="s">
        <v>36</v>
      </c>
      <c r="S172" s="16">
        <f t="shared" si="267"/>
        <v>2777962.48</v>
      </c>
      <c r="T172" s="16">
        <v>2240184.71</v>
      </c>
      <c r="U172" s="16">
        <v>537777.77</v>
      </c>
      <c r="V172" s="16">
        <f t="shared" si="266"/>
        <v>0</v>
      </c>
      <c r="W172" s="16">
        <v>0</v>
      </c>
      <c r="X172" s="16">
        <v>0</v>
      </c>
      <c r="Y172" s="16">
        <f t="shared" si="268"/>
        <v>529771.16</v>
      </c>
      <c r="Z172" s="16">
        <v>395326.72000000003</v>
      </c>
      <c r="AA172" s="16">
        <v>134444.44</v>
      </c>
      <c r="AB172" s="16">
        <f t="shared" si="223"/>
        <v>0</v>
      </c>
      <c r="AC172" s="16"/>
      <c r="AD172" s="16"/>
      <c r="AE172" s="16">
        <f t="shared" si="214"/>
        <v>3307733.64</v>
      </c>
      <c r="AF172" s="16">
        <v>192499.20000000001</v>
      </c>
      <c r="AG172" s="16">
        <f t="shared" si="225"/>
        <v>3500232.8400000003</v>
      </c>
      <c r="AH172" s="20" t="s">
        <v>1103</v>
      </c>
      <c r="AI172" s="21" t="s">
        <v>266</v>
      </c>
      <c r="AJ172" s="23">
        <v>2635526.38</v>
      </c>
      <c r="AK172" s="35">
        <v>0</v>
      </c>
    </row>
    <row r="173" spans="1:37" s="165" customFormat="1" ht="267.75" x14ac:dyDescent="0.25">
      <c r="A173" s="7">
        <v>167</v>
      </c>
      <c r="B173" s="7">
        <v>118305</v>
      </c>
      <c r="C173" s="11">
        <v>11</v>
      </c>
      <c r="D173" s="7" t="s">
        <v>168</v>
      </c>
      <c r="E173" s="11" t="s">
        <v>165</v>
      </c>
      <c r="F173" s="107" t="s">
        <v>125</v>
      </c>
      <c r="G173" s="10" t="s">
        <v>62</v>
      </c>
      <c r="H173" s="10" t="s">
        <v>61</v>
      </c>
      <c r="I173" s="7" t="s">
        <v>201</v>
      </c>
      <c r="J173" s="34" t="s">
        <v>63</v>
      </c>
      <c r="K173" s="13">
        <v>42467</v>
      </c>
      <c r="L173" s="26">
        <v>43562</v>
      </c>
      <c r="M173" s="14">
        <f t="shared" si="265"/>
        <v>83.98386392846011</v>
      </c>
      <c r="N173" s="7" t="s">
        <v>155</v>
      </c>
      <c r="O173" s="7" t="s">
        <v>156</v>
      </c>
      <c r="P173" s="7" t="s">
        <v>156</v>
      </c>
      <c r="Q173" s="30" t="s">
        <v>157</v>
      </c>
      <c r="R173" s="7" t="s">
        <v>36</v>
      </c>
      <c r="S173" s="16">
        <f t="shared" si="267"/>
        <v>13566063.25</v>
      </c>
      <c r="T173" s="16">
        <v>10939848.08</v>
      </c>
      <c r="U173" s="16">
        <v>2626215.17</v>
      </c>
      <c r="V173" s="16">
        <f t="shared" si="266"/>
        <v>0</v>
      </c>
      <c r="W173" s="16">
        <v>0</v>
      </c>
      <c r="X173" s="16">
        <v>0</v>
      </c>
      <c r="Y173" s="16">
        <f t="shared" si="268"/>
        <v>2587115.0099999998</v>
      </c>
      <c r="Z173" s="16">
        <v>1930561.24</v>
      </c>
      <c r="AA173" s="16">
        <v>656553.77</v>
      </c>
      <c r="AB173" s="16">
        <f t="shared" ref="AB173:AB228" si="269">AC173+AD173</f>
        <v>0</v>
      </c>
      <c r="AC173" s="16">
        <v>0</v>
      </c>
      <c r="AD173" s="16">
        <v>0</v>
      </c>
      <c r="AE173" s="16">
        <f t="shared" si="214"/>
        <v>16153178.26</v>
      </c>
      <c r="AF173" s="16">
        <v>0</v>
      </c>
      <c r="AG173" s="16">
        <f t="shared" si="225"/>
        <v>16153178.26</v>
      </c>
      <c r="AH173" s="20" t="s">
        <v>615</v>
      </c>
      <c r="AI173" s="21" t="s">
        <v>1134</v>
      </c>
      <c r="AJ173" s="23">
        <f>10642106.1+921431.45+112475.1</f>
        <v>11676012.649999999</v>
      </c>
      <c r="AK173" s="35">
        <v>0</v>
      </c>
    </row>
    <row r="174" spans="1:37" s="165" customFormat="1" ht="157.5" x14ac:dyDescent="0.25">
      <c r="A174" s="7">
        <v>168</v>
      </c>
      <c r="B174" s="7">
        <v>118349</v>
      </c>
      <c r="C174" s="11">
        <v>13</v>
      </c>
      <c r="D174" s="7" t="s">
        <v>173</v>
      </c>
      <c r="E174" s="11" t="s">
        <v>165</v>
      </c>
      <c r="F174" s="107" t="s">
        <v>125</v>
      </c>
      <c r="G174" s="10" t="s">
        <v>65</v>
      </c>
      <c r="H174" s="10" t="s">
        <v>64</v>
      </c>
      <c r="I174" s="7" t="s">
        <v>197</v>
      </c>
      <c r="J174" s="34" t="s">
        <v>66</v>
      </c>
      <c r="K174" s="13">
        <v>42663</v>
      </c>
      <c r="L174" s="26">
        <v>43758</v>
      </c>
      <c r="M174" s="14">
        <f t="shared" si="265"/>
        <v>83.983862845432327</v>
      </c>
      <c r="N174" s="7" t="s">
        <v>155</v>
      </c>
      <c r="O174" s="7" t="s">
        <v>156</v>
      </c>
      <c r="P174" s="7" t="s">
        <v>156</v>
      </c>
      <c r="Q174" s="30" t="s">
        <v>157</v>
      </c>
      <c r="R174" s="7" t="s">
        <v>36</v>
      </c>
      <c r="S174" s="16">
        <f t="shared" si="267"/>
        <v>9782795.4699999988</v>
      </c>
      <c r="T174" s="16">
        <v>7888972.2199999997</v>
      </c>
      <c r="U174" s="16">
        <v>1893823.25</v>
      </c>
      <c r="V174" s="16">
        <f t="shared" si="266"/>
        <v>0</v>
      </c>
      <c r="W174" s="16">
        <v>0</v>
      </c>
      <c r="X174" s="16">
        <v>0</v>
      </c>
      <c r="Y174" s="16">
        <f t="shared" si="268"/>
        <v>1865627.3800000001</v>
      </c>
      <c r="Z174" s="16">
        <v>1392171.57</v>
      </c>
      <c r="AA174" s="16">
        <v>473455.81</v>
      </c>
      <c r="AB174" s="16">
        <f t="shared" si="269"/>
        <v>0</v>
      </c>
      <c r="AC174" s="16"/>
      <c r="AD174" s="16"/>
      <c r="AE174" s="16">
        <f t="shared" si="214"/>
        <v>11648422.85</v>
      </c>
      <c r="AF174" s="16">
        <v>0</v>
      </c>
      <c r="AG174" s="16">
        <f t="shared" si="225"/>
        <v>11648422.85</v>
      </c>
      <c r="AH174" s="20" t="s">
        <v>615</v>
      </c>
      <c r="AI174" s="21" t="s">
        <v>189</v>
      </c>
      <c r="AJ174" s="23">
        <f>1581295.57+590628.38+390172.91</f>
        <v>2562096.8600000003</v>
      </c>
      <c r="AK174" s="35">
        <v>0</v>
      </c>
    </row>
    <row r="175" spans="1:37" s="165" customFormat="1" ht="141.75" x14ac:dyDescent="0.25">
      <c r="A175" s="7">
        <v>169</v>
      </c>
      <c r="B175" s="7">
        <v>118894</v>
      </c>
      <c r="C175" s="11">
        <v>15</v>
      </c>
      <c r="D175" s="7" t="s">
        <v>174</v>
      </c>
      <c r="E175" s="11" t="s">
        <v>165</v>
      </c>
      <c r="F175" s="107" t="s">
        <v>125</v>
      </c>
      <c r="G175" s="10" t="s">
        <v>68</v>
      </c>
      <c r="H175" s="10" t="s">
        <v>67</v>
      </c>
      <c r="I175" s="7" t="s">
        <v>185</v>
      </c>
      <c r="J175" s="34" t="s">
        <v>69</v>
      </c>
      <c r="K175" s="13">
        <v>42717</v>
      </c>
      <c r="L175" s="26">
        <v>43812</v>
      </c>
      <c r="M175" s="14">
        <f t="shared" si="265"/>
        <v>83.983863051796376</v>
      </c>
      <c r="N175" s="7" t="s">
        <v>155</v>
      </c>
      <c r="O175" s="7" t="s">
        <v>156</v>
      </c>
      <c r="P175" s="7" t="s">
        <v>156</v>
      </c>
      <c r="Q175" s="30" t="s">
        <v>157</v>
      </c>
      <c r="R175" s="7" t="s">
        <v>36</v>
      </c>
      <c r="S175" s="16">
        <f t="shared" si="267"/>
        <v>2106832.29</v>
      </c>
      <c r="T175" s="16">
        <v>1698976.68</v>
      </c>
      <c r="U175" s="16">
        <v>407855.61</v>
      </c>
      <c r="V175" s="16">
        <f t="shared" si="266"/>
        <v>0</v>
      </c>
      <c r="W175" s="16">
        <v>0</v>
      </c>
      <c r="X175" s="16">
        <v>0</v>
      </c>
      <c r="Y175" s="16">
        <f t="shared" si="268"/>
        <v>401783.30999999994</v>
      </c>
      <c r="Z175" s="16">
        <v>299819.40999999997</v>
      </c>
      <c r="AA175" s="16">
        <v>101963.9</v>
      </c>
      <c r="AB175" s="16">
        <f t="shared" si="269"/>
        <v>0</v>
      </c>
      <c r="AC175" s="16"/>
      <c r="AD175" s="16"/>
      <c r="AE175" s="16">
        <f t="shared" si="214"/>
        <v>2508615.6</v>
      </c>
      <c r="AF175" s="16">
        <v>154711.20000000001</v>
      </c>
      <c r="AG175" s="16">
        <f t="shared" si="225"/>
        <v>2663326.8000000003</v>
      </c>
      <c r="AH175" s="20" t="s">
        <v>615</v>
      </c>
      <c r="AI175" s="21" t="s">
        <v>1126</v>
      </c>
      <c r="AJ175" s="23">
        <v>100211.1</v>
      </c>
      <c r="AK175" s="35">
        <v>0</v>
      </c>
    </row>
    <row r="176" spans="1:37" s="165" customFormat="1" ht="236.25" x14ac:dyDescent="0.25">
      <c r="A176" s="7">
        <v>170</v>
      </c>
      <c r="B176" s="7">
        <v>117846</v>
      </c>
      <c r="C176" s="11">
        <v>16</v>
      </c>
      <c r="D176" s="15" t="s">
        <v>172</v>
      </c>
      <c r="E176" s="11" t="s">
        <v>165</v>
      </c>
      <c r="F176" s="107" t="s">
        <v>125</v>
      </c>
      <c r="G176" s="10" t="s">
        <v>126</v>
      </c>
      <c r="H176" s="10" t="s">
        <v>124</v>
      </c>
      <c r="I176" s="7" t="s">
        <v>203</v>
      </c>
      <c r="J176" s="34" t="s">
        <v>127</v>
      </c>
      <c r="K176" s="13">
        <v>42884</v>
      </c>
      <c r="L176" s="26">
        <v>43980</v>
      </c>
      <c r="M176" s="14">
        <f t="shared" si="265"/>
        <v>83.983862657459213</v>
      </c>
      <c r="N176" s="7" t="s">
        <v>155</v>
      </c>
      <c r="O176" s="7" t="s">
        <v>156</v>
      </c>
      <c r="P176" s="7" t="s">
        <v>156</v>
      </c>
      <c r="Q176" s="30" t="s">
        <v>157</v>
      </c>
      <c r="R176" s="7" t="s">
        <v>36</v>
      </c>
      <c r="S176" s="16">
        <f t="shared" si="267"/>
        <v>13499438.890000001</v>
      </c>
      <c r="T176" s="16">
        <v>10886121.34</v>
      </c>
      <c r="U176" s="16">
        <v>2613317.5499999998</v>
      </c>
      <c r="V176" s="16">
        <f t="shared" si="266"/>
        <v>0</v>
      </c>
      <c r="W176" s="16">
        <v>0</v>
      </c>
      <c r="X176" s="16">
        <v>0</v>
      </c>
      <c r="Y176" s="16">
        <f t="shared" si="268"/>
        <v>2574409.66</v>
      </c>
      <c r="Z176" s="16">
        <v>1921080.25</v>
      </c>
      <c r="AA176" s="16">
        <v>653329.41</v>
      </c>
      <c r="AB176" s="16">
        <f t="shared" si="269"/>
        <v>0</v>
      </c>
      <c r="AC176" s="16"/>
      <c r="AD176" s="16"/>
      <c r="AE176" s="16">
        <f t="shared" si="214"/>
        <v>16073848.550000001</v>
      </c>
      <c r="AF176" s="16">
        <v>0</v>
      </c>
      <c r="AG176" s="16">
        <f t="shared" si="225"/>
        <v>16073848.550000001</v>
      </c>
      <c r="AH176" s="20" t="s">
        <v>615</v>
      </c>
      <c r="AI176" s="108" t="s">
        <v>1381</v>
      </c>
      <c r="AJ176" s="23">
        <f>2532656.95+321652.69+380360.36</f>
        <v>3234670</v>
      </c>
      <c r="AK176" s="35">
        <v>0</v>
      </c>
    </row>
    <row r="177" spans="1:37" s="165" customFormat="1" ht="141.75" x14ac:dyDescent="0.25">
      <c r="A177" s="7">
        <v>171</v>
      </c>
      <c r="B177" s="7">
        <v>117841</v>
      </c>
      <c r="C177" s="11">
        <v>17</v>
      </c>
      <c r="D177" s="7" t="s">
        <v>173</v>
      </c>
      <c r="E177" s="11" t="s">
        <v>165</v>
      </c>
      <c r="F177" s="107" t="s">
        <v>125</v>
      </c>
      <c r="G177" s="10" t="s">
        <v>71</v>
      </c>
      <c r="H177" s="10" t="s">
        <v>70</v>
      </c>
      <c r="I177" s="7" t="s">
        <v>185</v>
      </c>
      <c r="J177" s="34" t="s">
        <v>706</v>
      </c>
      <c r="K177" s="13">
        <v>42482</v>
      </c>
      <c r="L177" s="26">
        <v>43760</v>
      </c>
      <c r="M177" s="14">
        <f t="shared" si="265"/>
        <v>83.983862907570995</v>
      </c>
      <c r="N177" s="7" t="s">
        <v>155</v>
      </c>
      <c r="O177" s="7" t="s">
        <v>156</v>
      </c>
      <c r="P177" s="7" t="s">
        <v>156</v>
      </c>
      <c r="Q177" s="30" t="s">
        <v>157</v>
      </c>
      <c r="R177" s="7" t="s">
        <v>36</v>
      </c>
      <c r="S177" s="16">
        <f t="shared" si="267"/>
        <v>9778588.4399999995</v>
      </c>
      <c r="T177" s="16">
        <v>7885579.6299999999</v>
      </c>
      <c r="U177" s="16">
        <v>1893008.81</v>
      </c>
      <c r="V177" s="16">
        <f t="shared" si="266"/>
        <v>0</v>
      </c>
      <c r="W177" s="16">
        <v>0</v>
      </c>
      <c r="X177" s="16">
        <v>0</v>
      </c>
      <c r="Y177" s="16">
        <f t="shared" si="268"/>
        <v>1864825.07</v>
      </c>
      <c r="Z177" s="16">
        <v>1391572.85</v>
      </c>
      <c r="AA177" s="16">
        <v>473252.22</v>
      </c>
      <c r="AB177" s="16">
        <f t="shared" si="269"/>
        <v>0</v>
      </c>
      <c r="AC177" s="16"/>
      <c r="AD177" s="16"/>
      <c r="AE177" s="16">
        <f t="shared" ref="AE177:AE241" si="270">S177+V177+Y177+AB177</f>
        <v>11643413.51</v>
      </c>
      <c r="AF177" s="16">
        <v>0</v>
      </c>
      <c r="AG177" s="16">
        <f t="shared" si="225"/>
        <v>11643413.51</v>
      </c>
      <c r="AH177" s="20" t="s">
        <v>615</v>
      </c>
      <c r="AI177" s="21" t="s">
        <v>705</v>
      </c>
      <c r="AJ177" s="23">
        <v>4914766.6399999997</v>
      </c>
      <c r="AK177" s="35">
        <v>0</v>
      </c>
    </row>
    <row r="178" spans="1:37" s="165" customFormat="1" ht="157.5" x14ac:dyDescent="0.25">
      <c r="A178" s="7">
        <v>172</v>
      </c>
      <c r="B178" s="7">
        <v>119195</v>
      </c>
      <c r="C178" s="11">
        <v>18</v>
      </c>
      <c r="D178" s="7" t="s">
        <v>170</v>
      </c>
      <c r="E178" s="11" t="s">
        <v>165</v>
      </c>
      <c r="F178" s="107" t="s">
        <v>125</v>
      </c>
      <c r="G178" s="10" t="s">
        <v>73</v>
      </c>
      <c r="H178" s="10" t="s">
        <v>72</v>
      </c>
      <c r="I178" s="7" t="s">
        <v>185</v>
      </c>
      <c r="J178" s="34" t="s">
        <v>74</v>
      </c>
      <c r="K178" s="13">
        <v>42464</v>
      </c>
      <c r="L178" s="26">
        <v>43528</v>
      </c>
      <c r="M178" s="14">
        <f t="shared" si="265"/>
        <v>83.983863126060598</v>
      </c>
      <c r="N178" s="7" t="s">
        <v>155</v>
      </c>
      <c r="O178" s="7" t="s">
        <v>156</v>
      </c>
      <c r="P178" s="7" t="s">
        <v>156</v>
      </c>
      <c r="Q178" s="30" t="s">
        <v>157</v>
      </c>
      <c r="R178" s="7" t="s">
        <v>36</v>
      </c>
      <c r="S178" s="16">
        <f t="shared" si="267"/>
        <v>3168878.46</v>
      </c>
      <c r="T178" s="16">
        <v>2555424.39</v>
      </c>
      <c r="U178" s="16">
        <v>613454.06999999995</v>
      </c>
      <c r="V178" s="16">
        <f t="shared" si="266"/>
        <v>0</v>
      </c>
      <c r="W178" s="16">
        <v>0</v>
      </c>
      <c r="X178" s="16">
        <v>0</v>
      </c>
      <c r="Y178" s="16">
        <f t="shared" si="268"/>
        <v>604320.75</v>
      </c>
      <c r="Z178" s="16">
        <v>450957.23</v>
      </c>
      <c r="AA178" s="16">
        <v>153363.51999999999</v>
      </c>
      <c r="AB178" s="16">
        <f t="shared" si="269"/>
        <v>0</v>
      </c>
      <c r="AC178" s="16">
        <v>0</v>
      </c>
      <c r="AD178" s="16">
        <v>0</v>
      </c>
      <c r="AE178" s="16">
        <f t="shared" si="270"/>
        <v>3773199.21</v>
      </c>
      <c r="AF178" s="16">
        <v>0</v>
      </c>
      <c r="AG178" s="16">
        <f t="shared" si="225"/>
        <v>3773199.21</v>
      </c>
      <c r="AH178" s="20" t="s">
        <v>1103</v>
      </c>
      <c r="AI178" s="21" t="s">
        <v>1276</v>
      </c>
      <c r="AJ178" s="23">
        <f>452513.95+76690.71+72953.42+173284.84+106262.26</f>
        <v>881705.18</v>
      </c>
      <c r="AK178" s="35">
        <v>0</v>
      </c>
    </row>
    <row r="179" spans="1:37" s="165" customFormat="1" ht="173.25" x14ac:dyDescent="0.25">
      <c r="A179" s="7">
        <v>173</v>
      </c>
      <c r="B179" s="7">
        <v>118157</v>
      </c>
      <c r="C179" s="11">
        <v>19</v>
      </c>
      <c r="D179" s="7" t="s">
        <v>168</v>
      </c>
      <c r="E179" s="11" t="s">
        <v>165</v>
      </c>
      <c r="F179" s="107" t="s">
        <v>125</v>
      </c>
      <c r="G179" s="10" t="s">
        <v>76</v>
      </c>
      <c r="H179" s="10" t="s">
        <v>75</v>
      </c>
      <c r="I179" s="7" t="s">
        <v>185</v>
      </c>
      <c r="J179" s="34" t="s">
        <v>77</v>
      </c>
      <c r="K179" s="13">
        <v>42446</v>
      </c>
      <c r="L179" s="26">
        <v>43541</v>
      </c>
      <c r="M179" s="14">
        <f t="shared" si="265"/>
        <v>83.983862865891041</v>
      </c>
      <c r="N179" s="7" t="s">
        <v>155</v>
      </c>
      <c r="O179" s="7" t="s">
        <v>156</v>
      </c>
      <c r="P179" s="7" t="s">
        <v>156</v>
      </c>
      <c r="Q179" s="30" t="s">
        <v>157</v>
      </c>
      <c r="R179" s="7" t="s">
        <v>36</v>
      </c>
      <c r="S179" s="16">
        <f t="shared" si="267"/>
        <v>3627735.48</v>
      </c>
      <c r="T179" s="16">
        <v>2925452.6</v>
      </c>
      <c r="U179" s="16">
        <v>702282.88</v>
      </c>
      <c r="V179" s="16">
        <f t="shared" si="266"/>
        <v>0</v>
      </c>
      <c r="W179" s="16">
        <v>0</v>
      </c>
      <c r="X179" s="16">
        <v>0</v>
      </c>
      <c r="Y179" s="16">
        <f t="shared" si="268"/>
        <v>691827.06</v>
      </c>
      <c r="Z179" s="16">
        <v>516256.34</v>
      </c>
      <c r="AA179" s="16">
        <v>175570.72</v>
      </c>
      <c r="AB179" s="16">
        <f t="shared" si="269"/>
        <v>0</v>
      </c>
      <c r="AC179" s="16"/>
      <c r="AD179" s="16"/>
      <c r="AE179" s="16">
        <f t="shared" si="270"/>
        <v>4319562.54</v>
      </c>
      <c r="AF179" s="16">
        <v>0</v>
      </c>
      <c r="AG179" s="16">
        <f t="shared" si="225"/>
        <v>4319562.54</v>
      </c>
      <c r="AH179" s="20" t="s">
        <v>1103</v>
      </c>
      <c r="AI179" s="21" t="s">
        <v>744</v>
      </c>
      <c r="AJ179" s="23">
        <v>637411.23</v>
      </c>
      <c r="AK179" s="35">
        <v>0</v>
      </c>
    </row>
    <row r="180" spans="1:37" s="165" customFormat="1" ht="141.75" x14ac:dyDescent="0.25">
      <c r="A180" s="7">
        <v>174</v>
      </c>
      <c r="B180" s="7">
        <v>119196</v>
      </c>
      <c r="C180" s="11">
        <v>20</v>
      </c>
      <c r="D180" s="7" t="s">
        <v>170</v>
      </c>
      <c r="E180" s="11" t="s">
        <v>165</v>
      </c>
      <c r="F180" s="107" t="s">
        <v>125</v>
      </c>
      <c r="G180" s="10" t="s">
        <v>78</v>
      </c>
      <c r="H180" s="10" t="s">
        <v>72</v>
      </c>
      <c r="I180" s="7" t="s">
        <v>205</v>
      </c>
      <c r="J180" s="34" t="s">
        <v>79</v>
      </c>
      <c r="K180" s="13">
        <v>42464</v>
      </c>
      <c r="L180" s="26">
        <v>43925</v>
      </c>
      <c r="M180" s="14">
        <f t="shared" si="265"/>
        <v>83.983863025248297</v>
      </c>
      <c r="N180" s="7" t="s">
        <v>155</v>
      </c>
      <c r="O180" s="7" t="s">
        <v>156</v>
      </c>
      <c r="P180" s="7" t="s">
        <v>156</v>
      </c>
      <c r="Q180" s="30" t="s">
        <v>157</v>
      </c>
      <c r="R180" s="7" t="s">
        <v>36</v>
      </c>
      <c r="S180" s="16">
        <f t="shared" si="267"/>
        <v>14990338.920000002</v>
      </c>
      <c r="T180" s="16">
        <v>12088402.300000001</v>
      </c>
      <c r="U180" s="16">
        <v>2901936.62</v>
      </c>
      <c r="V180" s="16">
        <f t="shared" si="266"/>
        <v>0</v>
      </c>
      <c r="W180" s="16">
        <v>0</v>
      </c>
      <c r="X180" s="16">
        <v>0</v>
      </c>
      <c r="Y180" s="16">
        <f t="shared" si="268"/>
        <v>2858731.58</v>
      </c>
      <c r="Z180" s="16">
        <v>2133247.4300000002</v>
      </c>
      <c r="AA180" s="16">
        <v>725484.15</v>
      </c>
      <c r="AB180" s="16">
        <f t="shared" si="269"/>
        <v>0</v>
      </c>
      <c r="AC180" s="16"/>
      <c r="AD180" s="16"/>
      <c r="AE180" s="16">
        <f t="shared" si="270"/>
        <v>17849070.5</v>
      </c>
      <c r="AF180" s="16">
        <v>0</v>
      </c>
      <c r="AG180" s="16">
        <f t="shared" si="225"/>
        <v>17849070.5</v>
      </c>
      <c r="AH180" s="20" t="s">
        <v>615</v>
      </c>
      <c r="AI180" s="21" t="s">
        <v>1396</v>
      </c>
      <c r="AJ180" s="23">
        <f>770912.58+137660.46+105577.25+147498.87</f>
        <v>1161649.1599999999</v>
      </c>
      <c r="AK180" s="35">
        <v>0</v>
      </c>
    </row>
    <row r="181" spans="1:37" s="165" customFormat="1" ht="409.5" x14ac:dyDescent="0.25">
      <c r="A181" s="7">
        <v>175</v>
      </c>
      <c r="B181" s="7">
        <v>118158</v>
      </c>
      <c r="C181" s="11">
        <v>21</v>
      </c>
      <c r="D181" s="7" t="s">
        <v>168</v>
      </c>
      <c r="E181" s="11" t="s">
        <v>165</v>
      </c>
      <c r="F181" s="107" t="s">
        <v>125</v>
      </c>
      <c r="G181" s="10" t="s">
        <v>80</v>
      </c>
      <c r="H181" s="10" t="s">
        <v>75</v>
      </c>
      <c r="I181" s="7" t="s">
        <v>467</v>
      </c>
      <c r="J181" s="34" t="s">
        <v>81</v>
      </c>
      <c r="K181" s="13">
        <v>42516</v>
      </c>
      <c r="L181" s="26">
        <v>43611</v>
      </c>
      <c r="M181" s="14">
        <f t="shared" si="265"/>
        <v>83.983862895923082</v>
      </c>
      <c r="N181" s="7" t="s">
        <v>155</v>
      </c>
      <c r="O181" s="7" t="s">
        <v>156</v>
      </c>
      <c r="P181" s="7" t="s">
        <v>156</v>
      </c>
      <c r="Q181" s="30" t="s">
        <v>157</v>
      </c>
      <c r="R181" s="7" t="s">
        <v>36</v>
      </c>
      <c r="S181" s="16">
        <f t="shared" si="267"/>
        <v>11413787.699999999</v>
      </c>
      <c r="T181" s="16">
        <v>9204225.3699999992</v>
      </c>
      <c r="U181" s="16">
        <v>2209562.33</v>
      </c>
      <c r="V181" s="16">
        <f t="shared" si="266"/>
        <v>0</v>
      </c>
      <c r="W181" s="16">
        <v>0</v>
      </c>
      <c r="X181" s="16">
        <v>0</v>
      </c>
      <c r="Y181" s="16">
        <f t="shared" si="268"/>
        <v>2176665.64</v>
      </c>
      <c r="Z181" s="16">
        <v>1624275.04</v>
      </c>
      <c r="AA181" s="16">
        <v>552390.6</v>
      </c>
      <c r="AB181" s="16">
        <f t="shared" si="269"/>
        <v>0</v>
      </c>
      <c r="AC181" s="16"/>
      <c r="AD181" s="16"/>
      <c r="AE181" s="16">
        <f t="shared" si="270"/>
        <v>13590453.34</v>
      </c>
      <c r="AF181" s="16">
        <v>16355.96</v>
      </c>
      <c r="AG181" s="16">
        <f t="shared" si="225"/>
        <v>13606809.300000001</v>
      </c>
      <c r="AH181" s="20" t="s">
        <v>615</v>
      </c>
      <c r="AI181" s="21" t="s">
        <v>831</v>
      </c>
      <c r="AJ181" s="23">
        <v>7504368.7699999996</v>
      </c>
      <c r="AK181" s="35">
        <v>0</v>
      </c>
    </row>
    <row r="182" spans="1:37" s="165" customFormat="1" ht="204.75" x14ac:dyDescent="0.25">
      <c r="A182" s="7">
        <v>176</v>
      </c>
      <c r="B182" s="7">
        <v>118159</v>
      </c>
      <c r="C182" s="11">
        <v>22</v>
      </c>
      <c r="D182" s="7" t="s">
        <v>176</v>
      </c>
      <c r="E182" s="11" t="s">
        <v>165</v>
      </c>
      <c r="F182" s="107" t="s">
        <v>125</v>
      </c>
      <c r="G182" s="10" t="s">
        <v>82</v>
      </c>
      <c r="H182" s="10" t="s">
        <v>75</v>
      </c>
      <c r="I182" s="7" t="s">
        <v>193</v>
      </c>
      <c r="J182" s="34" t="s">
        <v>83</v>
      </c>
      <c r="K182" s="13">
        <v>42446</v>
      </c>
      <c r="L182" s="26">
        <v>43176</v>
      </c>
      <c r="M182" s="14">
        <f t="shared" si="265"/>
        <v>83.983862881462997</v>
      </c>
      <c r="N182" s="7" t="s">
        <v>155</v>
      </c>
      <c r="O182" s="7" t="s">
        <v>156</v>
      </c>
      <c r="P182" s="7" t="s">
        <v>156</v>
      </c>
      <c r="Q182" s="30" t="s">
        <v>157</v>
      </c>
      <c r="R182" s="7" t="s">
        <v>36</v>
      </c>
      <c r="S182" s="16">
        <f t="shared" si="267"/>
        <v>13490539.449999999</v>
      </c>
      <c r="T182" s="16">
        <v>10878944.699999999</v>
      </c>
      <c r="U182" s="16">
        <v>2611594.75</v>
      </c>
      <c r="V182" s="16">
        <f t="shared" si="266"/>
        <v>0</v>
      </c>
      <c r="W182" s="16">
        <v>0</v>
      </c>
      <c r="X182" s="16">
        <v>0</v>
      </c>
      <c r="Y182" s="16">
        <f t="shared" si="268"/>
        <v>2572712.4500000002</v>
      </c>
      <c r="Z182" s="16">
        <v>1919813.76</v>
      </c>
      <c r="AA182" s="16">
        <v>652898.68999999994</v>
      </c>
      <c r="AB182" s="16">
        <f t="shared" si="269"/>
        <v>0</v>
      </c>
      <c r="AC182" s="16"/>
      <c r="AD182" s="16"/>
      <c r="AE182" s="16">
        <f t="shared" si="270"/>
        <v>16063251.899999999</v>
      </c>
      <c r="AF182" s="16">
        <v>0</v>
      </c>
      <c r="AG182" s="16">
        <f t="shared" si="225"/>
        <v>16063251.899999999</v>
      </c>
      <c r="AH182" s="20" t="s">
        <v>1103</v>
      </c>
      <c r="AI182" s="21" t="s">
        <v>209</v>
      </c>
      <c r="AJ182" s="23">
        <v>12372517.5</v>
      </c>
      <c r="AK182" s="35">
        <v>0</v>
      </c>
    </row>
    <row r="183" spans="1:37" s="165" customFormat="1" ht="267.75" x14ac:dyDescent="0.25">
      <c r="A183" s="7">
        <v>177</v>
      </c>
      <c r="B183" s="7">
        <v>118427</v>
      </c>
      <c r="C183" s="11">
        <v>23</v>
      </c>
      <c r="D183" s="7" t="s">
        <v>171</v>
      </c>
      <c r="E183" s="11" t="s">
        <v>165</v>
      </c>
      <c r="F183" s="107" t="s">
        <v>125</v>
      </c>
      <c r="G183" s="10" t="s">
        <v>85</v>
      </c>
      <c r="H183" s="10" t="s">
        <v>84</v>
      </c>
      <c r="I183" s="7" t="s">
        <v>185</v>
      </c>
      <c r="J183" s="34" t="s">
        <v>86</v>
      </c>
      <c r="K183" s="13">
        <v>42459</v>
      </c>
      <c r="L183" s="26">
        <v>43524</v>
      </c>
      <c r="M183" s="14">
        <f t="shared" si="265"/>
        <v>83.983862468884851</v>
      </c>
      <c r="N183" s="7" t="s">
        <v>155</v>
      </c>
      <c r="O183" s="7" t="s">
        <v>156</v>
      </c>
      <c r="P183" s="7" t="s">
        <v>156</v>
      </c>
      <c r="Q183" s="30" t="s">
        <v>157</v>
      </c>
      <c r="R183" s="7" t="s">
        <v>36</v>
      </c>
      <c r="S183" s="16">
        <f>T183+U183</f>
        <v>6252507.0099999998</v>
      </c>
      <c r="T183" s="16">
        <v>5042102.18</v>
      </c>
      <c r="U183" s="16">
        <v>1210404.83</v>
      </c>
      <c r="V183" s="16">
        <f t="shared" si="266"/>
        <v>0</v>
      </c>
      <c r="W183" s="16">
        <v>0</v>
      </c>
      <c r="X183" s="16">
        <v>0</v>
      </c>
      <c r="Y183" s="16">
        <f t="shared" si="268"/>
        <v>1192383.98</v>
      </c>
      <c r="Z183" s="16">
        <v>889782.73</v>
      </c>
      <c r="AA183" s="16">
        <v>302601.25</v>
      </c>
      <c r="AB183" s="16">
        <f t="shared" si="269"/>
        <v>0</v>
      </c>
      <c r="AC183" s="16"/>
      <c r="AD183" s="16"/>
      <c r="AE183" s="16">
        <f t="shared" si="270"/>
        <v>7444890.9900000002</v>
      </c>
      <c r="AF183" s="16">
        <v>0</v>
      </c>
      <c r="AG183" s="16">
        <f t="shared" si="225"/>
        <v>7444890.9900000002</v>
      </c>
      <c r="AH183" s="20" t="s">
        <v>1103</v>
      </c>
      <c r="AI183" s="109" t="s">
        <v>1274</v>
      </c>
      <c r="AJ183" s="23">
        <f>2818184.2+870614.52+48419.22+1678613.18+827861.4</f>
        <v>6243692.5200000005</v>
      </c>
      <c r="AK183" s="35">
        <v>0</v>
      </c>
    </row>
    <row r="184" spans="1:37" s="165" customFormat="1" ht="141.75" x14ac:dyDescent="0.25">
      <c r="A184" s="7">
        <v>178</v>
      </c>
      <c r="B184" s="7">
        <v>118584</v>
      </c>
      <c r="C184" s="11">
        <v>24</v>
      </c>
      <c r="D184" s="7" t="s">
        <v>1104</v>
      </c>
      <c r="E184" s="11" t="s">
        <v>165</v>
      </c>
      <c r="F184" s="107" t="s">
        <v>125</v>
      </c>
      <c r="G184" s="10" t="s">
        <v>88</v>
      </c>
      <c r="H184" s="10" t="s">
        <v>87</v>
      </c>
      <c r="I184" s="7" t="s">
        <v>185</v>
      </c>
      <c r="J184" s="34" t="s">
        <v>89</v>
      </c>
      <c r="K184" s="13">
        <v>42454</v>
      </c>
      <c r="L184" s="26">
        <v>43610</v>
      </c>
      <c r="M184" s="14">
        <f t="shared" si="265"/>
        <v>83.983862869823341</v>
      </c>
      <c r="N184" s="7" t="s">
        <v>155</v>
      </c>
      <c r="O184" s="7" t="s">
        <v>156</v>
      </c>
      <c r="P184" s="7" t="s">
        <v>156</v>
      </c>
      <c r="Q184" s="30" t="s">
        <v>157</v>
      </c>
      <c r="R184" s="7" t="s">
        <v>36</v>
      </c>
      <c r="S184" s="16">
        <f t="shared" si="267"/>
        <v>2984368.02</v>
      </c>
      <c r="T184" s="16">
        <v>2406632.79</v>
      </c>
      <c r="U184" s="16">
        <v>577735.23</v>
      </c>
      <c r="V184" s="16">
        <f t="shared" si="266"/>
        <v>0</v>
      </c>
      <c r="W184" s="16">
        <v>0</v>
      </c>
      <c r="X184" s="16">
        <v>0</v>
      </c>
      <c r="Y184" s="16">
        <f t="shared" si="268"/>
        <v>569133.71</v>
      </c>
      <c r="Z184" s="16">
        <v>424699.9</v>
      </c>
      <c r="AA184" s="16">
        <v>144433.81</v>
      </c>
      <c r="AB184" s="16">
        <f t="shared" si="269"/>
        <v>0</v>
      </c>
      <c r="AC184" s="16"/>
      <c r="AD184" s="16"/>
      <c r="AE184" s="16">
        <f t="shared" si="270"/>
        <v>3553501.73</v>
      </c>
      <c r="AF184" s="16"/>
      <c r="AG184" s="16">
        <f t="shared" si="225"/>
        <v>3553501.73</v>
      </c>
      <c r="AH184" s="20" t="s">
        <v>615</v>
      </c>
      <c r="AI184" s="110" t="s">
        <v>1275</v>
      </c>
      <c r="AJ184" s="23">
        <f>1046822.23+91171.38</f>
        <v>1137993.6099999999</v>
      </c>
      <c r="AK184" s="35">
        <v>0</v>
      </c>
    </row>
    <row r="185" spans="1:37" s="165" customFormat="1" ht="157.5" x14ac:dyDescent="0.25">
      <c r="A185" s="7">
        <v>179</v>
      </c>
      <c r="B185" s="7">
        <v>117834</v>
      </c>
      <c r="C185" s="11">
        <v>25</v>
      </c>
      <c r="D185" s="7" t="s">
        <v>171</v>
      </c>
      <c r="E185" s="11" t="s">
        <v>165</v>
      </c>
      <c r="F185" s="107" t="s">
        <v>125</v>
      </c>
      <c r="G185" s="10" t="s">
        <v>90</v>
      </c>
      <c r="H185" s="10" t="s">
        <v>84</v>
      </c>
      <c r="I185" s="7" t="s">
        <v>206</v>
      </c>
      <c r="J185" s="34" t="s">
        <v>91</v>
      </c>
      <c r="K185" s="13">
        <v>42459</v>
      </c>
      <c r="L185" s="26">
        <v>43464</v>
      </c>
      <c r="M185" s="14">
        <f t="shared" si="265"/>
        <v>83.983862877433253</v>
      </c>
      <c r="N185" s="7" t="s">
        <v>155</v>
      </c>
      <c r="O185" s="7" t="s">
        <v>156</v>
      </c>
      <c r="P185" s="7" t="s">
        <v>156</v>
      </c>
      <c r="Q185" s="30" t="s">
        <v>157</v>
      </c>
      <c r="R185" s="7" t="s">
        <v>36</v>
      </c>
      <c r="S185" s="16">
        <f t="shared" si="267"/>
        <v>11174376.890000001</v>
      </c>
      <c r="T185" s="16">
        <v>9011161.3900000006</v>
      </c>
      <c r="U185" s="16">
        <v>2163215.5</v>
      </c>
      <c r="V185" s="16">
        <f t="shared" si="266"/>
        <v>0</v>
      </c>
      <c r="W185" s="16">
        <v>0</v>
      </c>
      <c r="X185" s="16">
        <v>0</v>
      </c>
      <c r="Y185" s="16">
        <f t="shared" si="268"/>
        <v>2131008.8199999998</v>
      </c>
      <c r="Z185" s="16">
        <v>1590204.95</v>
      </c>
      <c r="AA185" s="16">
        <v>540803.87</v>
      </c>
      <c r="AB185" s="16">
        <f t="shared" si="269"/>
        <v>0</v>
      </c>
      <c r="AC185" s="16"/>
      <c r="AD185" s="16"/>
      <c r="AE185" s="16">
        <f t="shared" si="270"/>
        <v>13305385.710000001</v>
      </c>
      <c r="AF185" s="16">
        <v>0</v>
      </c>
      <c r="AG185" s="16">
        <f t="shared" si="225"/>
        <v>13305385.710000001</v>
      </c>
      <c r="AH185" s="20" t="s">
        <v>1103</v>
      </c>
      <c r="AI185" s="109" t="s">
        <v>1096</v>
      </c>
      <c r="AJ185" s="23">
        <v>11126144.5</v>
      </c>
      <c r="AK185" s="35">
        <v>0</v>
      </c>
    </row>
    <row r="186" spans="1:37" s="165" customFormat="1" ht="189" x14ac:dyDescent="0.25">
      <c r="A186" s="7">
        <v>180</v>
      </c>
      <c r="B186" s="7">
        <v>118419</v>
      </c>
      <c r="C186" s="11">
        <v>26</v>
      </c>
      <c r="D186" s="7" t="s">
        <v>1104</v>
      </c>
      <c r="E186" s="11" t="s">
        <v>165</v>
      </c>
      <c r="F186" s="107" t="s">
        <v>125</v>
      </c>
      <c r="G186" s="10" t="s">
        <v>92</v>
      </c>
      <c r="H186" s="10" t="s">
        <v>84</v>
      </c>
      <c r="I186" s="7" t="s">
        <v>185</v>
      </c>
      <c r="J186" s="34" t="s">
        <v>93</v>
      </c>
      <c r="K186" s="13">
        <v>42458</v>
      </c>
      <c r="L186" s="26">
        <v>43553</v>
      </c>
      <c r="M186" s="14">
        <f t="shared" si="265"/>
        <v>83.983862783018438</v>
      </c>
      <c r="N186" s="7" t="s">
        <v>155</v>
      </c>
      <c r="O186" s="7" t="s">
        <v>156</v>
      </c>
      <c r="P186" s="7" t="s">
        <v>156</v>
      </c>
      <c r="Q186" s="30" t="s">
        <v>157</v>
      </c>
      <c r="R186" s="7" t="s">
        <v>36</v>
      </c>
      <c r="S186" s="16">
        <f t="shared" si="267"/>
        <v>3637178.37</v>
      </c>
      <c r="T186" s="16">
        <v>2933067.47</v>
      </c>
      <c r="U186" s="16">
        <v>704110.9</v>
      </c>
      <c r="V186" s="16">
        <f t="shared" si="266"/>
        <v>0</v>
      </c>
      <c r="W186" s="16">
        <v>0</v>
      </c>
      <c r="X186" s="16">
        <v>0</v>
      </c>
      <c r="Y186" s="16">
        <f t="shared" si="268"/>
        <v>693627.87</v>
      </c>
      <c r="Z186" s="16">
        <v>517600.14</v>
      </c>
      <c r="AA186" s="16">
        <v>176027.73</v>
      </c>
      <c r="AB186" s="16">
        <f t="shared" si="269"/>
        <v>0</v>
      </c>
      <c r="AC186" s="16"/>
      <c r="AD186" s="16"/>
      <c r="AE186" s="16">
        <f t="shared" si="270"/>
        <v>4330806.24</v>
      </c>
      <c r="AF186" s="16">
        <v>0</v>
      </c>
      <c r="AG186" s="16">
        <f t="shared" si="225"/>
        <v>4330806.24</v>
      </c>
      <c r="AH186" s="20" t="s">
        <v>1342</v>
      </c>
      <c r="AI186" s="110" t="s">
        <v>186</v>
      </c>
      <c r="AJ186" s="23">
        <v>2956760.5</v>
      </c>
      <c r="AK186" s="35">
        <v>0</v>
      </c>
    </row>
    <row r="187" spans="1:37" s="165" customFormat="1" ht="267.75" x14ac:dyDescent="0.25">
      <c r="A187" s="7">
        <v>181</v>
      </c>
      <c r="B187" s="7">
        <v>118319</v>
      </c>
      <c r="C187" s="11">
        <v>27</v>
      </c>
      <c r="D187" s="7" t="s">
        <v>173</v>
      </c>
      <c r="E187" s="11" t="s">
        <v>165</v>
      </c>
      <c r="F187" s="107" t="s">
        <v>125</v>
      </c>
      <c r="G187" s="10" t="s">
        <v>95</v>
      </c>
      <c r="H187" s="10" t="s">
        <v>94</v>
      </c>
      <c r="I187" s="7" t="s">
        <v>198</v>
      </c>
      <c r="J187" s="34" t="s">
        <v>96</v>
      </c>
      <c r="K187" s="13">
        <v>42585</v>
      </c>
      <c r="L187" s="26">
        <v>43680</v>
      </c>
      <c r="M187" s="14">
        <f t="shared" si="265"/>
        <v>83.983862824473448</v>
      </c>
      <c r="N187" s="7" t="s">
        <v>155</v>
      </c>
      <c r="O187" s="7" t="s">
        <v>156</v>
      </c>
      <c r="P187" s="7" t="s">
        <v>156</v>
      </c>
      <c r="Q187" s="30" t="s">
        <v>157</v>
      </c>
      <c r="R187" s="7" t="s">
        <v>36</v>
      </c>
      <c r="S187" s="16">
        <f t="shared" si="267"/>
        <v>17052953.060000002</v>
      </c>
      <c r="T187" s="16">
        <v>13751720.9</v>
      </c>
      <c r="U187" s="16">
        <v>3301232.16</v>
      </c>
      <c r="V187" s="16">
        <f t="shared" si="266"/>
        <v>0</v>
      </c>
      <c r="W187" s="16">
        <v>0</v>
      </c>
      <c r="X187" s="16">
        <v>0</v>
      </c>
      <c r="Y187" s="16">
        <f t="shared" si="268"/>
        <v>3252082.32</v>
      </c>
      <c r="Z187" s="16">
        <v>2426774.2799999998</v>
      </c>
      <c r="AA187" s="16">
        <v>825308.04</v>
      </c>
      <c r="AB187" s="16">
        <f t="shared" si="269"/>
        <v>0</v>
      </c>
      <c r="AC187" s="16"/>
      <c r="AD187" s="16"/>
      <c r="AE187" s="16">
        <f t="shared" si="270"/>
        <v>20305035.380000003</v>
      </c>
      <c r="AF187" s="16">
        <v>0</v>
      </c>
      <c r="AG187" s="16">
        <f t="shared" si="225"/>
        <v>20305035.380000003</v>
      </c>
      <c r="AH187" s="20" t="s">
        <v>615</v>
      </c>
      <c r="AI187" s="21" t="s">
        <v>489</v>
      </c>
      <c r="AJ187" s="23">
        <f>13499794.97+716994.5+92062.31+258000</f>
        <v>14566851.780000001</v>
      </c>
      <c r="AK187" s="35">
        <v>0</v>
      </c>
    </row>
    <row r="188" spans="1:37" s="165" customFormat="1" ht="204.75" x14ac:dyDescent="0.25">
      <c r="A188" s="7">
        <v>182</v>
      </c>
      <c r="B188" s="7"/>
      <c r="C188" s="11">
        <v>28</v>
      </c>
      <c r="D188" s="7" t="s">
        <v>168</v>
      </c>
      <c r="E188" s="11" t="s">
        <v>165</v>
      </c>
      <c r="F188" s="107" t="s">
        <v>125</v>
      </c>
      <c r="G188" s="10" t="s">
        <v>97</v>
      </c>
      <c r="H188" s="10" t="s">
        <v>84</v>
      </c>
      <c r="I188" s="7" t="s">
        <v>202</v>
      </c>
      <c r="J188" s="34" t="s">
        <v>98</v>
      </c>
      <c r="K188" s="13">
        <v>42515</v>
      </c>
      <c r="L188" s="26">
        <v>43610</v>
      </c>
      <c r="M188" s="14">
        <f t="shared" si="265"/>
        <v>83.983862839308514</v>
      </c>
      <c r="N188" s="7" t="s">
        <v>155</v>
      </c>
      <c r="O188" s="7" t="s">
        <v>156</v>
      </c>
      <c r="P188" s="7" t="s">
        <v>156</v>
      </c>
      <c r="Q188" s="30" t="s">
        <v>157</v>
      </c>
      <c r="R188" s="7" t="s">
        <v>36</v>
      </c>
      <c r="S188" s="16">
        <f t="shared" si="267"/>
        <v>36908560.939999998</v>
      </c>
      <c r="T188" s="16">
        <v>29763538.73</v>
      </c>
      <c r="U188" s="16">
        <v>7145022.21</v>
      </c>
      <c r="V188" s="16">
        <f t="shared" si="266"/>
        <v>0</v>
      </c>
      <c r="W188" s="16">
        <v>0</v>
      </c>
      <c r="X188" s="16">
        <v>0</v>
      </c>
      <c r="Y188" s="16">
        <f t="shared" si="268"/>
        <v>7038644.7400000002</v>
      </c>
      <c r="Z188" s="16">
        <v>5252389.1900000004</v>
      </c>
      <c r="AA188" s="16">
        <v>1786255.55</v>
      </c>
      <c r="AB188" s="16">
        <f t="shared" si="269"/>
        <v>0</v>
      </c>
      <c r="AC188" s="16"/>
      <c r="AD188" s="16"/>
      <c r="AE188" s="16">
        <f t="shared" si="270"/>
        <v>43947205.68</v>
      </c>
      <c r="AF188" s="16">
        <v>0</v>
      </c>
      <c r="AG188" s="16">
        <f t="shared" si="225"/>
        <v>43947205.68</v>
      </c>
      <c r="AH188" s="20" t="s">
        <v>615</v>
      </c>
      <c r="AI188" s="21" t="s">
        <v>466</v>
      </c>
      <c r="AJ188" s="23">
        <f>14591533.85+314543.7</f>
        <v>14906077.549999999</v>
      </c>
      <c r="AK188" s="35">
        <v>0</v>
      </c>
    </row>
    <row r="189" spans="1:37" s="165" customFormat="1" ht="236.25" x14ac:dyDescent="0.25">
      <c r="A189" s="7">
        <v>183</v>
      </c>
      <c r="B189" s="7">
        <v>119993</v>
      </c>
      <c r="C189" s="11">
        <v>29</v>
      </c>
      <c r="D189" s="7" t="s">
        <v>171</v>
      </c>
      <c r="E189" s="11" t="s">
        <v>165</v>
      </c>
      <c r="F189" s="107" t="s">
        <v>125</v>
      </c>
      <c r="G189" s="10" t="s">
        <v>100</v>
      </c>
      <c r="H189" s="10" t="s">
        <v>99</v>
      </c>
      <c r="I189" s="7" t="s">
        <v>207</v>
      </c>
      <c r="J189" s="34" t="s">
        <v>101</v>
      </c>
      <c r="K189" s="13">
        <v>42569</v>
      </c>
      <c r="L189" s="26">
        <v>44030</v>
      </c>
      <c r="M189" s="14">
        <f t="shared" si="265"/>
        <v>83.98386282616714</v>
      </c>
      <c r="N189" s="7" t="s">
        <v>155</v>
      </c>
      <c r="O189" s="7" t="s">
        <v>156</v>
      </c>
      <c r="P189" s="7" t="s">
        <v>156</v>
      </c>
      <c r="Q189" s="30" t="s">
        <v>157</v>
      </c>
      <c r="R189" s="7" t="s">
        <v>36</v>
      </c>
      <c r="S189" s="16">
        <f t="shared" si="267"/>
        <v>35912411.909999996</v>
      </c>
      <c r="T189" s="16">
        <v>28960231.329999998</v>
      </c>
      <c r="U189" s="16">
        <v>6952180.5800000001</v>
      </c>
      <c r="V189" s="16">
        <f t="shared" si="266"/>
        <v>0</v>
      </c>
      <c r="W189" s="16">
        <v>0</v>
      </c>
      <c r="X189" s="16">
        <v>0</v>
      </c>
      <c r="Y189" s="16">
        <f t="shared" si="268"/>
        <v>6848674.209999999</v>
      </c>
      <c r="Z189" s="16">
        <v>5110629.0599999996</v>
      </c>
      <c r="AA189" s="16">
        <v>1738045.15</v>
      </c>
      <c r="AB189" s="16">
        <f t="shared" si="269"/>
        <v>0</v>
      </c>
      <c r="AC189" s="16"/>
      <c r="AD189" s="16"/>
      <c r="AE189" s="16">
        <f t="shared" si="270"/>
        <v>42761086.119999997</v>
      </c>
      <c r="AF189" s="16">
        <v>0</v>
      </c>
      <c r="AG189" s="16">
        <f t="shared" ref="AG189:AG260" si="271">AE189+AF189</f>
        <v>42761086.119999997</v>
      </c>
      <c r="AH189" s="20" t="s">
        <v>615</v>
      </c>
      <c r="AI189" s="109" t="s">
        <v>190</v>
      </c>
      <c r="AJ189" s="23">
        <v>28176.63</v>
      </c>
      <c r="AK189" s="35">
        <v>0</v>
      </c>
    </row>
    <row r="190" spans="1:37" s="165" customFormat="1" ht="409.5" x14ac:dyDescent="0.25">
      <c r="A190" s="7">
        <v>184</v>
      </c>
      <c r="B190" s="7">
        <v>118292</v>
      </c>
      <c r="C190" s="11">
        <v>30</v>
      </c>
      <c r="D190" s="7" t="s">
        <v>174</v>
      </c>
      <c r="E190" s="11" t="s">
        <v>165</v>
      </c>
      <c r="F190" s="107" t="s">
        <v>125</v>
      </c>
      <c r="G190" s="10" t="s">
        <v>103</v>
      </c>
      <c r="H190" s="10" t="s">
        <v>102</v>
      </c>
      <c r="I190" s="7" t="s">
        <v>195</v>
      </c>
      <c r="J190" s="34" t="s">
        <v>104</v>
      </c>
      <c r="K190" s="13">
        <v>42446</v>
      </c>
      <c r="L190" s="26">
        <v>43237</v>
      </c>
      <c r="M190" s="14">
        <f t="shared" si="265"/>
        <v>83.983862811384185</v>
      </c>
      <c r="N190" s="7" t="s">
        <v>155</v>
      </c>
      <c r="O190" s="7" t="s">
        <v>156</v>
      </c>
      <c r="P190" s="7" t="s">
        <v>156</v>
      </c>
      <c r="Q190" s="30" t="s">
        <v>157</v>
      </c>
      <c r="R190" s="7" t="s">
        <v>36</v>
      </c>
      <c r="S190" s="16">
        <f t="shared" si="267"/>
        <v>23983572.759999998</v>
      </c>
      <c r="T190" s="16">
        <v>19340661.859999999</v>
      </c>
      <c r="U190" s="16">
        <v>4642910.9000000004</v>
      </c>
      <c r="V190" s="16">
        <f t="shared" si="266"/>
        <v>0</v>
      </c>
      <c r="W190" s="16">
        <v>0</v>
      </c>
      <c r="X190" s="16">
        <v>0</v>
      </c>
      <c r="Y190" s="16">
        <f t="shared" si="268"/>
        <v>4573785.71</v>
      </c>
      <c r="Z190" s="16">
        <v>3413057.98</v>
      </c>
      <c r="AA190" s="16">
        <v>1160727.73</v>
      </c>
      <c r="AB190" s="16">
        <f t="shared" si="269"/>
        <v>0</v>
      </c>
      <c r="AC190" s="16"/>
      <c r="AD190" s="16"/>
      <c r="AE190" s="16">
        <f t="shared" si="270"/>
        <v>28557358.469999999</v>
      </c>
      <c r="AF190" s="16">
        <v>54654.13</v>
      </c>
      <c r="AG190" s="16">
        <f t="shared" si="271"/>
        <v>28612012.599999998</v>
      </c>
      <c r="AH190" s="20" t="s">
        <v>1103</v>
      </c>
      <c r="AI190" s="21" t="s">
        <v>496</v>
      </c>
      <c r="AJ190" s="23">
        <v>20419622.34</v>
      </c>
      <c r="AK190" s="35">
        <v>0</v>
      </c>
    </row>
    <row r="191" spans="1:37" s="165" customFormat="1" ht="141.75" x14ac:dyDescent="0.25">
      <c r="A191" s="7">
        <v>185</v>
      </c>
      <c r="B191" s="7">
        <v>120208</v>
      </c>
      <c r="C191" s="11">
        <v>47</v>
      </c>
      <c r="D191" s="7" t="s">
        <v>173</v>
      </c>
      <c r="E191" s="11" t="s">
        <v>165</v>
      </c>
      <c r="F191" s="107" t="s">
        <v>128</v>
      </c>
      <c r="G191" s="10" t="s">
        <v>707</v>
      </c>
      <c r="H191" s="10" t="s">
        <v>359</v>
      </c>
      <c r="I191" s="7" t="s">
        <v>185</v>
      </c>
      <c r="J191" s="34" t="s">
        <v>709</v>
      </c>
      <c r="K191" s="13">
        <v>42914</v>
      </c>
      <c r="L191" s="26">
        <v>44193</v>
      </c>
      <c r="M191" s="14">
        <f t="shared" si="265"/>
        <v>83.983862839866035</v>
      </c>
      <c r="N191" s="7" t="s">
        <v>155</v>
      </c>
      <c r="O191" s="7" t="s">
        <v>156</v>
      </c>
      <c r="P191" s="7" t="s">
        <v>156</v>
      </c>
      <c r="Q191" s="30" t="s">
        <v>157</v>
      </c>
      <c r="R191" s="7" t="s">
        <v>36</v>
      </c>
      <c r="S191" s="16">
        <f t="shared" si="267"/>
        <v>6085613.1800000006</v>
      </c>
      <c r="T191" s="16">
        <v>4907516.82</v>
      </c>
      <c r="U191" s="16">
        <v>1178096.3600000001</v>
      </c>
      <c r="V191" s="16">
        <f>W191+X191</f>
        <v>0</v>
      </c>
      <c r="W191" s="16">
        <v>0</v>
      </c>
      <c r="X191" s="16">
        <v>0</v>
      </c>
      <c r="Y191" s="16">
        <f t="shared" si="268"/>
        <v>1160556.47</v>
      </c>
      <c r="Z191" s="16">
        <v>866032.38</v>
      </c>
      <c r="AA191" s="16">
        <v>294524.09000000003</v>
      </c>
      <c r="AB191" s="16">
        <f t="shared" si="269"/>
        <v>0</v>
      </c>
      <c r="AC191" s="16"/>
      <c r="AD191" s="16"/>
      <c r="AE191" s="16">
        <f t="shared" si="270"/>
        <v>7246169.6500000004</v>
      </c>
      <c r="AF191" s="16">
        <v>0</v>
      </c>
      <c r="AG191" s="16">
        <f t="shared" si="271"/>
        <v>7246169.6500000004</v>
      </c>
      <c r="AH191" s="20" t="s">
        <v>615</v>
      </c>
      <c r="AI191" s="21" t="s">
        <v>1109</v>
      </c>
      <c r="AJ191" s="23">
        <f>318314.17+157541.59+137631.79+46368.47</f>
        <v>659856.02</v>
      </c>
      <c r="AK191" s="35">
        <v>0</v>
      </c>
    </row>
    <row r="192" spans="1:37" s="165" customFormat="1" ht="173.25" x14ac:dyDescent="0.25">
      <c r="A192" s="7">
        <v>186</v>
      </c>
      <c r="B192" s="7">
        <v>119991</v>
      </c>
      <c r="C192" s="11">
        <v>48</v>
      </c>
      <c r="D192" s="7" t="s">
        <v>171</v>
      </c>
      <c r="E192" s="11" t="s">
        <v>165</v>
      </c>
      <c r="F192" s="107" t="s">
        <v>128</v>
      </c>
      <c r="G192" s="10" t="s">
        <v>130</v>
      </c>
      <c r="H192" s="10" t="s">
        <v>129</v>
      </c>
      <c r="I192" s="7" t="s">
        <v>185</v>
      </c>
      <c r="J192" s="34" t="s">
        <v>131</v>
      </c>
      <c r="K192" s="13">
        <v>43004</v>
      </c>
      <c r="L192" s="26">
        <v>43916</v>
      </c>
      <c r="M192" s="14">
        <f t="shared" si="265"/>
        <v>83.9838628091575</v>
      </c>
      <c r="N192" s="7" t="s">
        <v>155</v>
      </c>
      <c r="O192" s="7" t="s">
        <v>156</v>
      </c>
      <c r="P192" s="7" t="s">
        <v>156</v>
      </c>
      <c r="Q192" s="30" t="s">
        <v>157</v>
      </c>
      <c r="R192" s="7" t="s">
        <v>36</v>
      </c>
      <c r="S192" s="16">
        <f t="shared" si="267"/>
        <v>12597407.540000001</v>
      </c>
      <c r="T192" s="16">
        <v>10158711.630000001</v>
      </c>
      <c r="U192" s="16">
        <v>2438695.91</v>
      </c>
      <c r="V192" s="16">
        <f t="shared" si="266"/>
        <v>0</v>
      </c>
      <c r="W192" s="16">
        <v>0</v>
      </c>
      <c r="X192" s="16">
        <v>0</v>
      </c>
      <c r="Y192" s="16">
        <f t="shared" si="268"/>
        <v>2402387.7999999998</v>
      </c>
      <c r="Z192" s="16">
        <v>1792713.82</v>
      </c>
      <c r="AA192" s="16">
        <v>609673.98</v>
      </c>
      <c r="AB192" s="16">
        <f t="shared" si="269"/>
        <v>0</v>
      </c>
      <c r="AC192" s="16"/>
      <c r="AD192" s="16"/>
      <c r="AE192" s="16">
        <f t="shared" si="270"/>
        <v>14999795.34</v>
      </c>
      <c r="AF192" s="16">
        <v>2999990</v>
      </c>
      <c r="AG192" s="16">
        <f t="shared" si="271"/>
        <v>17999785.34</v>
      </c>
      <c r="AH192" s="20" t="s">
        <v>615</v>
      </c>
      <c r="AI192" s="108" t="s">
        <v>185</v>
      </c>
      <c r="AJ192" s="23">
        <v>0</v>
      </c>
      <c r="AK192" s="111">
        <v>0</v>
      </c>
    </row>
    <row r="193" spans="1:37" s="112" customFormat="1" ht="252" x14ac:dyDescent="0.25">
      <c r="A193" s="7">
        <v>187</v>
      </c>
      <c r="B193" s="7">
        <v>119992</v>
      </c>
      <c r="C193" s="11">
        <v>49</v>
      </c>
      <c r="D193" s="7" t="s">
        <v>171</v>
      </c>
      <c r="E193" s="11" t="s">
        <v>165</v>
      </c>
      <c r="F193" s="107" t="s">
        <v>128</v>
      </c>
      <c r="G193" s="10" t="s">
        <v>132</v>
      </c>
      <c r="H193" s="10" t="s">
        <v>129</v>
      </c>
      <c r="I193" s="7" t="s">
        <v>185</v>
      </c>
      <c r="J193" s="34" t="s">
        <v>133</v>
      </c>
      <c r="K193" s="13">
        <v>43004</v>
      </c>
      <c r="L193" s="26">
        <v>43916</v>
      </c>
      <c r="M193" s="14">
        <f t="shared" si="265"/>
        <v>83.98386278575461</v>
      </c>
      <c r="N193" s="7" t="s">
        <v>155</v>
      </c>
      <c r="O193" s="7" t="s">
        <v>156</v>
      </c>
      <c r="P193" s="7" t="s">
        <v>156</v>
      </c>
      <c r="Q193" s="30" t="s">
        <v>157</v>
      </c>
      <c r="R193" s="7" t="s">
        <v>36</v>
      </c>
      <c r="S193" s="16">
        <f t="shared" si="267"/>
        <v>11755282.280000001</v>
      </c>
      <c r="T193" s="16">
        <v>9479610.9800000004</v>
      </c>
      <c r="U193" s="16">
        <v>2275671.2999999998</v>
      </c>
      <c r="V193" s="16">
        <f t="shared" si="266"/>
        <v>0</v>
      </c>
      <c r="W193" s="16">
        <v>0</v>
      </c>
      <c r="X193" s="16">
        <v>0</v>
      </c>
      <c r="Y193" s="16">
        <f t="shared" si="268"/>
        <v>2241790.36</v>
      </c>
      <c r="Z193" s="16">
        <v>1672872.53</v>
      </c>
      <c r="AA193" s="16">
        <v>568917.82999999996</v>
      </c>
      <c r="AB193" s="16">
        <f t="shared" si="269"/>
        <v>0</v>
      </c>
      <c r="AC193" s="16"/>
      <c r="AD193" s="16"/>
      <c r="AE193" s="16">
        <f t="shared" si="270"/>
        <v>13997072.640000001</v>
      </c>
      <c r="AF193" s="16">
        <v>0</v>
      </c>
      <c r="AG193" s="16">
        <f t="shared" si="271"/>
        <v>13997072.640000001</v>
      </c>
      <c r="AH193" s="20" t="s">
        <v>615</v>
      </c>
      <c r="AI193" s="108" t="s">
        <v>185</v>
      </c>
      <c r="AJ193" s="23">
        <v>0</v>
      </c>
      <c r="AK193" s="111">
        <v>0</v>
      </c>
    </row>
    <row r="194" spans="1:37" s="112" customFormat="1" ht="173.25" x14ac:dyDescent="0.25">
      <c r="A194" s="7">
        <v>188</v>
      </c>
      <c r="B194" s="7">
        <v>119731</v>
      </c>
      <c r="C194" s="11">
        <v>51</v>
      </c>
      <c r="D194" s="7" t="s">
        <v>173</v>
      </c>
      <c r="E194" s="11" t="s">
        <v>165</v>
      </c>
      <c r="F194" s="107" t="s">
        <v>128</v>
      </c>
      <c r="G194" s="10" t="s">
        <v>134</v>
      </c>
      <c r="H194" s="10" t="s">
        <v>64</v>
      </c>
      <c r="I194" s="7" t="s">
        <v>185</v>
      </c>
      <c r="J194" s="34" t="s">
        <v>135</v>
      </c>
      <c r="K194" s="13">
        <v>42956</v>
      </c>
      <c r="L194" s="26">
        <v>43870</v>
      </c>
      <c r="M194" s="14">
        <f t="shared" si="265"/>
        <v>83.983862780427785</v>
      </c>
      <c r="N194" s="7" t="s">
        <v>155</v>
      </c>
      <c r="O194" s="7" t="s">
        <v>156</v>
      </c>
      <c r="P194" s="7" t="s">
        <v>156</v>
      </c>
      <c r="Q194" s="30" t="s">
        <v>157</v>
      </c>
      <c r="R194" s="7" t="s">
        <v>36</v>
      </c>
      <c r="S194" s="16">
        <f t="shared" si="267"/>
        <v>10449475.91</v>
      </c>
      <c r="T194" s="16">
        <v>8426591.9100000001</v>
      </c>
      <c r="U194" s="16">
        <v>2022884</v>
      </c>
      <c r="V194" s="16">
        <f t="shared" si="266"/>
        <v>0</v>
      </c>
      <c r="W194" s="16">
        <v>0</v>
      </c>
      <c r="X194" s="16">
        <v>0</v>
      </c>
      <c r="Y194" s="16">
        <f t="shared" si="268"/>
        <v>1992766.64</v>
      </c>
      <c r="Z194" s="16">
        <v>1487045.64</v>
      </c>
      <c r="AA194" s="16">
        <v>505721</v>
      </c>
      <c r="AB194" s="16">
        <f t="shared" si="269"/>
        <v>0</v>
      </c>
      <c r="AC194" s="16"/>
      <c r="AD194" s="16"/>
      <c r="AE194" s="16">
        <f t="shared" si="270"/>
        <v>12442242.550000001</v>
      </c>
      <c r="AF194" s="16">
        <v>0</v>
      </c>
      <c r="AG194" s="16">
        <f t="shared" si="271"/>
        <v>12442242.550000001</v>
      </c>
      <c r="AH194" s="20" t="s">
        <v>615</v>
      </c>
      <c r="AI194" s="108" t="s">
        <v>185</v>
      </c>
      <c r="AJ194" s="23">
        <f>69562.99+104629.25+99957.75+221484.48</f>
        <v>495634.47</v>
      </c>
      <c r="AK194" s="111">
        <v>0</v>
      </c>
    </row>
    <row r="195" spans="1:37" s="112" customFormat="1" ht="173.25" x14ac:dyDescent="0.25">
      <c r="A195" s="7">
        <v>189</v>
      </c>
      <c r="B195" s="7">
        <v>120194</v>
      </c>
      <c r="C195" s="11">
        <v>52</v>
      </c>
      <c r="D195" s="7" t="s">
        <v>174</v>
      </c>
      <c r="E195" s="11" t="s">
        <v>165</v>
      </c>
      <c r="F195" s="107" t="s">
        <v>128</v>
      </c>
      <c r="G195" s="10" t="s">
        <v>137</v>
      </c>
      <c r="H195" s="10" t="s">
        <v>136</v>
      </c>
      <c r="I195" s="7" t="s">
        <v>185</v>
      </c>
      <c r="J195" s="34" t="s">
        <v>138</v>
      </c>
      <c r="K195" s="13">
        <v>42963</v>
      </c>
      <c r="L195" s="26">
        <v>43877</v>
      </c>
      <c r="M195" s="14">
        <f t="shared" si="265"/>
        <v>83.983862831024851</v>
      </c>
      <c r="N195" s="7" t="s">
        <v>155</v>
      </c>
      <c r="O195" s="7" t="s">
        <v>156</v>
      </c>
      <c r="P195" s="7" t="s">
        <v>156</v>
      </c>
      <c r="Q195" s="30" t="s">
        <v>157</v>
      </c>
      <c r="R195" s="7" t="s">
        <v>36</v>
      </c>
      <c r="S195" s="16">
        <f t="shared" si="267"/>
        <v>12243037.969999999</v>
      </c>
      <c r="T195" s="16">
        <v>9872943.4499999993</v>
      </c>
      <c r="U195" s="16">
        <v>2370094.52</v>
      </c>
      <c r="V195" s="16">
        <f t="shared" si="266"/>
        <v>0</v>
      </c>
      <c r="W195" s="16">
        <v>0</v>
      </c>
      <c r="X195" s="16">
        <v>0</v>
      </c>
      <c r="Y195" s="16">
        <f t="shared" si="268"/>
        <v>2334807.77</v>
      </c>
      <c r="Z195" s="16">
        <v>1742284.14</v>
      </c>
      <c r="AA195" s="16">
        <v>592523.63</v>
      </c>
      <c r="AB195" s="16">
        <f t="shared" si="269"/>
        <v>0</v>
      </c>
      <c r="AC195" s="16"/>
      <c r="AD195" s="16"/>
      <c r="AE195" s="16">
        <f t="shared" si="270"/>
        <v>14577845.739999998</v>
      </c>
      <c r="AF195" s="16">
        <v>0</v>
      </c>
      <c r="AG195" s="16">
        <f t="shared" si="271"/>
        <v>14577845.739999998</v>
      </c>
      <c r="AH195" s="20" t="s">
        <v>615</v>
      </c>
      <c r="AI195" s="108" t="s">
        <v>185</v>
      </c>
      <c r="AJ195" s="23">
        <f>18637.33+286940.34+81387.29</f>
        <v>386964.96</v>
      </c>
      <c r="AK195" s="111">
        <v>0</v>
      </c>
    </row>
    <row r="196" spans="1:37" s="112" customFormat="1" ht="267.75" x14ac:dyDescent="0.25">
      <c r="A196" s="7">
        <v>190</v>
      </c>
      <c r="B196" s="7">
        <v>119983</v>
      </c>
      <c r="C196" s="11">
        <v>58</v>
      </c>
      <c r="D196" s="7" t="s">
        <v>172</v>
      </c>
      <c r="E196" s="11" t="s">
        <v>165</v>
      </c>
      <c r="F196" s="107" t="s">
        <v>128</v>
      </c>
      <c r="G196" s="10" t="s">
        <v>139</v>
      </c>
      <c r="H196" s="10" t="s">
        <v>75</v>
      </c>
      <c r="I196" s="7" t="s">
        <v>194</v>
      </c>
      <c r="J196" s="34" t="s">
        <v>140</v>
      </c>
      <c r="K196" s="13">
        <v>42963</v>
      </c>
      <c r="L196" s="26">
        <v>43693</v>
      </c>
      <c r="M196" s="14">
        <f t="shared" si="265"/>
        <v>83.983862872994763</v>
      </c>
      <c r="N196" s="7" t="s">
        <v>155</v>
      </c>
      <c r="O196" s="7" t="s">
        <v>156</v>
      </c>
      <c r="P196" s="7" t="s">
        <v>156</v>
      </c>
      <c r="Q196" s="30" t="s">
        <v>157</v>
      </c>
      <c r="R196" s="7" t="s">
        <v>36</v>
      </c>
      <c r="S196" s="16">
        <f t="shared" si="267"/>
        <v>8062160.4699999997</v>
      </c>
      <c r="T196" s="16">
        <v>6501430</v>
      </c>
      <c r="U196" s="16">
        <v>1560730.47</v>
      </c>
      <c r="V196" s="16">
        <f t="shared" si="266"/>
        <v>0</v>
      </c>
      <c r="W196" s="16">
        <v>0</v>
      </c>
      <c r="X196" s="16">
        <v>0</v>
      </c>
      <c r="Y196" s="16">
        <f t="shared" si="268"/>
        <v>1537493.79</v>
      </c>
      <c r="Z196" s="16">
        <v>1147311.17</v>
      </c>
      <c r="AA196" s="16">
        <v>390182.62</v>
      </c>
      <c r="AB196" s="16">
        <f t="shared" si="269"/>
        <v>0</v>
      </c>
      <c r="AC196" s="16"/>
      <c r="AD196" s="16"/>
      <c r="AE196" s="16">
        <f t="shared" si="270"/>
        <v>9599654.2599999998</v>
      </c>
      <c r="AF196" s="16">
        <v>655333</v>
      </c>
      <c r="AG196" s="16">
        <f t="shared" si="271"/>
        <v>10254987.26</v>
      </c>
      <c r="AH196" s="20" t="s">
        <v>615</v>
      </c>
      <c r="AI196" s="108" t="s">
        <v>185</v>
      </c>
      <c r="AJ196" s="23">
        <f>27068+159937+61959.1+719797.57+221414.47</f>
        <v>1190176.1399999999</v>
      </c>
      <c r="AK196" s="111">
        <v>0</v>
      </c>
    </row>
    <row r="197" spans="1:37" s="165" customFormat="1" ht="141.75" x14ac:dyDescent="0.25">
      <c r="A197" s="7">
        <v>191</v>
      </c>
      <c r="B197" s="7">
        <v>119622</v>
      </c>
      <c r="C197" s="11">
        <v>45</v>
      </c>
      <c r="D197" s="7" t="s">
        <v>173</v>
      </c>
      <c r="E197" s="11" t="s">
        <v>166</v>
      </c>
      <c r="F197" s="107" t="s">
        <v>182</v>
      </c>
      <c r="G197" s="10" t="s">
        <v>122</v>
      </c>
      <c r="H197" s="10" t="s">
        <v>121</v>
      </c>
      <c r="I197" s="7" t="s">
        <v>185</v>
      </c>
      <c r="J197" s="34" t="s">
        <v>123</v>
      </c>
      <c r="K197" s="13">
        <v>42793</v>
      </c>
      <c r="L197" s="26">
        <v>43765</v>
      </c>
      <c r="M197" s="14">
        <f t="shared" si="265"/>
        <v>83.983862835522956</v>
      </c>
      <c r="N197" s="7" t="s">
        <v>155</v>
      </c>
      <c r="O197" s="7" t="s">
        <v>156</v>
      </c>
      <c r="P197" s="7" t="s">
        <v>156</v>
      </c>
      <c r="Q197" s="30" t="s">
        <v>157</v>
      </c>
      <c r="R197" s="7" t="s">
        <v>36</v>
      </c>
      <c r="S197" s="16">
        <f t="shared" si="267"/>
        <v>37233996.450000003</v>
      </c>
      <c r="T197" s="16">
        <v>30025974.120000001</v>
      </c>
      <c r="U197" s="16">
        <v>7208022.3300000001</v>
      </c>
      <c r="V197" s="16">
        <f t="shared" si="266"/>
        <v>0</v>
      </c>
      <c r="W197" s="16">
        <v>0</v>
      </c>
      <c r="X197" s="16">
        <v>0</v>
      </c>
      <c r="Y197" s="16">
        <f t="shared" si="268"/>
        <v>7100706.9000000004</v>
      </c>
      <c r="Z197" s="16">
        <v>5298701.32</v>
      </c>
      <c r="AA197" s="16">
        <v>1802005.58</v>
      </c>
      <c r="AB197" s="16">
        <f t="shared" si="269"/>
        <v>0</v>
      </c>
      <c r="AC197" s="16"/>
      <c r="AD197" s="16"/>
      <c r="AE197" s="16">
        <f t="shared" si="270"/>
        <v>44334703.350000001</v>
      </c>
      <c r="AF197" s="16">
        <v>427346.26</v>
      </c>
      <c r="AG197" s="16">
        <f t="shared" si="271"/>
        <v>44762049.609999999</v>
      </c>
      <c r="AH197" s="20" t="s">
        <v>615</v>
      </c>
      <c r="AI197" s="113" t="s">
        <v>922</v>
      </c>
      <c r="AJ197" s="23">
        <f>4923177.41+2008542+5450879.77+3758413.79+2325826.28</f>
        <v>18466839.25</v>
      </c>
      <c r="AK197" s="111">
        <v>0</v>
      </c>
    </row>
    <row r="198" spans="1:37" s="165" customFormat="1" ht="141.75" x14ac:dyDescent="0.25">
      <c r="A198" s="7">
        <v>192</v>
      </c>
      <c r="B198" s="7">
        <v>119689</v>
      </c>
      <c r="C198" s="11">
        <v>53</v>
      </c>
      <c r="D198" s="7" t="s">
        <v>173</v>
      </c>
      <c r="E198" s="11" t="s">
        <v>169</v>
      </c>
      <c r="F198" s="107" t="s">
        <v>142</v>
      </c>
      <c r="G198" s="10" t="s">
        <v>112</v>
      </c>
      <c r="H198" s="10" t="s">
        <v>111</v>
      </c>
      <c r="I198" s="7" t="s">
        <v>185</v>
      </c>
      <c r="J198" s="34" t="s">
        <v>113</v>
      </c>
      <c r="K198" s="13">
        <v>42943</v>
      </c>
      <c r="L198" s="26">
        <v>44039</v>
      </c>
      <c r="M198" s="14">
        <f t="shared" si="265"/>
        <v>83.983862843305559</v>
      </c>
      <c r="N198" s="7" t="s">
        <v>155</v>
      </c>
      <c r="O198" s="7" t="s">
        <v>156</v>
      </c>
      <c r="P198" s="7" t="s">
        <v>156</v>
      </c>
      <c r="Q198" s="30" t="s">
        <v>157</v>
      </c>
      <c r="R198" s="7" t="s">
        <v>36</v>
      </c>
      <c r="S198" s="16">
        <f t="shared" si="267"/>
        <v>46010993.850000001</v>
      </c>
      <c r="T198" s="16">
        <v>37103857.82</v>
      </c>
      <c r="U198" s="16">
        <v>8907136.0299999993</v>
      </c>
      <c r="V198" s="16">
        <f t="shared" si="266"/>
        <v>0</v>
      </c>
      <c r="W198" s="16">
        <v>0</v>
      </c>
      <c r="X198" s="16">
        <v>0</v>
      </c>
      <c r="Y198" s="16">
        <f t="shared" si="268"/>
        <v>8774523.620000001</v>
      </c>
      <c r="Z198" s="16">
        <v>6547739.6100000003</v>
      </c>
      <c r="AA198" s="16">
        <v>2226784.0099999998</v>
      </c>
      <c r="AB198" s="16">
        <f t="shared" si="269"/>
        <v>0</v>
      </c>
      <c r="AC198" s="16"/>
      <c r="AD198" s="16"/>
      <c r="AE198" s="16">
        <f t="shared" si="270"/>
        <v>54785517.469999999</v>
      </c>
      <c r="AF198" s="16">
        <v>0</v>
      </c>
      <c r="AG198" s="16">
        <f t="shared" si="271"/>
        <v>54785517.469999999</v>
      </c>
      <c r="AH198" s="20" t="s">
        <v>615</v>
      </c>
      <c r="AI198" s="21" t="s">
        <v>185</v>
      </c>
      <c r="AJ198" s="23">
        <f>159716.44+74879.59+127159.41+24852.51+91132.97</f>
        <v>477740.92000000004</v>
      </c>
      <c r="AK198" s="35">
        <v>0</v>
      </c>
    </row>
    <row r="199" spans="1:37" s="165" customFormat="1" ht="157.5" x14ac:dyDescent="0.25">
      <c r="A199" s="7">
        <v>193</v>
      </c>
      <c r="B199" s="7">
        <v>119240</v>
      </c>
      <c r="C199" s="11">
        <v>54</v>
      </c>
      <c r="D199" s="7" t="s">
        <v>173</v>
      </c>
      <c r="E199" s="11" t="s">
        <v>169</v>
      </c>
      <c r="F199" s="107" t="s">
        <v>142</v>
      </c>
      <c r="G199" s="10" t="s">
        <v>114</v>
      </c>
      <c r="H199" s="10" t="s">
        <v>111</v>
      </c>
      <c r="I199" s="7" t="s">
        <v>185</v>
      </c>
      <c r="J199" s="34" t="s">
        <v>115</v>
      </c>
      <c r="K199" s="13">
        <v>42943</v>
      </c>
      <c r="L199" s="26">
        <v>44039</v>
      </c>
      <c r="M199" s="14">
        <f t="shared" si="265"/>
        <v>83.983862856059488</v>
      </c>
      <c r="N199" s="7" t="s">
        <v>155</v>
      </c>
      <c r="O199" s="7" t="s">
        <v>156</v>
      </c>
      <c r="P199" s="7" t="s">
        <v>156</v>
      </c>
      <c r="Q199" s="30" t="s">
        <v>157</v>
      </c>
      <c r="R199" s="7" t="s">
        <v>36</v>
      </c>
      <c r="S199" s="16">
        <f t="shared" si="267"/>
        <v>11805482.93</v>
      </c>
      <c r="T199" s="16">
        <v>9520093.4299999997</v>
      </c>
      <c r="U199" s="16">
        <v>2285389.5</v>
      </c>
      <c r="V199" s="16">
        <f t="shared" si="266"/>
        <v>0</v>
      </c>
      <c r="W199" s="16">
        <v>0</v>
      </c>
      <c r="X199" s="16">
        <v>0</v>
      </c>
      <c r="Y199" s="16">
        <f t="shared" si="268"/>
        <v>2251363.86</v>
      </c>
      <c r="Z199" s="16">
        <v>1680016.49</v>
      </c>
      <c r="AA199" s="16">
        <v>571347.37</v>
      </c>
      <c r="AB199" s="16">
        <f t="shared" si="269"/>
        <v>0</v>
      </c>
      <c r="AC199" s="16"/>
      <c r="AD199" s="16"/>
      <c r="AE199" s="16">
        <f t="shared" si="270"/>
        <v>14056846.789999999</v>
      </c>
      <c r="AF199" s="16">
        <v>216877.5</v>
      </c>
      <c r="AG199" s="16">
        <f t="shared" si="271"/>
        <v>14273724.289999999</v>
      </c>
      <c r="AH199" s="20" t="s">
        <v>615</v>
      </c>
      <c r="AI199" s="21" t="s">
        <v>185</v>
      </c>
      <c r="AJ199" s="23">
        <f>122452.96+57358.87+100383.61+47533.82+68603.68</f>
        <v>396332.94</v>
      </c>
      <c r="AK199" s="35">
        <v>0</v>
      </c>
    </row>
    <row r="200" spans="1:37" s="165" customFormat="1" ht="255" x14ac:dyDescent="0.25">
      <c r="A200" s="7">
        <v>194</v>
      </c>
      <c r="B200" s="7">
        <v>120068</v>
      </c>
      <c r="C200" s="11">
        <v>55</v>
      </c>
      <c r="D200" s="7" t="s">
        <v>170</v>
      </c>
      <c r="E200" s="11" t="s">
        <v>169</v>
      </c>
      <c r="F200" s="107" t="s">
        <v>142</v>
      </c>
      <c r="G200" s="10" t="s">
        <v>117</v>
      </c>
      <c r="H200" s="10" t="s">
        <v>116</v>
      </c>
      <c r="I200" s="114" t="s">
        <v>192</v>
      </c>
      <c r="J200" s="34" t="s">
        <v>118</v>
      </c>
      <c r="K200" s="13">
        <v>43060</v>
      </c>
      <c r="L200" s="26">
        <v>43820</v>
      </c>
      <c r="M200" s="14">
        <f t="shared" si="265"/>
        <v>83.983862867470734</v>
      </c>
      <c r="N200" s="7" t="s">
        <v>155</v>
      </c>
      <c r="O200" s="7" t="s">
        <v>156</v>
      </c>
      <c r="P200" s="7" t="s">
        <v>156</v>
      </c>
      <c r="Q200" s="7" t="s">
        <v>157</v>
      </c>
      <c r="R200" s="7" t="s">
        <v>36</v>
      </c>
      <c r="S200" s="16">
        <f t="shared" si="267"/>
        <v>8678209.1799999997</v>
      </c>
      <c r="T200" s="16">
        <v>6998219.6100000003</v>
      </c>
      <c r="U200" s="16">
        <v>1679989.57</v>
      </c>
      <c r="V200" s="16">
        <f t="shared" si="266"/>
        <v>0</v>
      </c>
      <c r="W200" s="16">
        <v>0</v>
      </c>
      <c r="X200" s="16">
        <v>0</v>
      </c>
      <c r="Y200" s="16">
        <f t="shared" si="268"/>
        <v>1654977.3199999998</v>
      </c>
      <c r="Z200" s="16">
        <v>1234979.93</v>
      </c>
      <c r="AA200" s="16">
        <v>419997.39</v>
      </c>
      <c r="AB200" s="16">
        <f t="shared" si="269"/>
        <v>0</v>
      </c>
      <c r="AC200" s="16">
        <v>0</v>
      </c>
      <c r="AD200" s="16">
        <v>0</v>
      </c>
      <c r="AE200" s="16">
        <f t="shared" si="270"/>
        <v>10333186.5</v>
      </c>
      <c r="AF200" s="16">
        <v>0</v>
      </c>
      <c r="AG200" s="16">
        <f t="shared" si="271"/>
        <v>10333186.5</v>
      </c>
      <c r="AH200" s="20" t="s">
        <v>615</v>
      </c>
      <c r="AI200" s="21" t="s">
        <v>1241</v>
      </c>
      <c r="AJ200" s="23">
        <f>41796.8+106506.65</f>
        <v>148303.45000000001</v>
      </c>
      <c r="AK200" s="35">
        <v>0</v>
      </c>
    </row>
    <row r="201" spans="1:37" s="165" customFormat="1" ht="141.75" x14ac:dyDescent="0.25">
      <c r="A201" s="7">
        <v>195</v>
      </c>
      <c r="B201" s="7">
        <v>120082</v>
      </c>
      <c r="C201" s="11">
        <v>56</v>
      </c>
      <c r="D201" s="7" t="s">
        <v>168</v>
      </c>
      <c r="E201" s="11" t="s">
        <v>169</v>
      </c>
      <c r="F201" s="107" t="s">
        <v>142</v>
      </c>
      <c r="G201" s="10" t="s">
        <v>143</v>
      </c>
      <c r="H201" s="10" t="s">
        <v>141</v>
      </c>
      <c r="I201" s="7" t="s">
        <v>204</v>
      </c>
      <c r="J201" s="34" t="s">
        <v>144</v>
      </c>
      <c r="K201" s="13">
        <v>43006</v>
      </c>
      <c r="L201" s="26">
        <v>44102</v>
      </c>
      <c r="M201" s="14">
        <f t="shared" si="265"/>
        <v>83.98386279749451</v>
      </c>
      <c r="N201" s="7" t="s">
        <v>155</v>
      </c>
      <c r="O201" s="7" t="s">
        <v>156</v>
      </c>
      <c r="P201" s="7" t="s">
        <v>156</v>
      </c>
      <c r="Q201" s="30" t="s">
        <v>157</v>
      </c>
      <c r="R201" s="7" t="s">
        <v>36</v>
      </c>
      <c r="S201" s="16">
        <f t="shared" si="267"/>
        <v>5145385.2700000005</v>
      </c>
      <c r="T201" s="16">
        <v>4149304.93</v>
      </c>
      <c r="U201" s="16">
        <v>996080.34</v>
      </c>
      <c r="V201" s="16">
        <f t="shared" si="266"/>
        <v>0</v>
      </c>
      <c r="W201" s="16">
        <v>0</v>
      </c>
      <c r="X201" s="16">
        <v>0</v>
      </c>
      <c r="Y201" s="16">
        <f t="shared" si="268"/>
        <v>981250.37</v>
      </c>
      <c r="Z201" s="16">
        <v>732230.28</v>
      </c>
      <c r="AA201" s="16">
        <v>249020.09</v>
      </c>
      <c r="AB201" s="16">
        <f t="shared" si="269"/>
        <v>0</v>
      </c>
      <c r="AC201" s="16"/>
      <c r="AD201" s="16"/>
      <c r="AE201" s="16">
        <f t="shared" si="270"/>
        <v>6126635.6400000006</v>
      </c>
      <c r="AF201" s="16">
        <v>0</v>
      </c>
      <c r="AG201" s="16">
        <f t="shared" si="271"/>
        <v>6126635.6400000006</v>
      </c>
      <c r="AH201" s="20" t="s">
        <v>615</v>
      </c>
      <c r="AI201" s="108" t="s">
        <v>185</v>
      </c>
      <c r="AJ201" s="23">
        <f>15818.36+6578.46+48495.02</f>
        <v>70891.839999999997</v>
      </c>
      <c r="AK201" s="35">
        <v>0</v>
      </c>
    </row>
    <row r="202" spans="1:37" s="165" customFormat="1" ht="141.75" x14ac:dyDescent="0.25">
      <c r="A202" s="7">
        <v>196</v>
      </c>
      <c r="B202" s="7">
        <v>120126</v>
      </c>
      <c r="C202" s="11">
        <v>57</v>
      </c>
      <c r="D202" s="7" t="s">
        <v>168</v>
      </c>
      <c r="E202" s="11" t="s">
        <v>169</v>
      </c>
      <c r="F202" s="107" t="s">
        <v>142</v>
      </c>
      <c r="G202" s="10" t="s">
        <v>119</v>
      </c>
      <c r="H202" s="10" t="s">
        <v>116</v>
      </c>
      <c r="I202" s="7" t="s">
        <v>185</v>
      </c>
      <c r="J202" s="34" t="s">
        <v>120</v>
      </c>
      <c r="K202" s="13">
        <v>43060</v>
      </c>
      <c r="L202" s="26">
        <v>43789</v>
      </c>
      <c r="M202" s="14">
        <f t="shared" si="265"/>
        <v>83.98386273060467</v>
      </c>
      <c r="N202" s="7" t="s">
        <v>155</v>
      </c>
      <c r="O202" s="7" t="s">
        <v>156</v>
      </c>
      <c r="P202" s="7" t="s">
        <v>156</v>
      </c>
      <c r="Q202" s="30" t="s">
        <v>157</v>
      </c>
      <c r="R202" s="7" t="s">
        <v>36</v>
      </c>
      <c r="S202" s="16">
        <f t="shared" si="267"/>
        <v>2709276.16</v>
      </c>
      <c r="T202" s="16">
        <v>2184795.1800000002</v>
      </c>
      <c r="U202" s="16">
        <v>524480.98</v>
      </c>
      <c r="V202" s="16">
        <f t="shared" si="266"/>
        <v>0</v>
      </c>
      <c r="W202" s="16">
        <v>0</v>
      </c>
      <c r="X202" s="16">
        <v>0</v>
      </c>
      <c r="Y202" s="16">
        <f t="shared" si="268"/>
        <v>516672.34</v>
      </c>
      <c r="Z202" s="16">
        <v>385552.09</v>
      </c>
      <c r="AA202" s="16">
        <v>131120.25</v>
      </c>
      <c r="AB202" s="16">
        <f t="shared" si="269"/>
        <v>0</v>
      </c>
      <c r="AC202" s="16"/>
      <c r="AD202" s="16"/>
      <c r="AE202" s="16">
        <f t="shared" si="270"/>
        <v>3225948.5</v>
      </c>
      <c r="AF202" s="16">
        <v>0</v>
      </c>
      <c r="AG202" s="16">
        <f t="shared" si="271"/>
        <v>3225948.5</v>
      </c>
      <c r="AH202" s="20" t="s">
        <v>615</v>
      </c>
      <c r="AI202" s="108" t="s">
        <v>185</v>
      </c>
      <c r="AJ202" s="23">
        <f>38081.64+10353.53+14871.03</f>
        <v>63306.2</v>
      </c>
      <c r="AK202" s="35">
        <v>0</v>
      </c>
    </row>
    <row r="203" spans="1:37" s="165" customFormat="1" ht="267.75" x14ac:dyDescent="0.25">
      <c r="A203" s="7">
        <v>197</v>
      </c>
      <c r="B203" s="7">
        <v>119957</v>
      </c>
      <c r="C203" s="11">
        <v>136</v>
      </c>
      <c r="D203" s="7" t="s">
        <v>170</v>
      </c>
      <c r="E203" s="11" t="s">
        <v>178</v>
      </c>
      <c r="F203" s="107" t="s">
        <v>145</v>
      </c>
      <c r="G203" s="10" t="s">
        <v>146</v>
      </c>
      <c r="H203" s="10" t="s">
        <v>87</v>
      </c>
      <c r="I203" s="7" t="s">
        <v>200</v>
      </c>
      <c r="J203" s="34" t="s">
        <v>147</v>
      </c>
      <c r="K203" s="13">
        <v>43047</v>
      </c>
      <c r="L203" s="26">
        <v>43838</v>
      </c>
      <c r="M203" s="14">
        <f t="shared" si="265"/>
        <v>83.983862849270778</v>
      </c>
      <c r="N203" s="7" t="s">
        <v>155</v>
      </c>
      <c r="O203" s="7" t="s">
        <v>156</v>
      </c>
      <c r="P203" s="7" t="s">
        <v>156</v>
      </c>
      <c r="Q203" s="30" t="s">
        <v>157</v>
      </c>
      <c r="R203" s="7" t="s">
        <v>36</v>
      </c>
      <c r="S203" s="16">
        <f t="shared" si="267"/>
        <v>30804926.539999999</v>
      </c>
      <c r="T203" s="16">
        <v>24841489.370000001</v>
      </c>
      <c r="U203" s="16">
        <v>5963437.1699999999</v>
      </c>
      <c r="V203" s="16">
        <f t="shared" si="266"/>
        <v>0</v>
      </c>
      <c r="W203" s="16">
        <v>0</v>
      </c>
      <c r="X203" s="16">
        <v>0</v>
      </c>
      <c r="Y203" s="16">
        <f t="shared" si="268"/>
        <v>5874651.5300000003</v>
      </c>
      <c r="Z203" s="16">
        <v>4383792.24</v>
      </c>
      <c r="AA203" s="16">
        <v>1490859.29</v>
      </c>
      <c r="AB203" s="16">
        <f t="shared" si="269"/>
        <v>0</v>
      </c>
      <c r="AC203" s="16"/>
      <c r="AD203" s="16"/>
      <c r="AE203" s="16">
        <f t="shared" si="270"/>
        <v>36679578.07</v>
      </c>
      <c r="AF203" s="16">
        <v>0</v>
      </c>
      <c r="AG203" s="16">
        <f t="shared" si="271"/>
        <v>36679578.07</v>
      </c>
      <c r="AH203" s="20" t="s">
        <v>615</v>
      </c>
      <c r="AI203" s="108" t="s">
        <v>210</v>
      </c>
      <c r="AJ203" s="23">
        <f>279828.68+528409.7+438718.76+190085.92+282362.84</f>
        <v>1719405.9</v>
      </c>
      <c r="AK203" s="35">
        <v>0</v>
      </c>
    </row>
    <row r="204" spans="1:37" s="112" customFormat="1" ht="204.75" x14ac:dyDescent="0.25">
      <c r="A204" s="7">
        <v>198</v>
      </c>
      <c r="B204" s="7">
        <v>118963</v>
      </c>
      <c r="C204" s="11">
        <v>34</v>
      </c>
      <c r="D204" s="7" t="s">
        <v>173</v>
      </c>
      <c r="E204" s="11" t="s">
        <v>167</v>
      </c>
      <c r="F204" s="107" t="s">
        <v>181</v>
      </c>
      <c r="G204" s="10" t="s">
        <v>105</v>
      </c>
      <c r="H204" s="10" t="s">
        <v>87</v>
      </c>
      <c r="I204" s="7" t="s">
        <v>584</v>
      </c>
      <c r="J204" s="34" t="s">
        <v>106</v>
      </c>
      <c r="K204" s="13">
        <v>42629</v>
      </c>
      <c r="L204" s="26">
        <v>43540</v>
      </c>
      <c r="M204" s="14">
        <f t="shared" si="265"/>
        <v>83.983862803496507</v>
      </c>
      <c r="N204" s="7" t="s">
        <v>155</v>
      </c>
      <c r="O204" s="7" t="s">
        <v>156</v>
      </c>
      <c r="P204" s="7" t="s">
        <v>156</v>
      </c>
      <c r="Q204" s="30" t="s">
        <v>157</v>
      </c>
      <c r="R204" s="7" t="s">
        <v>36</v>
      </c>
      <c r="S204" s="16">
        <f t="shared" si="267"/>
        <v>4117071.25</v>
      </c>
      <c r="T204" s="16">
        <v>3320059.26</v>
      </c>
      <c r="U204" s="16">
        <v>797011.99</v>
      </c>
      <c r="V204" s="16">
        <f t="shared" si="266"/>
        <v>0</v>
      </c>
      <c r="W204" s="16">
        <v>0</v>
      </c>
      <c r="X204" s="16">
        <v>0</v>
      </c>
      <c r="Y204" s="16">
        <f t="shared" si="268"/>
        <v>785145.81</v>
      </c>
      <c r="Z204" s="16">
        <v>585892.81000000006</v>
      </c>
      <c r="AA204" s="16">
        <v>199253</v>
      </c>
      <c r="AB204" s="16">
        <f t="shared" si="269"/>
        <v>0</v>
      </c>
      <c r="AC204" s="16"/>
      <c r="AD204" s="16"/>
      <c r="AE204" s="16">
        <f t="shared" si="270"/>
        <v>4902217.0600000005</v>
      </c>
      <c r="AF204" s="16">
        <v>0</v>
      </c>
      <c r="AG204" s="16">
        <f t="shared" si="271"/>
        <v>4902217.0600000005</v>
      </c>
      <c r="AH204" s="20" t="s">
        <v>1342</v>
      </c>
      <c r="AI204" s="21" t="s">
        <v>187</v>
      </c>
      <c r="AJ204" s="23">
        <f>1460741.83+228438.52+391513.86+234930.38+421082.6</f>
        <v>2736707.19</v>
      </c>
      <c r="AK204" s="35">
        <v>0</v>
      </c>
    </row>
    <row r="205" spans="1:37" s="112" customFormat="1" ht="141.75" x14ac:dyDescent="0.25">
      <c r="A205" s="7">
        <v>199</v>
      </c>
      <c r="B205" s="7">
        <v>118964</v>
      </c>
      <c r="C205" s="11">
        <v>35</v>
      </c>
      <c r="D205" s="7" t="s">
        <v>170</v>
      </c>
      <c r="E205" s="11" t="s">
        <v>167</v>
      </c>
      <c r="F205" s="107" t="s">
        <v>181</v>
      </c>
      <c r="G205" s="10" t="s">
        <v>107</v>
      </c>
      <c r="H205" s="10" t="s">
        <v>87</v>
      </c>
      <c r="I205" s="7" t="s">
        <v>871</v>
      </c>
      <c r="J205" s="34" t="s">
        <v>108</v>
      </c>
      <c r="K205" s="13">
        <v>42670</v>
      </c>
      <c r="L205" s="26">
        <v>43612</v>
      </c>
      <c r="M205" s="14">
        <f t="shared" si="265"/>
        <v>83.983860041638508</v>
      </c>
      <c r="N205" s="7" t="s">
        <v>155</v>
      </c>
      <c r="O205" s="7" t="s">
        <v>156</v>
      </c>
      <c r="P205" s="7" t="s">
        <v>156</v>
      </c>
      <c r="Q205" s="30" t="s">
        <v>157</v>
      </c>
      <c r="R205" s="7" t="s">
        <v>36</v>
      </c>
      <c r="S205" s="16">
        <f t="shared" si="267"/>
        <v>1279634.26</v>
      </c>
      <c r="T205" s="16">
        <v>1031913.55</v>
      </c>
      <c r="U205" s="16">
        <v>247720.71</v>
      </c>
      <c r="V205" s="16">
        <f t="shared" si="266"/>
        <v>0</v>
      </c>
      <c r="W205" s="16">
        <v>0</v>
      </c>
      <c r="X205" s="16">
        <v>0</v>
      </c>
      <c r="Y205" s="16">
        <f t="shared" si="268"/>
        <v>244032.62</v>
      </c>
      <c r="Z205" s="16">
        <v>182102.42</v>
      </c>
      <c r="AA205" s="16">
        <v>61930.2</v>
      </c>
      <c r="AB205" s="16">
        <f t="shared" si="269"/>
        <v>0</v>
      </c>
      <c r="AC205" s="16"/>
      <c r="AD205" s="16"/>
      <c r="AE205" s="16">
        <f t="shared" si="270"/>
        <v>1523666.88</v>
      </c>
      <c r="AF205" s="16">
        <v>0</v>
      </c>
      <c r="AG205" s="16">
        <f t="shared" si="271"/>
        <v>1523666.88</v>
      </c>
      <c r="AH205" s="20" t="s">
        <v>615</v>
      </c>
      <c r="AI205" s="21" t="s">
        <v>872</v>
      </c>
      <c r="AJ205" s="23">
        <f>122689.41+119337.51+49801.59</f>
        <v>291828.51</v>
      </c>
      <c r="AK205" s="35">
        <v>0</v>
      </c>
    </row>
    <row r="206" spans="1:37" s="112" customFormat="1" ht="141.75" x14ac:dyDescent="0.25">
      <c r="A206" s="7">
        <v>200</v>
      </c>
      <c r="B206" s="7">
        <v>119981</v>
      </c>
      <c r="C206" s="11">
        <v>36</v>
      </c>
      <c r="D206" s="7" t="s">
        <v>1104</v>
      </c>
      <c r="E206" s="11" t="s">
        <v>167</v>
      </c>
      <c r="F206" s="107" t="s">
        <v>181</v>
      </c>
      <c r="G206" s="10" t="s">
        <v>109</v>
      </c>
      <c r="H206" s="10" t="s">
        <v>84</v>
      </c>
      <c r="I206" s="7" t="s">
        <v>185</v>
      </c>
      <c r="J206" s="34" t="s">
        <v>110</v>
      </c>
      <c r="K206" s="13">
        <v>42579</v>
      </c>
      <c r="L206" s="26">
        <v>43462</v>
      </c>
      <c r="M206" s="14">
        <f t="shared" si="265"/>
        <v>83.983863111728837</v>
      </c>
      <c r="N206" s="7" t="s">
        <v>155</v>
      </c>
      <c r="O206" s="7" t="s">
        <v>156</v>
      </c>
      <c r="P206" s="7" t="s">
        <v>156</v>
      </c>
      <c r="Q206" s="30" t="s">
        <v>157</v>
      </c>
      <c r="R206" s="7" t="s">
        <v>36</v>
      </c>
      <c r="S206" s="16">
        <f t="shared" si="267"/>
        <v>1627939.8599999999</v>
      </c>
      <c r="T206" s="16">
        <v>1312791.6599999999</v>
      </c>
      <c r="U206" s="16">
        <v>315148.2</v>
      </c>
      <c r="V206" s="16">
        <f t="shared" si="266"/>
        <v>0</v>
      </c>
      <c r="W206" s="16">
        <v>0</v>
      </c>
      <c r="X206" s="16">
        <v>0</v>
      </c>
      <c r="Y206" s="16">
        <f t="shared" si="268"/>
        <v>310456.15999999997</v>
      </c>
      <c r="Z206" s="16">
        <v>231669.11</v>
      </c>
      <c r="AA206" s="16">
        <v>78787.05</v>
      </c>
      <c r="AB206" s="16">
        <f t="shared" si="269"/>
        <v>0</v>
      </c>
      <c r="AC206" s="16"/>
      <c r="AD206" s="16"/>
      <c r="AE206" s="16">
        <f t="shared" si="270"/>
        <v>1938396.0199999998</v>
      </c>
      <c r="AF206" s="16">
        <v>0</v>
      </c>
      <c r="AG206" s="16">
        <f t="shared" si="271"/>
        <v>1938396.0199999998</v>
      </c>
      <c r="AH206" s="20" t="s">
        <v>1103</v>
      </c>
      <c r="AI206" s="21" t="s">
        <v>188</v>
      </c>
      <c r="AJ206" s="23">
        <f>559604.06+125761.16+33457.13+622518.23+7475.79+33855.21+3996.8</f>
        <v>1386668.3800000001</v>
      </c>
      <c r="AK206" s="35">
        <v>0</v>
      </c>
    </row>
    <row r="207" spans="1:37" s="112" customFormat="1" ht="173.25" x14ac:dyDescent="0.25">
      <c r="A207" s="7">
        <v>201</v>
      </c>
      <c r="B207" s="7">
        <v>120414</v>
      </c>
      <c r="C207" s="11">
        <v>61</v>
      </c>
      <c r="D207" s="7" t="s">
        <v>173</v>
      </c>
      <c r="E207" s="11" t="s">
        <v>167</v>
      </c>
      <c r="F207" s="107" t="s">
        <v>148</v>
      </c>
      <c r="G207" s="10" t="s">
        <v>149</v>
      </c>
      <c r="H207" s="10" t="s">
        <v>359</v>
      </c>
      <c r="I207" s="7" t="s">
        <v>199</v>
      </c>
      <c r="J207" s="34" t="s">
        <v>708</v>
      </c>
      <c r="K207" s="13">
        <v>42893</v>
      </c>
      <c r="L207" s="26">
        <v>43928</v>
      </c>
      <c r="M207" s="14">
        <f t="shared" si="265"/>
        <v>83.395347070002629</v>
      </c>
      <c r="N207" s="7" t="s">
        <v>155</v>
      </c>
      <c r="O207" s="7" t="s">
        <v>156</v>
      </c>
      <c r="P207" s="7" t="s">
        <v>156</v>
      </c>
      <c r="Q207" s="30" t="s">
        <v>157</v>
      </c>
      <c r="R207" s="7" t="s">
        <v>36</v>
      </c>
      <c r="S207" s="16">
        <f t="shared" si="267"/>
        <v>9816719.1999999993</v>
      </c>
      <c r="T207" s="16">
        <v>7916328.7599999998</v>
      </c>
      <c r="U207" s="16">
        <v>1900390.44</v>
      </c>
      <c r="V207" s="16">
        <f t="shared" si="266"/>
        <v>647352.26</v>
      </c>
      <c r="W207" s="16">
        <v>483068.28</v>
      </c>
      <c r="X207" s="16">
        <v>164283.98000000001</v>
      </c>
      <c r="Y207" s="16">
        <f t="shared" si="268"/>
        <v>1307231.79</v>
      </c>
      <c r="Z207" s="16">
        <v>979654.51000000013</v>
      </c>
      <c r="AA207" s="16">
        <v>327577.27999999997</v>
      </c>
      <c r="AB207" s="16">
        <f t="shared" si="269"/>
        <v>0</v>
      </c>
      <c r="AC207" s="16"/>
      <c r="AD207" s="16"/>
      <c r="AE207" s="16">
        <f t="shared" si="270"/>
        <v>11771303.25</v>
      </c>
      <c r="AF207" s="16">
        <v>0</v>
      </c>
      <c r="AG207" s="16">
        <f t="shared" si="271"/>
        <v>11771303.25</v>
      </c>
      <c r="AH207" s="20" t="s">
        <v>615</v>
      </c>
      <c r="AI207" s="21" t="s">
        <v>1319</v>
      </c>
      <c r="AJ207" s="23">
        <v>1693123.23</v>
      </c>
      <c r="AK207" s="23">
        <v>67677.87</v>
      </c>
    </row>
    <row r="208" spans="1:37" s="165" customFormat="1" ht="141.75" x14ac:dyDescent="0.25">
      <c r="A208" s="7">
        <v>202</v>
      </c>
      <c r="B208" s="7">
        <v>119988</v>
      </c>
      <c r="C208" s="11">
        <v>62</v>
      </c>
      <c r="D208" s="7" t="s">
        <v>170</v>
      </c>
      <c r="E208" s="11" t="s">
        <v>167</v>
      </c>
      <c r="F208" s="107" t="s">
        <v>148</v>
      </c>
      <c r="G208" s="10" t="s">
        <v>150</v>
      </c>
      <c r="H208" s="10" t="s">
        <v>116</v>
      </c>
      <c r="I208" s="115" t="s">
        <v>208</v>
      </c>
      <c r="J208" s="34" t="s">
        <v>151</v>
      </c>
      <c r="K208" s="13">
        <v>43060</v>
      </c>
      <c r="L208" s="26">
        <v>43911</v>
      </c>
      <c r="M208" s="14">
        <f t="shared" si="265"/>
        <v>83.983862836233868</v>
      </c>
      <c r="N208" s="7" t="s">
        <v>155</v>
      </c>
      <c r="O208" s="7" t="s">
        <v>156</v>
      </c>
      <c r="P208" s="7" t="s">
        <v>156</v>
      </c>
      <c r="Q208" s="30" t="s">
        <v>157</v>
      </c>
      <c r="R208" s="7" t="s">
        <v>36</v>
      </c>
      <c r="S208" s="16">
        <f t="shared" si="267"/>
        <v>3950537.5</v>
      </c>
      <c r="T208" s="16">
        <v>3185764.3</v>
      </c>
      <c r="U208" s="16">
        <v>764773.2</v>
      </c>
      <c r="V208" s="16">
        <f t="shared" si="266"/>
        <v>0</v>
      </c>
      <c r="W208" s="16">
        <v>0</v>
      </c>
      <c r="X208" s="16">
        <v>0</v>
      </c>
      <c r="Y208" s="16">
        <f t="shared" si="268"/>
        <v>753387</v>
      </c>
      <c r="Z208" s="16">
        <v>562193.69999999995</v>
      </c>
      <c r="AA208" s="16">
        <v>191193.3</v>
      </c>
      <c r="AB208" s="16">
        <f t="shared" si="269"/>
        <v>0</v>
      </c>
      <c r="AC208" s="16"/>
      <c r="AD208" s="16"/>
      <c r="AE208" s="16">
        <f t="shared" si="270"/>
        <v>4703924.5</v>
      </c>
      <c r="AF208" s="16"/>
      <c r="AG208" s="16">
        <f t="shared" si="271"/>
        <v>4703924.5</v>
      </c>
      <c r="AH208" s="20" t="s">
        <v>615</v>
      </c>
      <c r="AI208" s="21" t="s">
        <v>185</v>
      </c>
      <c r="AJ208" s="23">
        <f>143481.84+21902.16</f>
        <v>165384</v>
      </c>
      <c r="AK208" s="23">
        <v>0</v>
      </c>
    </row>
    <row r="209" spans="1:37" s="165" customFormat="1" ht="220.5" x14ac:dyDescent="0.25">
      <c r="A209" s="7">
        <v>203</v>
      </c>
      <c r="B209" s="7">
        <v>119741</v>
      </c>
      <c r="C209" s="11">
        <v>63</v>
      </c>
      <c r="D209" s="7" t="s">
        <v>176</v>
      </c>
      <c r="E209" s="11" t="s">
        <v>167</v>
      </c>
      <c r="F209" s="107" t="s">
        <v>148</v>
      </c>
      <c r="G209" s="24" t="s">
        <v>153</v>
      </c>
      <c r="H209" s="10" t="s">
        <v>152</v>
      </c>
      <c r="I209" s="7" t="s">
        <v>185</v>
      </c>
      <c r="J209" s="34" t="s">
        <v>154</v>
      </c>
      <c r="K209" s="13">
        <v>43063</v>
      </c>
      <c r="L209" s="26">
        <v>43793</v>
      </c>
      <c r="M209" s="14">
        <f t="shared" si="265"/>
        <v>83.983862837339956</v>
      </c>
      <c r="N209" s="7" t="s">
        <v>155</v>
      </c>
      <c r="O209" s="7" t="s">
        <v>156</v>
      </c>
      <c r="P209" s="7" t="s">
        <v>156</v>
      </c>
      <c r="Q209" s="30" t="s">
        <v>157</v>
      </c>
      <c r="R209" s="7" t="s">
        <v>36</v>
      </c>
      <c r="S209" s="16">
        <f t="shared" si="267"/>
        <v>2267315.5699999998</v>
      </c>
      <c r="T209" s="16">
        <v>1828392.47</v>
      </c>
      <c r="U209" s="16">
        <v>438923.1</v>
      </c>
      <c r="V209" s="16">
        <f t="shared" si="266"/>
        <v>0</v>
      </c>
      <c r="W209" s="16">
        <v>0</v>
      </c>
      <c r="X209" s="16">
        <v>0</v>
      </c>
      <c r="Y209" s="16">
        <f t="shared" si="268"/>
        <v>432388.27</v>
      </c>
      <c r="Z209" s="16">
        <v>322657.49</v>
      </c>
      <c r="AA209" s="16">
        <v>109730.78</v>
      </c>
      <c r="AB209" s="16">
        <f t="shared" si="269"/>
        <v>0</v>
      </c>
      <c r="AC209" s="16"/>
      <c r="AD209" s="16"/>
      <c r="AE209" s="16">
        <f t="shared" si="270"/>
        <v>2699703.84</v>
      </c>
      <c r="AF209" s="16">
        <v>0</v>
      </c>
      <c r="AG209" s="16">
        <f t="shared" si="271"/>
        <v>2699703.84</v>
      </c>
      <c r="AH209" s="20" t="s">
        <v>615</v>
      </c>
      <c r="AI209" s="108" t="s">
        <v>1277</v>
      </c>
      <c r="AJ209" s="23">
        <f>29668.14+28646.05+103144.15</f>
        <v>161458.34</v>
      </c>
      <c r="AK209" s="23">
        <v>0</v>
      </c>
    </row>
    <row r="210" spans="1:37" s="165" customFormat="1" ht="126" x14ac:dyDescent="0.25">
      <c r="A210" s="7">
        <v>204</v>
      </c>
      <c r="B210" s="7">
        <v>122485</v>
      </c>
      <c r="C210" s="11">
        <v>38</v>
      </c>
      <c r="D210" s="7" t="s">
        <v>173</v>
      </c>
      <c r="E210" s="107" t="s">
        <v>162</v>
      </c>
      <c r="F210" s="107" t="s">
        <v>25</v>
      </c>
      <c r="G210" s="24" t="s">
        <v>27</v>
      </c>
      <c r="H210" s="10" t="s">
        <v>358</v>
      </c>
      <c r="I210" s="7" t="s">
        <v>185</v>
      </c>
      <c r="J210" s="34" t="s">
        <v>28</v>
      </c>
      <c r="K210" s="13">
        <v>42488</v>
      </c>
      <c r="L210" s="26">
        <v>45288</v>
      </c>
      <c r="M210" s="14">
        <f t="shared" si="265"/>
        <v>84.695097599999997</v>
      </c>
      <c r="N210" s="7" t="s">
        <v>155</v>
      </c>
      <c r="O210" s="7" t="s">
        <v>156</v>
      </c>
      <c r="P210" s="7" t="s">
        <v>156</v>
      </c>
      <c r="Q210" s="30" t="s">
        <v>157</v>
      </c>
      <c r="R210" s="7" t="s">
        <v>26</v>
      </c>
      <c r="S210" s="16">
        <f t="shared" si="267"/>
        <v>16939019.52</v>
      </c>
      <c r="T210" s="16">
        <v>15963331.810000001</v>
      </c>
      <c r="U210" s="16">
        <v>975687.71</v>
      </c>
      <c r="V210" s="16">
        <f t="shared" si="266"/>
        <v>0</v>
      </c>
      <c r="W210" s="16">
        <v>0</v>
      </c>
      <c r="X210" s="16">
        <v>0</v>
      </c>
      <c r="Y210" s="16">
        <f t="shared" si="268"/>
        <v>3060980.48</v>
      </c>
      <c r="Z210" s="16">
        <v>2817058.55</v>
      </c>
      <c r="AA210" s="16">
        <v>243921.93</v>
      </c>
      <c r="AB210" s="16">
        <f t="shared" si="269"/>
        <v>0</v>
      </c>
      <c r="AC210" s="16"/>
      <c r="AD210" s="16"/>
      <c r="AE210" s="16">
        <f t="shared" si="270"/>
        <v>20000000</v>
      </c>
      <c r="AF210" s="16">
        <v>200000</v>
      </c>
      <c r="AG210" s="16">
        <f t="shared" si="271"/>
        <v>20200000</v>
      </c>
      <c r="AH210" s="20" t="s">
        <v>615</v>
      </c>
      <c r="AI210" s="21" t="s">
        <v>1097</v>
      </c>
      <c r="AJ210" s="116">
        <f>367086.52+3723.41+1413.34+18873.79+125767.27</f>
        <v>516864.33</v>
      </c>
      <c r="AK210" s="117">
        <v>0</v>
      </c>
    </row>
    <row r="211" spans="1:37" s="165" customFormat="1" ht="78.75" x14ac:dyDescent="0.25">
      <c r="A211" s="7">
        <v>205</v>
      </c>
      <c r="B211" s="7">
        <v>122484</v>
      </c>
      <c r="C211" s="11">
        <v>39</v>
      </c>
      <c r="D211" s="7" t="s">
        <v>173</v>
      </c>
      <c r="E211" s="107" t="s">
        <v>161</v>
      </c>
      <c r="F211" s="107" t="s">
        <v>25</v>
      </c>
      <c r="G211" s="24" t="s">
        <v>30</v>
      </c>
      <c r="H211" s="10" t="s">
        <v>358</v>
      </c>
      <c r="I211" s="7" t="s">
        <v>185</v>
      </c>
      <c r="J211" s="34" t="s">
        <v>31</v>
      </c>
      <c r="K211" s="13">
        <v>42488</v>
      </c>
      <c r="L211" s="26">
        <v>45288</v>
      </c>
      <c r="M211" s="14">
        <f t="shared" si="265"/>
        <v>84.695097596566526</v>
      </c>
      <c r="N211" s="7" t="s">
        <v>155</v>
      </c>
      <c r="O211" s="7" t="s">
        <v>156</v>
      </c>
      <c r="P211" s="7" t="s">
        <v>156</v>
      </c>
      <c r="Q211" s="30" t="s">
        <v>157</v>
      </c>
      <c r="R211" s="7" t="s">
        <v>29</v>
      </c>
      <c r="S211" s="16">
        <f t="shared" si="267"/>
        <v>59201873.219999999</v>
      </c>
      <c r="T211" s="16">
        <v>55791844.670000002</v>
      </c>
      <c r="U211" s="16">
        <v>3410028.55</v>
      </c>
      <c r="V211" s="16">
        <f t="shared" si="266"/>
        <v>0</v>
      </c>
      <c r="W211" s="16">
        <v>0</v>
      </c>
      <c r="X211" s="16">
        <v>0</v>
      </c>
      <c r="Y211" s="16">
        <f t="shared" si="268"/>
        <v>10698126.780000001</v>
      </c>
      <c r="Z211" s="16">
        <v>9845619.6400000006</v>
      </c>
      <c r="AA211" s="16">
        <v>852507.14</v>
      </c>
      <c r="AB211" s="16">
        <f t="shared" si="269"/>
        <v>0</v>
      </c>
      <c r="AC211" s="16"/>
      <c r="AD211" s="16"/>
      <c r="AE211" s="16">
        <f t="shared" si="270"/>
        <v>69900000</v>
      </c>
      <c r="AF211" s="16">
        <v>600000</v>
      </c>
      <c r="AG211" s="16">
        <f t="shared" si="271"/>
        <v>70500000</v>
      </c>
      <c r="AH211" s="20" t="s">
        <v>615</v>
      </c>
      <c r="AI211" s="21" t="s">
        <v>1098</v>
      </c>
      <c r="AJ211" s="23">
        <f>1614958.09+116790.02+175736.29+210865.38+813289.51</f>
        <v>2931639.29</v>
      </c>
      <c r="AK211" s="35">
        <v>0</v>
      </c>
    </row>
    <row r="212" spans="1:37" s="165" customFormat="1" ht="63" x14ac:dyDescent="0.25">
      <c r="A212" s="7">
        <v>206</v>
      </c>
      <c r="B212" s="7">
        <v>112483</v>
      </c>
      <c r="C212" s="11">
        <v>40</v>
      </c>
      <c r="D212" s="7" t="s">
        <v>173</v>
      </c>
      <c r="E212" s="107" t="s">
        <v>161</v>
      </c>
      <c r="F212" s="107" t="s">
        <v>25</v>
      </c>
      <c r="G212" s="24" t="s">
        <v>33</v>
      </c>
      <c r="H212" s="10" t="s">
        <v>358</v>
      </c>
      <c r="I212" s="7" t="s">
        <v>185</v>
      </c>
      <c r="J212" s="34" t="s">
        <v>34</v>
      </c>
      <c r="K212" s="13">
        <v>42488</v>
      </c>
      <c r="L212" s="26">
        <v>44314</v>
      </c>
      <c r="M212" s="14">
        <f t="shared" si="265"/>
        <v>84.695097599999997</v>
      </c>
      <c r="N212" s="7" t="s">
        <v>155</v>
      </c>
      <c r="O212" s="7" t="s">
        <v>156</v>
      </c>
      <c r="P212" s="7" t="s">
        <v>156</v>
      </c>
      <c r="Q212" s="30" t="s">
        <v>157</v>
      </c>
      <c r="R212" s="7" t="s">
        <v>32</v>
      </c>
      <c r="S212" s="16">
        <f t="shared" si="267"/>
        <v>50817058.560000002</v>
      </c>
      <c r="T212" s="16">
        <v>47889995.43</v>
      </c>
      <c r="U212" s="16">
        <v>2927063.13</v>
      </c>
      <c r="V212" s="16">
        <f t="shared" si="266"/>
        <v>0</v>
      </c>
      <c r="W212" s="16">
        <v>0</v>
      </c>
      <c r="X212" s="16">
        <v>0</v>
      </c>
      <c r="Y212" s="16">
        <f t="shared" si="268"/>
        <v>9182941.4399999995</v>
      </c>
      <c r="Z212" s="16">
        <v>8451175.6600000001</v>
      </c>
      <c r="AA212" s="16">
        <v>731765.78</v>
      </c>
      <c r="AB212" s="16">
        <f t="shared" si="269"/>
        <v>0</v>
      </c>
      <c r="AC212" s="16"/>
      <c r="AD212" s="16"/>
      <c r="AE212" s="16">
        <f t="shared" si="270"/>
        <v>60000000</v>
      </c>
      <c r="AF212" s="16">
        <v>1936000</v>
      </c>
      <c r="AG212" s="16">
        <f t="shared" si="271"/>
        <v>61936000</v>
      </c>
      <c r="AH212" s="20" t="s">
        <v>615</v>
      </c>
      <c r="AI212" s="21" t="s">
        <v>212</v>
      </c>
      <c r="AJ212" s="23">
        <f>18028067.88+2522724.79+2940219.11+5150825.51+1054081.31+2107332.6+2141049.72</f>
        <v>33944300.920000002</v>
      </c>
      <c r="AK212" s="35">
        <v>0</v>
      </c>
    </row>
    <row r="213" spans="1:37" s="165" customFormat="1" ht="409.5" x14ac:dyDescent="0.25">
      <c r="A213" s="7">
        <v>207</v>
      </c>
      <c r="B213" s="7">
        <v>109937</v>
      </c>
      <c r="C213" s="11">
        <v>162</v>
      </c>
      <c r="D213" s="7" t="s">
        <v>1104</v>
      </c>
      <c r="E213" s="11" t="s">
        <v>165</v>
      </c>
      <c r="F213" s="9" t="s">
        <v>352</v>
      </c>
      <c r="G213" s="24" t="s">
        <v>551</v>
      </c>
      <c r="H213" s="10" t="s">
        <v>353</v>
      </c>
      <c r="I213" s="7" t="s">
        <v>185</v>
      </c>
      <c r="J213" s="53" t="s">
        <v>552</v>
      </c>
      <c r="K213" s="13">
        <v>43173</v>
      </c>
      <c r="L213" s="26">
        <v>43660</v>
      </c>
      <c r="M213" s="14">
        <f t="shared" si="265"/>
        <v>82.304184778160604</v>
      </c>
      <c r="N213" s="7" t="s">
        <v>354</v>
      </c>
      <c r="O213" s="7" t="s">
        <v>342</v>
      </c>
      <c r="P213" s="7" t="s">
        <v>355</v>
      </c>
      <c r="Q213" s="15" t="s">
        <v>356</v>
      </c>
      <c r="R213" s="7" t="s">
        <v>36</v>
      </c>
      <c r="S213" s="16">
        <f t="shared" si="267"/>
        <v>762655.8600000001</v>
      </c>
      <c r="T213" s="16">
        <v>147617.44</v>
      </c>
      <c r="U213" s="16">
        <v>615038.42000000004</v>
      </c>
      <c r="V213" s="16">
        <f t="shared" si="266"/>
        <v>145442.25</v>
      </c>
      <c r="W213" s="16">
        <v>36906.06</v>
      </c>
      <c r="X213" s="16">
        <v>108536.19</v>
      </c>
      <c r="Y213" s="16">
        <f t="shared" si="268"/>
        <v>0</v>
      </c>
      <c r="Z213" s="16"/>
      <c r="AA213" s="16"/>
      <c r="AB213" s="16">
        <f t="shared" si="269"/>
        <v>18532.61</v>
      </c>
      <c r="AC213" s="16">
        <v>3765.78</v>
      </c>
      <c r="AD213" s="16">
        <v>14766.83</v>
      </c>
      <c r="AE213" s="16">
        <f t="shared" si="270"/>
        <v>926630.72000000009</v>
      </c>
      <c r="AF213" s="16">
        <v>0</v>
      </c>
      <c r="AG213" s="16">
        <f t="shared" si="271"/>
        <v>926630.72000000009</v>
      </c>
      <c r="AH213" s="20" t="s">
        <v>615</v>
      </c>
      <c r="AI213" s="21"/>
      <c r="AJ213" s="23">
        <f>340951.1+52774.1+61862.22+16616.16+1069.94+8813.14+48351.34</f>
        <v>530437.99999999988</v>
      </c>
      <c r="AK213" s="23">
        <f>47349.74+21861.72+3168.79+9424.88+1680.7</f>
        <v>83485.829999999987</v>
      </c>
    </row>
    <row r="214" spans="1:37" s="165" customFormat="1" ht="141.75" x14ac:dyDescent="0.25">
      <c r="A214" s="7">
        <v>208</v>
      </c>
      <c r="B214" s="7">
        <v>120769</v>
      </c>
      <c r="C214" s="11">
        <v>96</v>
      </c>
      <c r="D214" s="7" t="s">
        <v>175</v>
      </c>
      <c r="E214" s="8" t="s">
        <v>998</v>
      </c>
      <c r="F214" s="9" t="s">
        <v>361</v>
      </c>
      <c r="G214" s="24" t="s">
        <v>373</v>
      </c>
      <c r="H214" s="10" t="s">
        <v>372</v>
      </c>
      <c r="I214" s="11" t="s">
        <v>374</v>
      </c>
      <c r="J214" s="53" t="s">
        <v>375</v>
      </c>
      <c r="K214" s="13">
        <v>43186</v>
      </c>
      <c r="L214" s="26">
        <v>43673</v>
      </c>
      <c r="M214" s="14">
        <f t="shared" si="265"/>
        <v>84.154097257132506</v>
      </c>
      <c r="N214" s="7" t="s">
        <v>155</v>
      </c>
      <c r="O214" s="7" t="s">
        <v>376</v>
      </c>
      <c r="P214" s="7" t="s">
        <v>376</v>
      </c>
      <c r="Q214" s="15" t="s">
        <v>213</v>
      </c>
      <c r="R214" s="7" t="s">
        <v>36</v>
      </c>
      <c r="S214" s="16">
        <f t="shared" si="267"/>
        <v>357519.4</v>
      </c>
      <c r="T214" s="16">
        <v>357519.4</v>
      </c>
      <c r="U214" s="16">
        <v>0</v>
      </c>
      <c r="V214" s="16">
        <f t="shared" si="266"/>
        <v>58822.79</v>
      </c>
      <c r="W214" s="16">
        <v>58822.79</v>
      </c>
      <c r="X214" s="16">
        <v>0</v>
      </c>
      <c r="Y214" s="16">
        <f t="shared" si="268"/>
        <v>8496.7800000000007</v>
      </c>
      <c r="Z214" s="16">
        <v>8496.7800000000007</v>
      </c>
      <c r="AA214" s="16">
        <v>0</v>
      </c>
      <c r="AB214" s="16">
        <f t="shared" si="269"/>
        <v>0</v>
      </c>
      <c r="AC214" s="16"/>
      <c r="AD214" s="16"/>
      <c r="AE214" s="16">
        <f t="shared" si="270"/>
        <v>424838.97000000003</v>
      </c>
      <c r="AF214" s="16">
        <v>0</v>
      </c>
      <c r="AG214" s="16">
        <f t="shared" si="271"/>
        <v>424838.97000000003</v>
      </c>
      <c r="AH214" s="20" t="s">
        <v>615</v>
      </c>
      <c r="AI214" s="21" t="s">
        <v>185</v>
      </c>
      <c r="AJ214" s="22">
        <f>91004.83+54990.03-2852.81+19018.76+43276.76</f>
        <v>205437.57</v>
      </c>
      <c r="AK214" s="23">
        <f>8258.02+14527.48+10688.48</f>
        <v>33473.979999999996</v>
      </c>
    </row>
    <row r="215" spans="1:37" s="165" customFormat="1" ht="165" x14ac:dyDescent="0.25">
      <c r="A215" s="7">
        <v>209</v>
      </c>
      <c r="B215" s="7">
        <v>121622</v>
      </c>
      <c r="C215" s="11">
        <v>99</v>
      </c>
      <c r="D215" s="7" t="s">
        <v>873</v>
      </c>
      <c r="E215" s="8" t="s">
        <v>998</v>
      </c>
      <c r="F215" s="9" t="s">
        <v>361</v>
      </c>
      <c r="G215" s="24" t="s">
        <v>378</v>
      </c>
      <c r="H215" s="10" t="s">
        <v>383</v>
      </c>
      <c r="I215" s="11" t="s">
        <v>380</v>
      </c>
      <c r="J215" s="53" t="s">
        <v>377</v>
      </c>
      <c r="K215" s="13">
        <v>43188</v>
      </c>
      <c r="L215" s="26">
        <v>43737</v>
      </c>
      <c r="M215" s="14">
        <f t="shared" si="265"/>
        <v>84.999999426373932</v>
      </c>
      <c r="N215" s="7" t="s">
        <v>155</v>
      </c>
      <c r="O215" s="7" t="s">
        <v>385</v>
      </c>
      <c r="P215" s="7" t="s">
        <v>385</v>
      </c>
      <c r="Q215" s="15" t="s">
        <v>213</v>
      </c>
      <c r="R215" s="7" t="s">
        <v>36</v>
      </c>
      <c r="S215" s="16">
        <f t="shared" si="267"/>
        <v>444540.46</v>
      </c>
      <c r="T215" s="16">
        <v>444540.46</v>
      </c>
      <c r="U215" s="16">
        <v>0</v>
      </c>
      <c r="V215" s="16">
        <f t="shared" si="266"/>
        <v>67988.539999999994</v>
      </c>
      <c r="W215" s="16">
        <v>67988.539999999994</v>
      </c>
      <c r="X215" s="16">
        <v>0</v>
      </c>
      <c r="Y215" s="16">
        <f t="shared" si="268"/>
        <v>10459.780000000001</v>
      </c>
      <c r="Z215" s="18">
        <v>10459.780000000001</v>
      </c>
      <c r="AA215" s="16">
        <v>0</v>
      </c>
      <c r="AB215" s="16">
        <f t="shared" si="269"/>
        <v>0</v>
      </c>
      <c r="AC215" s="16"/>
      <c r="AD215" s="16"/>
      <c r="AE215" s="16">
        <f t="shared" si="270"/>
        <v>522988.78</v>
      </c>
      <c r="AF215" s="16">
        <v>0</v>
      </c>
      <c r="AG215" s="16">
        <f t="shared" si="271"/>
        <v>522988.78</v>
      </c>
      <c r="AH215" s="20" t="s">
        <v>615</v>
      </c>
      <c r="AI215" s="21" t="s">
        <v>1282</v>
      </c>
      <c r="AJ215" s="22">
        <f>14488.25+50968.69+59419.29+14618.26</f>
        <v>139494.49000000002</v>
      </c>
      <c r="AK215" s="23">
        <f>2215.85+7795.21+9087.66+2235.73</f>
        <v>21334.45</v>
      </c>
    </row>
    <row r="216" spans="1:37" s="165" customFormat="1" ht="165" x14ac:dyDescent="0.25">
      <c r="A216" s="7">
        <v>210</v>
      </c>
      <c r="B216" s="7">
        <v>121536</v>
      </c>
      <c r="C216" s="11">
        <v>102</v>
      </c>
      <c r="D216" s="7" t="s">
        <v>873</v>
      </c>
      <c r="E216" s="8" t="s">
        <v>998</v>
      </c>
      <c r="F216" s="9" t="s">
        <v>361</v>
      </c>
      <c r="G216" s="24" t="s">
        <v>382</v>
      </c>
      <c r="H216" s="10" t="s">
        <v>379</v>
      </c>
      <c r="I216" s="11" t="s">
        <v>380</v>
      </c>
      <c r="J216" s="53" t="s">
        <v>386</v>
      </c>
      <c r="K216" s="13">
        <v>43186</v>
      </c>
      <c r="L216" s="26">
        <v>43643</v>
      </c>
      <c r="M216" s="14">
        <f t="shared" si="265"/>
        <v>85.000000246407055</v>
      </c>
      <c r="N216" s="7" t="s">
        <v>155</v>
      </c>
      <c r="O216" s="7" t="s">
        <v>381</v>
      </c>
      <c r="P216" s="7" t="s">
        <v>381</v>
      </c>
      <c r="Q216" s="15" t="s">
        <v>213</v>
      </c>
      <c r="R216" s="7" t="s">
        <v>36</v>
      </c>
      <c r="S216" s="16">
        <f t="shared" si="267"/>
        <v>344957.66</v>
      </c>
      <c r="T216" s="16">
        <v>344957.66</v>
      </c>
      <c r="U216" s="16">
        <v>0</v>
      </c>
      <c r="V216" s="16">
        <f t="shared" si="266"/>
        <v>52758.23</v>
      </c>
      <c r="W216" s="16">
        <v>52758.23</v>
      </c>
      <c r="X216" s="16">
        <v>0</v>
      </c>
      <c r="Y216" s="16">
        <f t="shared" si="268"/>
        <v>8116.65</v>
      </c>
      <c r="Z216" s="16">
        <v>8116.65</v>
      </c>
      <c r="AA216" s="16">
        <v>0</v>
      </c>
      <c r="AB216" s="16">
        <f t="shared" si="269"/>
        <v>0</v>
      </c>
      <c r="AC216" s="16"/>
      <c r="AD216" s="16"/>
      <c r="AE216" s="16">
        <f t="shared" si="270"/>
        <v>405832.54</v>
      </c>
      <c r="AF216" s="16">
        <v>0</v>
      </c>
      <c r="AG216" s="16">
        <f t="shared" si="271"/>
        <v>405832.54</v>
      </c>
      <c r="AH216" s="20" t="s">
        <v>615</v>
      </c>
      <c r="AI216" s="21" t="s">
        <v>185</v>
      </c>
      <c r="AJ216" s="22">
        <f>28255.24+60713.8+16575+57363.1</f>
        <v>162907.14000000001</v>
      </c>
      <c r="AK216" s="23">
        <f>4321.39+9285.64+2535+8773.18</f>
        <v>24915.21</v>
      </c>
    </row>
    <row r="217" spans="1:37" s="165" customFormat="1" ht="189" x14ac:dyDescent="0.25">
      <c r="A217" s="7">
        <v>211</v>
      </c>
      <c r="B217" s="7">
        <v>112093</v>
      </c>
      <c r="C217" s="11">
        <v>344</v>
      </c>
      <c r="D217" s="7" t="s">
        <v>1351</v>
      </c>
      <c r="E217" s="11" t="s">
        <v>165</v>
      </c>
      <c r="F217" s="51" t="s">
        <v>352</v>
      </c>
      <c r="G217" s="24" t="s">
        <v>392</v>
      </c>
      <c r="H217" s="24" t="s">
        <v>1419</v>
      </c>
      <c r="I217" s="11" t="s">
        <v>380</v>
      </c>
      <c r="J217" s="12" t="s">
        <v>553</v>
      </c>
      <c r="K217" s="13">
        <v>43188</v>
      </c>
      <c r="L217" s="26">
        <v>43553</v>
      </c>
      <c r="M217" s="14">
        <f t="shared" si="265"/>
        <v>82.304184346141142</v>
      </c>
      <c r="N217" s="7" t="s">
        <v>354</v>
      </c>
      <c r="O217" s="7" t="s">
        <v>393</v>
      </c>
      <c r="P217" s="7" t="s">
        <v>393</v>
      </c>
      <c r="Q217" s="15" t="s">
        <v>356</v>
      </c>
      <c r="R217" s="11" t="s">
        <v>36</v>
      </c>
      <c r="S217" s="16">
        <f t="shared" si="267"/>
        <v>624137.28</v>
      </c>
      <c r="T217" s="16">
        <v>503312.34</v>
      </c>
      <c r="U217" s="16">
        <v>120824.94</v>
      </c>
      <c r="V217" s="16">
        <f t="shared" si="266"/>
        <v>119026.06000000001</v>
      </c>
      <c r="W217" s="16">
        <v>88819.82</v>
      </c>
      <c r="X217" s="16">
        <v>30206.240000000002</v>
      </c>
      <c r="Y217" s="16">
        <f t="shared" si="268"/>
        <v>0</v>
      </c>
      <c r="Z217" s="16"/>
      <c r="AA217" s="16"/>
      <c r="AB217" s="16">
        <f t="shared" si="269"/>
        <v>15166.61</v>
      </c>
      <c r="AC217" s="16">
        <v>12084.34</v>
      </c>
      <c r="AD217" s="16">
        <v>3082.27</v>
      </c>
      <c r="AE217" s="16">
        <f t="shared" si="270"/>
        <v>758329.95000000007</v>
      </c>
      <c r="AF217" s="16">
        <v>0</v>
      </c>
      <c r="AG217" s="16">
        <f t="shared" si="271"/>
        <v>758329.95000000007</v>
      </c>
      <c r="AH217" s="20" t="s">
        <v>1103</v>
      </c>
      <c r="AI217" s="21" t="s">
        <v>384</v>
      </c>
      <c r="AJ217" s="23">
        <f>281863.03+67706.32-7048.99+70335.64+92451.16+65330.18</f>
        <v>570637.34000000008</v>
      </c>
      <c r="AK217" s="23">
        <f>53450.47+7048.99+3931.35+17630.9+12458.8</f>
        <v>94520.51</v>
      </c>
    </row>
    <row r="218" spans="1:37" s="165" customFormat="1" ht="252" x14ac:dyDescent="0.25">
      <c r="A218" s="7">
        <v>212</v>
      </c>
      <c r="B218" s="7">
        <v>110829</v>
      </c>
      <c r="C218" s="11">
        <v>345</v>
      </c>
      <c r="D218" s="7" t="s">
        <v>175</v>
      </c>
      <c r="E218" s="11" t="s">
        <v>165</v>
      </c>
      <c r="F218" s="51" t="s">
        <v>352</v>
      </c>
      <c r="G218" s="24" t="s">
        <v>394</v>
      </c>
      <c r="H218" s="24" t="s">
        <v>395</v>
      </c>
      <c r="I218" s="11" t="s">
        <v>185</v>
      </c>
      <c r="J218" s="12" t="s">
        <v>396</v>
      </c>
      <c r="K218" s="13">
        <v>43188</v>
      </c>
      <c r="L218" s="26">
        <v>43675</v>
      </c>
      <c r="M218" s="14">
        <f t="shared" si="265"/>
        <v>82.304186026137842</v>
      </c>
      <c r="N218" s="7" t="s">
        <v>354</v>
      </c>
      <c r="O218" s="7" t="s">
        <v>393</v>
      </c>
      <c r="P218" s="7" t="s">
        <v>393</v>
      </c>
      <c r="Q218" s="15" t="s">
        <v>356</v>
      </c>
      <c r="R218" s="11" t="s">
        <v>36</v>
      </c>
      <c r="S218" s="16">
        <f t="shared" si="267"/>
        <v>757586.23</v>
      </c>
      <c r="T218" s="16">
        <v>610927.28</v>
      </c>
      <c r="U218" s="16">
        <v>146658.95000000001</v>
      </c>
      <c r="V218" s="16">
        <f t="shared" si="266"/>
        <v>144475.43</v>
      </c>
      <c r="W218" s="16">
        <v>107810.7</v>
      </c>
      <c r="X218" s="16">
        <v>36664.730000000003</v>
      </c>
      <c r="Y218" s="16">
        <f t="shared" si="268"/>
        <v>0</v>
      </c>
      <c r="Z218" s="16"/>
      <c r="AA218" s="16"/>
      <c r="AB218" s="16">
        <f t="shared" si="269"/>
        <v>18409.420000000002</v>
      </c>
      <c r="AC218" s="16">
        <v>14668.12</v>
      </c>
      <c r="AD218" s="16">
        <v>3741.3</v>
      </c>
      <c r="AE218" s="16">
        <f t="shared" si="270"/>
        <v>920471.08</v>
      </c>
      <c r="AF218" s="16">
        <v>0</v>
      </c>
      <c r="AG218" s="16">
        <f t="shared" si="271"/>
        <v>920471.08</v>
      </c>
      <c r="AH218" s="20" t="s">
        <v>615</v>
      </c>
      <c r="AI218" s="21" t="s">
        <v>384</v>
      </c>
      <c r="AJ218" s="23">
        <f>89285.71-11964.69+140134-555.33+108178.82+21252.58+36085.35+107586.93</f>
        <v>490003.37</v>
      </c>
      <c r="AK218" s="23">
        <f>11964.69+11960.22+17298.63+11541.66+4052.98+14039.69+5043.38</f>
        <v>75901.25</v>
      </c>
    </row>
    <row r="219" spans="1:37" s="165" customFormat="1" ht="157.5" x14ac:dyDescent="0.25">
      <c r="A219" s="7">
        <v>213</v>
      </c>
      <c r="B219" s="7">
        <v>111077</v>
      </c>
      <c r="C219" s="11">
        <v>352</v>
      </c>
      <c r="D219" s="7" t="s">
        <v>1351</v>
      </c>
      <c r="E219" s="11" t="s">
        <v>165</v>
      </c>
      <c r="F219" s="51" t="s">
        <v>352</v>
      </c>
      <c r="G219" s="24" t="s">
        <v>397</v>
      </c>
      <c r="H219" s="24" t="s">
        <v>398</v>
      </c>
      <c r="I219" s="11" t="s">
        <v>185</v>
      </c>
      <c r="J219" s="12" t="s">
        <v>399</v>
      </c>
      <c r="K219" s="13">
        <v>43188</v>
      </c>
      <c r="L219" s="26">
        <v>43675</v>
      </c>
      <c r="M219" s="14">
        <f t="shared" si="265"/>
        <v>82.304186243592014</v>
      </c>
      <c r="N219" s="7" t="s">
        <v>354</v>
      </c>
      <c r="O219" s="7" t="s">
        <v>393</v>
      </c>
      <c r="P219" s="7" t="s">
        <v>393</v>
      </c>
      <c r="Q219" s="15" t="s">
        <v>356</v>
      </c>
      <c r="R219" s="11" t="s">
        <v>36</v>
      </c>
      <c r="S219" s="16">
        <f t="shared" si="267"/>
        <v>704316.51</v>
      </c>
      <c r="T219" s="16">
        <v>567969.9</v>
      </c>
      <c r="U219" s="16">
        <v>136346.60999999999</v>
      </c>
      <c r="V219" s="16">
        <f t="shared" si="266"/>
        <v>134316.63</v>
      </c>
      <c r="W219" s="18">
        <v>100229.98</v>
      </c>
      <c r="X219" s="18">
        <v>34086.65</v>
      </c>
      <c r="Y219" s="16">
        <f t="shared" si="268"/>
        <v>0</v>
      </c>
      <c r="Z219" s="16"/>
      <c r="AA219" s="16"/>
      <c r="AB219" s="16">
        <f t="shared" si="269"/>
        <v>17114.96</v>
      </c>
      <c r="AC219" s="16">
        <v>13636.73</v>
      </c>
      <c r="AD219" s="16">
        <v>3478.23</v>
      </c>
      <c r="AE219" s="16">
        <f t="shared" si="270"/>
        <v>855748.1</v>
      </c>
      <c r="AF219" s="16"/>
      <c r="AG219" s="16">
        <f t="shared" si="271"/>
        <v>855748.1</v>
      </c>
      <c r="AH219" s="20" t="s">
        <v>615</v>
      </c>
      <c r="AI219" s="21" t="s">
        <v>384</v>
      </c>
      <c r="AJ219" s="23">
        <f>85000+43282.16-11040.21+106472.55+153782.22-13315.84+83140.14</f>
        <v>447321.01999999996</v>
      </c>
      <c r="AK219" s="23">
        <f>8254.12+14104.5+20304.84+13117.11+13315.84</f>
        <v>69096.41</v>
      </c>
    </row>
    <row r="220" spans="1:37" s="165" customFormat="1" ht="204.75" x14ac:dyDescent="0.25">
      <c r="A220" s="7">
        <v>214</v>
      </c>
      <c r="B220" s="7">
        <v>111631</v>
      </c>
      <c r="C220" s="11">
        <v>170</v>
      </c>
      <c r="D220" s="7" t="s">
        <v>171</v>
      </c>
      <c r="E220" s="11" t="s">
        <v>165</v>
      </c>
      <c r="F220" s="51" t="s">
        <v>352</v>
      </c>
      <c r="G220" s="24" t="s">
        <v>400</v>
      </c>
      <c r="H220" s="24" t="s">
        <v>401</v>
      </c>
      <c r="I220" s="59" t="s">
        <v>402</v>
      </c>
      <c r="J220" s="12" t="s">
        <v>554</v>
      </c>
      <c r="K220" s="13">
        <v>43189</v>
      </c>
      <c r="L220" s="26">
        <v>43676</v>
      </c>
      <c r="M220" s="14">
        <f t="shared" si="265"/>
        <v>82.304185177297953</v>
      </c>
      <c r="N220" s="7" t="s">
        <v>354</v>
      </c>
      <c r="O220" s="7" t="s">
        <v>393</v>
      </c>
      <c r="P220" s="7" t="s">
        <v>393</v>
      </c>
      <c r="Q220" s="15" t="s">
        <v>356</v>
      </c>
      <c r="R220" s="11" t="s">
        <v>36</v>
      </c>
      <c r="S220" s="16">
        <f t="shared" si="267"/>
        <v>822209.74</v>
      </c>
      <c r="T220" s="16">
        <v>663040.52</v>
      </c>
      <c r="U220" s="16">
        <v>159169.22</v>
      </c>
      <c r="V220" s="16">
        <f t="shared" si="266"/>
        <v>156799.45000000001</v>
      </c>
      <c r="W220" s="16">
        <v>39792.300000000003</v>
      </c>
      <c r="X220" s="16">
        <v>117007.15</v>
      </c>
      <c r="Y220" s="16">
        <f t="shared" si="268"/>
        <v>0</v>
      </c>
      <c r="Z220" s="16"/>
      <c r="AA220" s="16"/>
      <c r="AB220" s="16">
        <f t="shared" si="269"/>
        <v>19979.79</v>
      </c>
      <c r="AC220" s="16">
        <v>15919.35</v>
      </c>
      <c r="AD220" s="16">
        <v>4060.44</v>
      </c>
      <c r="AE220" s="16">
        <f t="shared" si="270"/>
        <v>998988.98</v>
      </c>
      <c r="AF220" s="16"/>
      <c r="AG220" s="16">
        <f t="shared" si="271"/>
        <v>998988.98</v>
      </c>
      <c r="AH220" s="20" t="s">
        <v>615</v>
      </c>
      <c r="AI220" s="21" t="s">
        <v>384</v>
      </c>
      <c r="AJ220" s="23">
        <f>99898.9+20257.44+82739.46+65227.91+122865.84+26629.39+183749.63</f>
        <v>601368.56999999995</v>
      </c>
      <c r="AK220" s="23">
        <f>3863.19+15778.83+29070.82+6799.58+5078.36+35041.94</f>
        <v>95632.72</v>
      </c>
    </row>
    <row r="221" spans="1:37" s="165" customFormat="1" ht="141.75" x14ac:dyDescent="0.25">
      <c r="A221" s="7">
        <v>215</v>
      </c>
      <c r="B221" s="7">
        <v>112405</v>
      </c>
      <c r="C221" s="11">
        <v>171</v>
      </c>
      <c r="D221" s="7" t="s">
        <v>171</v>
      </c>
      <c r="E221" s="11" t="s">
        <v>165</v>
      </c>
      <c r="F221" s="51" t="s">
        <v>352</v>
      </c>
      <c r="G221" s="24" t="s">
        <v>403</v>
      </c>
      <c r="H221" s="24" t="s">
        <v>404</v>
      </c>
      <c r="I221" s="59" t="s">
        <v>405</v>
      </c>
      <c r="J221" s="12" t="s">
        <v>426</v>
      </c>
      <c r="K221" s="13">
        <v>43186</v>
      </c>
      <c r="L221" s="26">
        <v>43673</v>
      </c>
      <c r="M221" s="14">
        <f t="shared" si="265"/>
        <v>82.304185365731513</v>
      </c>
      <c r="N221" s="7" t="s">
        <v>354</v>
      </c>
      <c r="O221" s="7" t="s">
        <v>393</v>
      </c>
      <c r="P221" s="7" t="s">
        <v>393</v>
      </c>
      <c r="Q221" s="15" t="s">
        <v>356</v>
      </c>
      <c r="R221" s="11" t="s">
        <v>36</v>
      </c>
      <c r="S221" s="16">
        <f t="shared" si="267"/>
        <v>723131.98</v>
      </c>
      <c r="T221" s="16">
        <v>583142.93999999994</v>
      </c>
      <c r="U221" s="16">
        <v>139989.04</v>
      </c>
      <c r="V221" s="16">
        <f t="shared" si="266"/>
        <v>137904.84</v>
      </c>
      <c r="W221" s="16">
        <v>102907.58</v>
      </c>
      <c r="X221" s="16">
        <v>34997.26</v>
      </c>
      <c r="Y221" s="16">
        <f t="shared" si="268"/>
        <v>0</v>
      </c>
      <c r="Z221" s="16"/>
      <c r="AA221" s="16"/>
      <c r="AB221" s="16">
        <f t="shared" si="269"/>
        <v>17572.18</v>
      </c>
      <c r="AC221" s="16">
        <v>14001.03</v>
      </c>
      <c r="AD221" s="16">
        <v>3571.15</v>
      </c>
      <c r="AE221" s="16">
        <f t="shared" si="270"/>
        <v>878609</v>
      </c>
      <c r="AF221" s="16"/>
      <c r="AG221" s="16">
        <f t="shared" si="271"/>
        <v>878609</v>
      </c>
      <c r="AH221" s="20" t="s">
        <v>615</v>
      </c>
      <c r="AI221" s="21"/>
      <c r="AJ221" s="23">
        <f>208329.69+72239-12893.42+110533+33743.88</f>
        <v>411952.15</v>
      </c>
      <c r="AK221" s="23">
        <f>36750.34+12893.42+5726.93+6435.14</f>
        <v>61805.829999999994</v>
      </c>
    </row>
    <row r="222" spans="1:37" s="165" customFormat="1" ht="141.75" x14ac:dyDescent="0.25">
      <c r="A222" s="7">
        <v>216</v>
      </c>
      <c r="B222" s="7">
        <v>109810</v>
      </c>
      <c r="C222" s="11">
        <v>257</v>
      </c>
      <c r="D222" s="7" t="s">
        <v>1351</v>
      </c>
      <c r="E222" s="11" t="s">
        <v>165</v>
      </c>
      <c r="F222" s="51" t="s">
        <v>352</v>
      </c>
      <c r="G222" s="24" t="s">
        <v>406</v>
      </c>
      <c r="H222" s="24" t="s">
        <v>407</v>
      </c>
      <c r="I222" s="11" t="s">
        <v>185</v>
      </c>
      <c r="J222" s="12" t="s">
        <v>414</v>
      </c>
      <c r="K222" s="13">
        <v>43192</v>
      </c>
      <c r="L222" s="26">
        <v>43679</v>
      </c>
      <c r="M222" s="14">
        <f t="shared" si="265"/>
        <v>82.304188283311021</v>
      </c>
      <c r="N222" s="7" t="s">
        <v>354</v>
      </c>
      <c r="O222" s="7" t="s">
        <v>393</v>
      </c>
      <c r="P222" s="7" t="s">
        <v>393</v>
      </c>
      <c r="Q222" s="15" t="s">
        <v>356</v>
      </c>
      <c r="R222" s="11" t="s">
        <v>36</v>
      </c>
      <c r="S222" s="16">
        <f t="shared" si="267"/>
        <v>821139.01</v>
      </c>
      <c r="T222" s="18">
        <v>662177.06999999995</v>
      </c>
      <c r="U222" s="18">
        <v>158961.94</v>
      </c>
      <c r="V222" s="16">
        <f t="shared" si="266"/>
        <v>156595.26</v>
      </c>
      <c r="W222" s="18">
        <v>116854.78</v>
      </c>
      <c r="X222" s="18">
        <v>39740.480000000003</v>
      </c>
      <c r="Y222" s="16">
        <f t="shared" si="268"/>
        <v>0</v>
      </c>
      <c r="Z222" s="16"/>
      <c r="AA222" s="16"/>
      <c r="AB222" s="16">
        <f t="shared" si="269"/>
        <v>19953.73</v>
      </c>
      <c r="AC222" s="16">
        <v>15898.58</v>
      </c>
      <c r="AD222" s="16">
        <v>4055.15</v>
      </c>
      <c r="AE222" s="16">
        <f t="shared" si="270"/>
        <v>997688</v>
      </c>
      <c r="AF222" s="16"/>
      <c r="AG222" s="16">
        <f t="shared" si="271"/>
        <v>997688</v>
      </c>
      <c r="AH222" s="20" t="s">
        <v>615</v>
      </c>
      <c r="AI222" s="21"/>
      <c r="AJ222" s="23">
        <f>311274.3+94352.8-8733.69+71724.61+102413.3+20161.59</f>
        <v>591192.90999999992</v>
      </c>
      <c r="AK222" s="23">
        <f>40335.29+17993.54+8733.69+3278.99+19530.72+3844.92</f>
        <v>93717.150000000009</v>
      </c>
    </row>
    <row r="223" spans="1:37" s="165" customFormat="1" ht="141.75" x14ac:dyDescent="0.25">
      <c r="A223" s="7">
        <v>217</v>
      </c>
      <c r="B223" s="7">
        <v>112956</v>
      </c>
      <c r="C223" s="11">
        <v>273</v>
      </c>
      <c r="D223" s="7" t="s">
        <v>175</v>
      </c>
      <c r="E223" s="11" t="s">
        <v>165</v>
      </c>
      <c r="F223" s="51" t="s">
        <v>352</v>
      </c>
      <c r="G223" s="24" t="s">
        <v>408</v>
      </c>
      <c r="H223" s="202" t="s">
        <v>409</v>
      </c>
      <c r="I223" s="59" t="s">
        <v>410</v>
      </c>
      <c r="J223" s="12" t="s">
        <v>555</v>
      </c>
      <c r="K223" s="13">
        <v>43192</v>
      </c>
      <c r="L223" s="26">
        <v>43679</v>
      </c>
      <c r="M223" s="14">
        <f t="shared" si="265"/>
        <v>82.3041866136534</v>
      </c>
      <c r="N223" s="7" t="s">
        <v>354</v>
      </c>
      <c r="O223" s="7" t="s">
        <v>393</v>
      </c>
      <c r="P223" s="7" t="s">
        <v>393</v>
      </c>
      <c r="Q223" s="15" t="s">
        <v>356</v>
      </c>
      <c r="R223" s="11" t="s">
        <v>36</v>
      </c>
      <c r="S223" s="16">
        <f t="shared" si="267"/>
        <v>710350.48</v>
      </c>
      <c r="T223" s="16">
        <v>572835.77</v>
      </c>
      <c r="U223" s="16">
        <v>137514.71</v>
      </c>
      <c r="V223" s="16">
        <f t="shared" si="266"/>
        <v>135467.34</v>
      </c>
      <c r="W223" s="16">
        <v>101088.67</v>
      </c>
      <c r="X223" s="16">
        <v>34378.67</v>
      </c>
      <c r="Y223" s="16">
        <f t="shared" si="268"/>
        <v>0</v>
      </c>
      <c r="Z223" s="16"/>
      <c r="AA223" s="16"/>
      <c r="AB223" s="16">
        <f t="shared" si="269"/>
        <v>17261.579999999998</v>
      </c>
      <c r="AC223" s="16">
        <v>13753.55</v>
      </c>
      <c r="AD223" s="16">
        <v>3508.03</v>
      </c>
      <c r="AE223" s="16">
        <f t="shared" si="270"/>
        <v>863079.39999999991</v>
      </c>
      <c r="AF223" s="16"/>
      <c r="AG223" s="16">
        <f t="shared" si="271"/>
        <v>863079.39999999991</v>
      </c>
      <c r="AH223" s="20" t="s">
        <v>615</v>
      </c>
      <c r="AI223" s="21" t="s">
        <v>185</v>
      </c>
      <c r="AJ223" s="23">
        <f>184670.36-1719.64+59823.53+78024.86+71396.89-5943.21+95904.43</f>
        <v>482157.22</v>
      </c>
      <c r="AK223" s="23">
        <f>18758.18+11080.69+14879.72+13615.74+5943.21+14676.76</f>
        <v>78954.3</v>
      </c>
    </row>
    <row r="224" spans="1:37" s="165" customFormat="1" ht="173.25" x14ac:dyDescent="0.25">
      <c r="A224" s="7">
        <v>218</v>
      </c>
      <c r="B224" s="7">
        <v>112066</v>
      </c>
      <c r="C224" s="11">
        <v>262</v>
      </c>
      <c r="D224" s="7" t="s">
        <v>175</v>
      </c>
      <c r="E224" s="11" t="s">
        <v>165</v>
      </c>
      <c r="F224" s="51" t="s">
        <v>352</v>
      </c>
      <c r="G224" s="66" t="s">
        <v>411</v>
      </c>
      <c r="H224" s="24" t="s">
        <v>412</v>
      </c>
      <c r="I224" s="59" t="s">
        <v>413</v>
      </c>
      <c r="J224" s="12" t="s">
        <v>556</v>
      </c>
      <c r="K224" s="13">
        <v>43193</v>
      </c>
      <c r="L224" s="26">
        <v>43680</v>
      </c>
      <c r="M224" s="14">
        <f t="shared" si="265"/>
        <v>82.304184459884823</v>
      </c>
      <c r="N224" s="7" t="s">
        <v>354</v>
      </c>
      <c r="O224" s="7" t="s">
        <v>393</v>
      </c>
      <c r="P224" s="7" t="s">
        <v>393</v>
      </c>
      <c r="Q224" s="15" t="s">
        <v>356</v>
      </c>
      <c r="R224" s="11" t="s">
        <v>36</v>
      </c>
      <c r="S224" s="16">
        <f t="shared" si="267"/>
        <v>822673.27</v>
      </c>
      <c r="T224" s="16">
        <v>663414.31999999995</v>
      </c>
      <c r="U224" s="16">
        <v>159258.95000000001</v>
      </c>
      <c r="V224" s="16">
        <f t="shared" si="266"/>
        <v>156887.87</v>
      </c>
      <c r="W224" s="16">
        <v>117073.13</v>
      </c>
      <c r="X224" s="16">
        <v>39814.74</v>
      </c>
      <c r="Y224" s="16">
        <f t="shared" si="268"/>
        <v>0</v>
      </c>
      <c r="Z224" s="16"/>
      <c r="AA224" s="16"/>
      <c r="AB224" s="16">
        <f t="shared" si="269"/>
        <v>19991.04</v>
      </c>
      <c r="AC224" s="16">
        <v>15928.31</v>
      </c>
      <c r="AD224" s="16">
        <v>4062.73</v>
      </c>
      <c r="AE224" s="16">
        <f t="shared" si="270"/>
        <v>999552.18</v>
      </c>
      <c r="AF224" s="16"/>
      <c r="AG224" s="16">
        <f t="shared" si="271"/>
        <v>999552.18</v>
      </c>
      <c r="AH224" s="20" t="s">
        <v>615</v>
      </c>
      <c r="AI224" s="21" t="s">
        <v>185</v>
      </c>
      <c r="AJ224" s="23">
        <f>148819.34+46038+153649.09+7836.15+91741.83</f>
        <v>448084.41000000003</v>
      </c>
      <c r="AK224" s="23">
        <f>28380.59+38081.31+1494.39+17308.68</f>
        <v>85264.97</v>
      </c>
    </row>
    <row r="225" spans="1:37" s="165" customFormat="1" ht="204.75" x14ac:dyDescent="0.25">
      <c r="A225" s="7">
        <v>219</v>
      </c>
      <c r="B225" s="7">
        <v>121460</v>
      </c>
      <c r="C225" s="11">
        <v>59</v>
      </c>
      <c r="D225" s="7" t="s">
        <v>172</v>
      </c>
      <c r="E225" s="11" t="s">
        <v>165</v>
      </c>
      <c r="F225" s="51" t="s">
        <v>128</v>
      </c>
      <c r="G225" s="47" t="s">
        <v>430</v>
      </c>
      <c r="H225" s="24" t="s">
        <v>1420</v>
      </c>
      <c r="I225" s="11" t="s">
        <v>380</v>
      </c>
      <c r="J225" s="12" t="s">
        <v>431</v>
      </c>
      <c r="K225" s="13">
        <v>43207</v>
      </c>
      <c r="L225" s="26">
        <v>44302</v>
      </c>
      <c r="M225" s="14">
        <f t="shared" si="265"/>
        <v>83.983863089546503</v>
      </c>
      <c r="N225" s="7" t="s">
        <v>354</v>
      </c>
      <c r="O225" s="7" t="s">
        <v>393</v>
      </c>
      <c r="P225" s="7" t="s">
        <v>393</v>
      </c>
      <c r="Q225" s="15" t="s">
        <v>157</v>
      </c>
      <c r="R225" s="7" t="s">
        <v>36</v>
      </c>
      <c r="S225" s="16">
        <f t="shared" si="267"/>
        <v>6975407.2700000005</v>
      </c>
      <c r="T225" s="16">
        <v>5625058.2300000004</v>
      </c>
      <c r="U225" s="16">
        <v>1350349.04</v>
      </c>
      <c r="V225" s="16">
        <f t="shared" si="266"/>
        <v>0</v>
      </c>
      <c r="W225" s="16">
        <v>0</v>
      </c>
      <c r="X225" s="16">
        <v>0</v>
      </c>
      <c r="Y225" s="16">
        <f t="shared" si="268"/>
        <v>1330244.57</v>
      </c>
      <c r="Z225" s="18">
        <v>992657.31</v>
      </c>
      <c r="AA225" s="16">
        <v>337587.26</v>
      </c>
      <c r="AB225" s="16">
        <f t="shared" si="269"/>
        <v>0</v>
      </c>
      <c r="AC225" s="16">
        <v>0</v>
      </c>
      <c r="AD225" s="16">
        <v>0</v>
      </c>
      <c r="AE225" s="16">
        <f t="shared" si="270"/>
        <v>8305651.8400000008</v>
      </c>
      <c r="AF225" s="16">
        <v>0</v>
      </c>
      <c r="AG225" s="16">
        <f t="shared" si="271"/>
        <v>8305651.8400000008</v>
      </c>
      <c r="AH225" s="20" t="s">
        <v>615</v>
      </c>
      <c r="AI225" s="21" t="s">
        <v>1417</v>
      </c>
      <c r="AJ225" s="23">
        <f>59335.44+64701.17+90758.49+56070.66</f>
        <v>270865.76</v>
      </c>
      <c r="AK225" s="23">
        <v>0</v>
      </c>
    </row>
    <row r="226" spans="1:37" s="165" customFormat="1" ht="173.25" x14ac:dyDescent="0.25">
      <c r="A226" s="7">
        <v>220</v>
      </c>
      <c r="B226" s="7">
        <v>109749</v>
      </c>
      <c r="C226" s="11">
        <v>253</v>
      </c>
      <c r="D226" s="7" t="s">
        <v>1351</v>
      </c>
      <c r="E226" s="11" t="s">
        <v>165</v>
      </c>
      <c r="F226" s="51" t="s">
        <v>352</v>
      </c>
      <c r="G226" s="47" t="s">
        <v>418</v>
      </c>
      <c r="H226" s="203" t="s">
        <v>419</v>
      </c>
      <c r="I226" s="11" t="s">
        <v>185</v>
      </c>
      <c r="J226" s="12" t="s">
        <v>557</v>
      </c>
      <c r="K226" s="13">
        <v>43208</v>
      </c>
      <c r="L226" s="26">
        <v>43695</v>
      </c>
      <c r="M226" s="14">
        <f t="shared" si="265"/>
        <v>82.304185790916577</v>
      </c>
      <c r="N226" s="7" t="s">
        <v>354</v>
      </c>
      <c r="O226" s="7" t="s">
        <v>439</v>
      </c>
      <c r="P226" s="7" t="s">
        <v>439</v>
      </c>
      <c r="Q226" s="15" t="s">
        <v>356</v>
      </c>
      <c r="R226" s="11" t="s">
        <v>36</v>
      </c>
      <c r="S226" s="16">
        <f t="shared" si="267"/>
        <v>808649.72</v>
      </c>
      <c r="T226" s="18">
        <v>652105.54</v>
      </c>
      <c r="U226" s="18">
        <v>156544.18</v>
      </c>
      <c r="V226" s="16">
        <f t="shared" si="266"/>
        <v>154213.49</v>
      </c>
      <c r="W226" s="18">
        <v>115077.45</v>
      </c>
      <c r="X226" s="18">
        <v>39136.04</v>
      </c>
      <c r="Y226" s="16">
        <f t="shared" si="268"/>
        <v>0</v>
      </c>
      <c r="Z226" s="16">
        <v>0</v>
      </c>
      <c r="AA226" s="16">
        <v>0</v>
      </c>
      <c r="AB226" s="16">
        <f t="shared" si="269"/>
        <v>19650.27</v>
      </c>
      <c r="AC226" s="16">
        <v>15656.8</v>
      </c>
      <c r="AD226" s="16">
        <v>3993.47</v>
      </c>
      <c r="AE226" s="16">
        <f t="shared" si="270"/>
        <v>982513.48</v>
      </c>
      <c r="AF226" s="16"/>
      <c r="AG226" s="16">
        <f t="shared" si="271"/>
        <v>982513.48</v>
      </c>
      <c r="AH226" s="20" t="s">
        <v>615</v>
      </c>
      <c r="AI226" s="21"/>
      <c r="AJ226" s="23">
        <f>320855.76+13409.42+153292.16+833.72+98250</f>
        <v>586641.05999999994</v>
      </c>
      <c r="AK226" s="23">
        <f>63706.03+10496.81+18895.75</f>
        <v>93098.59</v>
      </c>
    </row>
    <row r="227" spans="1:37" s="165" customFormat="1" ht="189" x14ac:dyDescent="0.25">
      <c r="A227" s="7">
        <v>221</v>
      </c>
      <c r="B227" s="7">
        <v>109967</v>
      </c>
      <c r="C227" s="11">
        <v>177</v>
      </c>
      <c r="D227" s="7" t="s">
        <v>171</v>
      </c>
      <c r="E227" s="11" t="s">
        <v>165</v>
      </c>
      <c r="F227" s="51" t="s">
        <v>352</v>
      </c>
      <c r="G227" s="47" t="s">
        <v>424</v>
      </c>
      <c r="H227" s="24" t="s">
        <v>425</v>
      </c>
      <c r="I227" s="11" t="s">
        <v>185</v>
      </c>
      <c r="J227" s="12" t="s">
        <v>558</v>
      </c>
      <c r="K227" s="13">
        <v>43208</v>
      </c>
      <c r="L227" s="26">
        <v>43695</v>
      </c>
      <c r="M227" s="14">
        <f t="shared" si="265"/>
        <v>82.304184597190911</v>
      </c>
      <c r="N227" s="7" t="s">
        <v>354</v>
      </c>
      <c r="O227" s="7" t="s">
        <v>393</v>
      </c>
      <c r="P227" s="7" t="s">
        <v>393</v>
      </c>
      <c r="Q227" s="15" t="s">
        <v>356</v>
      </c>
      <c r="R227" s="11" t="s">
        <v>36</v>
      </c>
      <c r="S227" s="16">
        <f t="shared" si="267"/>
        <v>804452.45</v>
      </c>
      <c r="T227" s="16">
        <v>648720.82999999996</v>
      </c>
      <c r="U227" s="16">
        <v>155731.62</v>
      </c>
      <c r="V227" s="16">
        <f t="shared" si="266"/>
        <v>153413.06</v>
      </c>
      <c r="W227" s="16">
        <v>114480.15</v>
      </c>
      <c r="X227" s="16">
        <v>38932.910000000003</v>
      </c>
      <c r="Y227" s="16">
        <f t="shared" si="268"/>
        <v>0</v>
      </c>
      <c r="Z227" s="185"/>
      <c r="AA227" s="185"/>
      <c r="AB227" s="16">
        <f t="shared" si="269"/>
        <v>19548.28</v>
      </c>
      <c r="AC227" s="16">
        <v>15575.51</v>
      </c>
      <c r="AD227" s="16">
        <v>3972.77</v>
      </c>
      <c r="AE227" s="16">
        <f t="shared" si="270"/>
        <v>977413.79</v>
      </c>
      <c r="AF227" s="16"/>
      <c r="AG227" s="16">
        <f t="shared" si="271"/>
        <v>977413.79</v>
      </c>
      <c r="AH227" s="20" t="s">
        <v>615</v>
      </c>
      <c r="AI227" s="21" t="s">
        <v>1411</v>
      </c>
      <c r="AJ227" s="23">
        <f>312590.47-8868.28+88856.3+55475.75+73233.76</f>
        <v>521287.99999999994</v>
      </c>
      <c r="AK227" s="23">
        <f>40972.78+16948.54+8885.07+13966.04</f>
        <v>80772.429999999993</v>
      </c>
    </row>
    <row r="228" spans="1:37" s="165" customFormat="1" ht="157.5" x14ac:dyDescent="0.25">
      <c r="A228" s="7">
        <v>222</v>
      </c>
      <c r="B228" s="7">
        <v>112811</v>
      </c>
      <c r="C228" s="11">
        <v>196</v>
      </c>
      <c r="D228" s="7" t="s">
        <v>171</v>
      </c>
      <c r="E228" s="11" t="s">
        <v>165</v>
      </c>
      <c r="F228" s="51" t="s">
        <v>352</v>
      </c>
      <c r="G228" s="47" t="s">
        <v>427</v>
      </c>
      <c r="H228" s="24" t="s">
        <v>428</v>
      </c>
      <c r="I228" s="11" t="s">
        <v>185</v>
      </c>
      <c r="J228" s="12" t="s">
        <v>429</v>
      </c>
      <c r="K228" s="13">
        <v>43208</v>
      </c>
      <c r="L228" s="26">
        <v>43573</v>
      </c>
      <c r="M228" s="14">
        <f t="shared" si="265"/>
        <v>82.304184666338784</v>
      </c>
      <c r="N228" s="7" t="s">
        <v>354</v>
      </c>
      <c r="O228" s="7" t="s">
        <v>393</v>
      </c>
      <c r="P228" s="7" t="s">
        <v>393</v>
      </c>
      <c r="Q228" s="15" t="s">
        <v>356</v>
      </c>
      <c r="R228" s="7" t="s">
        <v>36</v>
      </c>
      <c r="S228" s="16">
        <f t="shared" si="267"/>
        <v>760931.29</v>
      </c>
      <c r="T228" s="16">
        <v>613624.79</v>
      </c>
      <c r="U228" s="16">
        <v>147306.5</v>
      </c>
      <c r="V228" s="16">
        <f t="shared" si="266"/>
        <v>145113.35999999999</v>
      </c>
      <c r="W228" s="16">
        <v>108286.73</v>
      </c>
      <c r="X228" s="16">
        <v>36826.629999999997</v>
      </c>
      <c r="Y228" s="16">
        <f t="shared" si="268"/>
        <v>0</v>
      </c>
      <c r="Z228" s="16">
        <v>0</v>
      </c>
      <c r="AA228" s="16">
        <v>0</v>
      </c>
      <c r="AB228" s="16">
        <f t="shared" si="269"/>
        <v>18490.71</v>
      </c>
      <c r="AC228" s="16">
        <v>14732.89</v>
      </c>
      <c r="AD228" s="16">
        <v>3757.82</v>
      </c>
      <c r="AE228" s="16">
        <f t="shared" si="270"/>
        <v>924535.36</v>
      </c>
      <c r="AF228" s="16"/>
      <c r="AG228" s="16">
        <f t="shared" si="271"/>
        <v>924535.36</v>
      </c>
      <c r="AH228" s="20" t="s">
        <v>615</v>
      </c>
      <c r="AI228" s="21"/>
      <c r="AJ228" s="23">
        <f>91800+75057.16+74073.77+121742.1-7175.16+205568.39</f>
        <v>561066.26</v>
      </c>
      <c r="AK228" s="23">
        <f>14189.24+14126.23+23216.82+16262.9+21571.65</f>
        <v>89366.84</v>
      </c>
    </row>
    <row r="229" spans="1:37" s="165" customFormat="1" ht="299.25" x14ac:dyDescent="0.25">
      <c r="A229" s="7">
        <v>223</v>
      </c>
      <c r="B229" s="7">
        <v>112080</v>
      </c>
      <c r="C229" s="11">
        <v>354</v>
      </c>
      <c r="D229" s="7" t="s">
        <v>1351</v>
      </c>
      <c r="E229" s="11" t="s">
        <v>165</v>
      </c>
      <c r="F229" s="51" t="s">
        <v>352</v>
      </c>
      <c r="G229" s="47" t="s">
        <v>438</v>
      </c>
      <c r="H229" s="47" t="s">
        <v>437</v>
      </c>
      <c r="I229" s="11" t="s">
        <v>185</v>
      </c>
      <c r="J229" s="12" t="s">
        <v>559</v>
      </c>
      <c r="K229" s="13">
        <v>43214</v>
      </c>
      <c r="L229" s="26">
        <v>43701</v>
      </c>
      <c r="M229" s="14">
        <f t="shared" ref="M229:M260" si="272">S229/AE229*100</f>
        <v>82.304185109241828</v>
      </c>
      <c r="N229" s="7" t="s">
        <v>354</v>
      </c>
      <c r="O229" s="7" t="s">
        <v>393</v>
      </c>
      <c r="P229" s="7" t="s">
        <v>393</v>
      </c>
      <c r="Q229" s="15" t="s">
        <v>356</v>
      </c>
      <c r="R229" s="11" t="s">
        <v>36</v>
      </c>
      <c r="S229" s="16">
        <f t="shared" si="267"/>
        <v>570578.29</v>
      </c>
      <c r="T229" s="16">
        <v>460121.68</v>
      </c>
      <c r="U229" s="16">
        <v>110456.61</v>
      </c>
      <c r="V229" s="16">
        <f t="shared" ref="V229:V260" si="273">W229+X229</f>
        <v>108812.1</v>
      </c>
      <c r="W229" s="16">
        <v>81197.94</v>
      </c>
      <c r="X229" s="16">
        <v>27614.16</v>
      </c>
      <c r="Y229" s="16">
        <f t="shared" si="268"/>
        <v>0</v>
      </c>
      <c r="Z229" s="16">
        <v>0</v>
      </c>
      <c r="AA229" s="16">
        <v>0</v>
      </c>
      <c r="AB229" s="16">
        <f t="shared" ref="AB229:AB242" si="274">AC229+AD229</f>
        <v>13865.11</v>
      </c>
      <c r="AC229" s="16">
        <v>11047.34</v>
      </c>
      <c r="AD229" s="16">
        <v>2817.77</v>
      </c>
      <c r="AE229" s="16">
        <f t="shared" si="270"/>
        <v>693255.5</v>
      </c>
      <c r="AF229" s="16">
        <v>0</v>
      </c>
      <c r="AG229" s="16">
        <f t="shared" si="271"/>
        <v>693255.5</v>
      </c>
      <c r="AH229" s="20" t="s">
        <v>615</v>
      </c>
      <c r="AI229" s="21" t="s">
        <v>185</v>
      </c>
      <c r="AJ229" s="23">
        <f>105536.1+45768.53+51356.28+43663.9</f>
        <v>246324.81</v>
      </c>
      <c r="AK229" s="23">
        <f>6905.53+8728.29+18120.82</f>
        <v>33754.639999999999</v>
      </c>
    </row>
    <row r="230" spans="1:37" s="165" customFormat="1" ht="173.25" x14ac:dyDescent="0.25">
      <c r="A230" s="7">
        <v>224</v>
      </c>
      <c r="B230" s="7">
        <v>111113</v>
      </c>
      <c r="C230" s="11">
        <v>252</v>
      </c>
      <c r="D230" s="7" t="s">
        <v>1351</v>
      </c>
      <c r="E230" s="11" t="s">
        <v>165</v>
      </c>
      <c r="F230" s="51" t="s">
        <v>352</v>
      </c>
      <c r="G230" s="47" t="s">
        <v>440</v>
      </c>
      <c r="H230" s="47" t="s">
        <v>1255</v>
      </c>
      <c r="I230" s="11" t="s">
        <v>468</v>
      </c>
      <c r="J230" s="12" t="s">
        <v>442</v>
      </c>
      <c r="K230" s="13">
        <v>43214</v>
      </c>
      <c r="L230" s="26">
        <v>43578</v>
      </c>
      <c r="M230" s="14">
        <f t="shared" si="272"/>
        <v>82.304185972255567</v>
      </c>
      <c r="N230" s="7" t="s">
        <v>354</v>
      </c>
      <c r="O230" s="7" t="s">
        <v>390</v>
      </c>
      <c r="P230" s="7" t="s">
        <v>441</v>
      </c>
      <c r="Q230" s="15" t="s">
        <v>356</v>
      </c>
      <c r="R230" s="11" t="s">
        <v>36</v>
      </c>
      <c r="S230" s="16">
        <f t="shared" ref="S230:S260" si="275">T230+U230</f>
        <v>793396.18</v>
      </c>
      <c r="T230" s="16">
        <v>639804.9</v>
      </c>
      <c r="U230" s="16">
        <v>153591.28</v>
      </c>
      <c r="V230" s="16">
        <f t="shared" si="273"/>
        <v>151304.57</v>
      </c>
      <c r="W230" s="16">
        <v>112906.75</v>
      </c>
      <c r="X230" s="16">
        <v>38397.82</v>
      </c>
      <c r="Y230" s="16">
        <f t="shared" ref="Y230:Y260" si="276">Z230+AA230</f>
        <v>0</v>
      </c>
      <c r="Z230" s="16">
        <v>0</v>
      </c>
      <c r="AA230" s="16">
        <v>0</v>
      </c>
      <c r="AB230" s="16">
        <f t="shared" si="274"/>
        <v>19279.599999999999</v>
      </c>
      <c r="AC230" s="16">
        <v>15361.46</v>
      </c>
      <c r="AD230" s="16">
        <v>3918.14</v>
      </c>
      <c r="AE230" s="16">
        <f t="shared" si="270"/>
        <v>963980.35</v>
      </c>
      <c r="AF230" s="16">
        <v>0</v>
      </c>
      <c r="AG230" s="16">
        <f t="shared" si="271"/>
        <v>963980.35</v>
      </c>
      <c r="AH230" s="20" t="s">
        <v>615</v>
      </c>
      <c r="AI230" s="21" t="s">
        <v>185</v>
      </c>
      <c r="AJ230" s="23">
        <f>360374.76+80428.02+85558.08+11319.22+96397</f>
        <v>634077.07999999996</v>
      </c>
      <c r="AK230" s="23">
        <f>36349.9+31943.22+13703.1+20542.02</f>
        <v>102538.24000000001</v>
      </c>
    </row>
    <row r="231" spans="1:37" s="165" customFormat="1" ht="315" x14ac:dyDescent="0.25">
      <c r="A231" s="7">
        <v>225</v>
      </c>
      <c r="B231" s="7">
        <v>109880</v>
      </c>
      <c r="C231" s="11">
        <v>261</v>
      </c>
      <c r="D231" s="7" t="s">
        <v>175</v>
      </c>
      <c r="E231" s="11" t="s">
        <v>165</v>
      </c>
      <c r="F231" s="51" t="s">
        <v>352</v>
      </c>
      <c r="G231" s="47" t="s">
        <v>449</v>
      </c>
      <c r="H231" s="118" t="s">
        <v>447</v>
      </c>
      <c r="I231" s="48" t="s">
        <v>448</v>
      </c>
      <c r="J231" s="12" t="s">
        <v>560</v>
      </c>
      <c r="K231" s="13">
        <v>43214</v>
      </c>
      <c r="L231" s="26">
        <v>43640</v>
      </c>
      <c r="M231" s="14">
        <f t="shared" si="272"/>
        <v>82.304184374786118</v>
      </c>
      <c r="N231" s="7" t="s">
        <v>354</v>
      </c>
      <c r="O231" s="7" t="s">
        <v>293</v>
      </c>
      <c r="P231" s="7" t="s">
        <v>450</v>
      </c>
      <c r="Q231" s="15" t="s">
        <v>356</v>
      </c>
      <c r="R231" s="11" t="s">
        <v>36</v>
      </c>
      <c r="S231" s="16">
        <f t="shared" si="275"/>
        <v>782828.76</v>
      </c>
      <c r="T231" s="16">
        <v>631283.18999999994</v>
      </c>
      <c r="U231" s="16">
        <v>151545.57</v>
      </c>
      <c r="V231" s="16">
        <f t="shared" si="273"/>
        <v>149289.32</v>
      </c>
      <c r="W231" s="16">
        <v>111402.93</v>
      </c>
      <c r="X231" s="16">
        <v>37886.39</v>
      </c>
      <c r="Y231" s="16">
        <f t="shared" si="276"/>
        <v>0</v>
      </c>
      <c r="Z231" s="16"/>
      <c r="AA231" s="16"/>
      <c r="AB231" s="16">
        <f t="shared" si="274"/>
        <v>19022.82</v>
      </c>
      <c r="AC231" s="16">
        <v>15156.86</v>
      </c>
      <c r="AD231" s="16">
        <v>3865.96</v>
      </c>
      <c r="AE231" s="16">
        <f t="shared" si="270"/>
        <v>951140.9</v>
      </c>
      <c r="AF231" s="16"/>
      <c r="AG231" s="16">
        <f t="shared" si="271"/>
        <v>951140.9</v>
      </c>
      <c r="AH231" s="20" t="s">
        <v>615</v>
      </c>
      <c r="AI231" s="21" t="s">
        <v>451</v>
      </c>
      <c r="AJ231" s="23">
        <f>158718.42+71720.08</f>
        <v>230438.5</v>
      </c>
      <c r="AK231" s="23">
        <f>13036.61+13677.37</f>
        <v>26713.980000000003</v>
      </c>
    </row>
    <row r="232" spans="1:37" s="165" customFormat="1" ht="204.75" x14ac:dyDescent="0.25">
      <c r="A232" s="7">
        <v>226</v>
      </c>
      <c r="B232" s="7">
        <v>110309</v>
      </c>
      <c r="C232" s="11">
        <v>304</v>
      </c>
      <c r="D232" s="7" t="s">
        <v>1104</v>
      </c>
      <c r="E232" s="11" t="s">
        <v>165</v>
      </c>
      <c r="F232" s="51" t="s">
        <v>352</v>
      </c>
      <c r="G232" s="10" t="s">
        <v>486</v>
      </c>
      <c r="H232" s="24" t="s">
        <v>487</v>
      </c>
      <c r="I232" s="11" t="s">
        <v>185</v>
      </c>
      <c r="J232" s="12" t="s">
        <v>488</v>
      </c>
      <c r="K232" s="13">
        <v>43217</v>
      </c>
      <c r="L232" s="26">
        <v>43704</v>
      </c>
      <c r="M232" s="14">
        <f t="shared" si="272"/>
        <v>82.304186243827388</v>
      </c>
      <c r="N232" s="7" t="s">
        <v>354</v>
      </c>
      <c r="O232" s="7" t="s">
        <v>454</v>
      </c>
      <c r="P232" s="7" t="s">
        <v>454</v>
      </c>
      <c r="Q232" s="15" t="s">
        <v>356</v>
      </c>
      <c r="R232" s="11" t="s">
        <v>36</v>
      </c>
      <c r="S232" s="16">
        <f t="shared" si="275"/>
        <v>822248.59</v>
      </c>
      <c r="T232" s="16">
        <v>663071.85</v>
      </c>
      <c r="U232" s="16">
        <v>159176.74</v>
      </c>
      <c r="V232" s="16">
        <f t="shared" si="273"/>
        <v>156806.85999999999</v>
      </c>
      <c r="W232" s="16">
        <v>117012.68</v>
      </c>
      <c r="X232" s="16">
        <v>39794.18</v>
      </c>
      <c r="Y232" s="16">
        <f t="shared" si="276"/>
        <v>0</v>
      </c>
      <c r="Z232" s="16">
        <v>0</v>
      </c>
      <c r="AA232" s="16">
        <v>0</v>
      </c>
      <c r="AB232" s="16">
        <f t="shared" si="274"/>
        <v>19980.72</v>
      </c>
      <c r="AC232" s="16">
        <v>15920.09</v>
      </c>
      <c r="AD232" s="16">
        <v>4060.63</v>
      </c>
      <c r="AE232" s="16">
        <f t="shared" si="270"/>
        <v>999036.16999999993</v>
      </c>
      <c r="AF232" s="16">
        <v>0</v>
      </c>
      <c r="AG232" s="16">
        <f t="shared" si="271"/>
        <v>999036.16999999993</v>
      </c>
      <c r="AH232" s="20" t="s">
        <v>615</v>
      </c>
      <c r="AI232" s="21" t="s">
        <v>185</v>
      </c>
      <c r="AJ232" s="23">
        <f>83798.27+102389.01-8104.35+153466.67</f>
        <v>331549.59999999998</v>
      </c>
      <c r="AK232" s="23">
        <f>11201.73+6188.13+8104.35+19616.99</f>
        <v>45111.199999999997</v>
      </c>
    </row>
    <row r="233" spans="1:37" s="165" customFormat="1" ht="141.75" x14ac:dyDescent="0.25">
      <c r="A233" s="7">
        <v>227</v>
      </c>
      <c r="B233" s="7">
        <v>112122</v>
      </c>
      <c r="C233" s="11">
        <v>172</v>
      </c>
      <c r="D233" s="7" t="s">
        <v>171</v>
      </c>
      <c r="E233" s="11" t="s">
        <v>165</v>
      </c>
      <c r="F233" s="51" t="s">
        <v>352</v>
      </c>
      <c r="G233" s="168" t="s">
        <v>452</v>
      </c>
      <c r="H233" s="24" t="s">
        <v>453</v>
      </c>
      <c r="I233" s="11" t="s">
        <v>185</v>
      </c>
      <c r="J233" s="12" t="s">
        <v>1314</v>
      </c>
      <c r="K233" s="13">
        <v>43217</v>
      </c>
      <c r="L233" s="26">
        <v>43643</v>
      </c>
      <c r="M233" s="14">
        <f t="shared" si="272"/>
        <v>82.304186567760425</v>
      </c>
      <c r="N233" s="7" t="s">
        <v>354</v>
      </c>
      <c r="O233" s="7" t="s">
        <v>293</v>
      </c>
      <c r="P233" s="7" t="s">
        <v>450</v>
      </c>
      <c r="Q233" s="15" t="s">
        <v>356</v>
      </c>
      <c r="R233" s="11" t="s">
        <v>36</v>
      </c>
      <c r="S233" s="16">
        <f t="shared" si="275"/>
        <v>773010.27</v>
      </c>
      <c r="T233" s="16">
        <v>623365.43000000005</v>
      </c>
      <c r="U233" s="16">
        <v>149644.84</v>
      </c>
      <c r="V233" s="16">
        <f t="shared" si="273"/>
        <v>147416.87</v>
      </c>
      <c r="W233" s="16">
        <v>110005.66</v>
      </c>
      <c r="X233" s="16">
        <v>37411.21</v>
      </c>
      <c r="Y233" s="16">
        <f t="shared" si="276"/>
        <v>0</v>
      </c>
      <c r="Z233" s="16">
        <v>0</v>
      </c>
      <c r="AA233" s="16">
        <v>0</v>
      </c>
      <c r="AB233" s="16">
        <f t="shared" si="274"/>
        <v>18784.22</v>
      </c>
      <c r="AC233" s="16">
        <v>14966.72</v>
      </c>
      <c r="AD233" s="16">
        <v>3817.5</v>
      </c>
      <c r="AE233" s="16">
        <f t="shared" si="270"/>
        <v>939211.36</v>
      </c>
      <c r="AF233" s="16">
        <v>0</v>
      </c>
      <c r="AG233" s="16">
        <f t="shared" si="271"/>
        <v>939211.36</v>
      </c>
      <c r="AH233" s="20" t="s">
        <v>615</v>
      </c>
      <c r="AI233" s="21" t="s">
        <v>1315</v>
      </c>
      <c r="AJ233" s="23">
        <f>203464.35+52738-9972.73+62266+18526.35</f>
        <v>327021.96999999997</v>
      </c>
      <c r="AK233" s="23">
        <f>20890.44+10057.4+9972.73+19214.05</f>
        <v>60134.619999999995</v>
      </c>
    </row>
    <row r="234" spans="1:37" s="165" customFormat="1" ht="236.25" x14ac:dyDescent="0.25">
      <c r="A234" s="7">
        <v>228</v>
      </c>
      <c r="B234" s="7">
        <v>111683</v>
      </c>
      <c r="C234" s="11">
        <v>339</v>
      </c>
      <c r="D234" s="7" t="s">
        <v>1104</v>
      </c>
      <c r="E234" s="11" t="s">
        <v>165</v>
      </c>
      <c r="F234" s="51" t="s">
        <v>352</v>
      </c>
      <c r="G234" s="10" t="s">
        <v>469</v>
      </c>
      <c r="H234" s="10" t="s">
        <v>470</v>
      </c>
      <c r="I234" s="11" t="s">
        <v>185</v>
      </c>
      <c r="J234" s="12" t="s">
        <v>561</v>
      </c>
      <c r="K234" s="13">
        <v>43227</v>
      </c>
      <c r="L234" s="26">
        <v>43715</v>
      </c>
      <c r="M234" s="14">
        <f t="shared" si="272"/>
        <v>82.304184760647772</v>
      </c>
      <c r="N234" s="7" t="s">
        <v>354</v>
      </c>
      <c r="O234" s="7" t="s">
        <v>342</v>
      </c>
      <c r="P234" s="7" t="s">
        <v>342</v>
      </c>
      <c r="Q234" s="15" t="s">
        <v>356</v>
      </c>
      <c r="R234" s="11" t="s">
        <v>36</v>
      </c>
      <c r="S234" s="16">
        <f t="shared" si="275"/>
        <v>791387.51</v>
      </c>
      <c r="T234" s="16">
        <v>638185.07999999996</v>
      </c>
      <c r="U234" s="119">
        <v>153202.43</v>
      </c>
      <c r="V234" s="16">
        <f t="shared" si="273"/>
        <v>150921.51</v>
      </c>
      <c r="W234" s="120">
        <v>112620.9</v>
      </c>
      <c r="X234" s="16">
        <v>38300.61</v>
      </c>
      <c r="Y234" s="16">
        <f t="shared" si="276"/>
        <v>0</v>
      </c>
      <c r="Z234" s="16">
        <v>0</v>
      </c>
      <c r="AA234" s="16">
        <v>0</v>
      </c>
      <c r="AB234" s="16">
        <f t="shared" si="274"/>
        <v>19230.8</v>
      </c>
      <c r="AC234" s="16">
        <v>15322.57</v>
      </c>
      <c r="AD234" s="16">
        <v>3908.23</v>
      </c>
      <c r="AE234" s="16">
        <f t="shared" si="270"/>
        <v>961539.82000000007</v>
      </c>
      <c r="AF234" s="16"/>
      <c r="AG234" s="16">
        <f t="shared" si="271"/>
        <v>961539.82000000007</v>
      </c>
      <c r="AH234" s="20" t="s">
        <v>615</v>
      </c>
      <c r="AI234" s="21" t="s">
        <v>185</v>
      </c>
      <c r="AJ234" s="23">
        <f>96153.98-3298.47-11810.23</f>
        <v>81045.279999999999</v>
      </c>
      <c r="AK234" s="23">
        <f>3298.47+11810.23</f>
        <v>15108.699999999999</v>
      </c>
    </row>
    <row r="235" spans="1:37" s="165" customFormat="1" ht="252" x14ac:dyDescent="0.25">
      <c r="A235" s="7">
        <v>229</v>
      </c>
      <c r="B235" s="7">
        <v>112332</v>
      </c>
      <c r="C235" s="11">
        <v>351</v>
      </c>
      <c r="D235" s="7" t="s">
        <v>1351</v>
      </c>
      <c r="E235" s="11" t="s">
        <v>165</v>
      </c>
      <c r="F235" s="51" t="s">
        <v>352</v>
      </c>
      <c r="G235" s="168" t="s">
        <v>471</v>
      </c>
      <c r="H235" s="168" t="s">
        <v>472</v>
      </c>
      <c r="I235" s="168" t="s">
        <v>473</v>
      </c>
      <c r="J235" s="12" t="s">
        <v>474</v>
      </c>
      <c r="K235" s="13">
        <v>43227</v>
      </c>
      <c r="L235" s="26">
        <v>43653</v>
      </c>
      <c r="M235" s="14">
        <f t="shared" si="272"/>
        <v>82.304185552831029</v>
      </c>
      <c r="N235" s="7" t="s">
        <v>354</v>
      </c>
      <c r="O235" s="7" t="s">
        <v>1025</v>
      </c>
      <c r="P235" s="7" t="s">
        <v>1026</v>
      </c>
      <c r="Q235" s="15" t="s">
        <v>356</v>
      </c>
      <c r="R235" s="11" t="s">
        <v>36</v>
      </c>
      <c r="S235" s="16">
        <f t="shared" si="275"/>
        <v>785144.49</v>
      </c>
      <c r="T235" s="16">
        <v>633150.63</v>
      </c>
      <c r="U235" s="16">
        <v>151993.85999999999</v>
      </c>
      <c r="V235" s="16">
        <f t="shared" si="273"/>
        <v>149730.93</v>
      </c>
      <c r="W235" s="16">
        <v>111732.46</v>
      </c>
      <c r="X235" s="16">
        <v>37998.47</v>
      </c>
      <c r="Y235" s="16">
        <f t="shared" si="276"/>
        <v>0</v>
      </c>
      <c r="Z235" s="16">
        <v>0</v>
      </c>
      <c r="AA235" s="16">
        <v>0</v>
      </c>
      <c r="AB235" s="16">
        <f t="shared" si="274"/>
        <v>19079.09</v>
      </c>
      <c r="AC235" s="16">
        <v>15201.7</v>
      </c>
      <c r="AD235" s="16">
        <v>3877.39</v>
      </c>
      <c r="AE235" s="16">
        <f t="shared" si="270"/>
        <v>953954.50999999989</v>
      </c>
      <c r="AF235" s="16">
        <v>0</v>
      </c>
      <c r="AG235" s="16">
        <f t="shared" si="271"/>
        <v>953954.50999999989</v>
      </c>
      <c r="AH235" s="20" t="s">
        <v>615</v>
      </c>
      <c r="AI235" s="21" t="s">
        <v>185</v>
      </c>
      <c r="AJ235" s="23">
        <f>103189.19-10344.17+64585.92+101525.85</f>
        <v>258956.79</v>
      </c>
      <c r="AK235" s="23">
        <f>6891.88+10344.17+32148.26</f>
        <v>49384.31</v>
      </c>
    </row>
    <row r="236" spans="1:37" s="165" customFormat="1" ht="204.75" x14ac:dyDescent="0.25">
      <c r="A236" s="7">
        <v>230</v>
      </c>
      <c r="B236" s="7">
        <v>115657</v>
      </c>
      <c r="C236" s="11">
        <v>390</v>
      </c>
      <c r="D236" s="7" t="s">
        <v>173</v>
      </c>
      <c r="E236" s="11" t="s">
        <v>165</v>
      </c>
      <c r="F236" s="9" t="s">
        <v>476</v>
      </c>
      <c r="G236" s="10" t="s">
        <v>475</v>
      </c>
      <c r="H236" s="10" t="s">
        <v>42</v>
      </c>
      <c r="I236" s="7" t="s">
        <v>477</v>
      </c>
      <c r="J236" s="12" t="s">
        <v>478</v>
      </c>
      <c r="K236" s="13">
        <v>43223</v>
      </c>
      <c r="L236" s="26">
        <v>44015</v>
      </c>
      <c r="M236" s="14">
        <f t="shared" si="272"/>
        <v>83.983862800906138</v>
      </c>
      <c r="N236" s="7" t="s">
        <v>354</v>
      </c>
      <c r="O236" s="7" t="s">
        <v>393</v>
      </c>
      <c r="P236" s="7" t="s">
        <v>393</v>
      </c>
      <c r="Q236" s="15" t="s">
        <v>157</v>
      </c>
      <c r="R236" s="11" t="s">
        <v>36</v>
      </c>
      <c r="S236" s="16">
        <f t="shared" si="275"/>
        <v>5309367.55</v>
      </c>
      <c r="T236" s="16">
        <v>4281542.3499999996</v>
      </c>
      <c r="U236" s="16">
        <v>1027825.2</v>
      </c>
      <c r="V236" s="16">
        <f t="shared" si="273"/>
        <v>0</v>
      </c>
      <c r="W236" s="16">
        <v>0</v>
      </c>
      <c r="X236" s="16">
        <v>0</v>
      </c>
      <c r="Y236" s="16">
        <f t="shared" si="276"/>
        <v>1012522.6000000001</v>
      </c>
      <c r="Z236" s="16">
        <v>755566.3</v>
      </c>
      <c r="AA236" s="16">
        <v>256956.3</v>
      </c>
      <c r="AB236" s="16">
        <f t="shared" si="274"/>
        <v>0</v>
      </c>
      <c r="AC236" s="16">
        <v>0</v>
      </c>
      <c r="AD236" s="16">
        <v>0</v>
      </c>
      <c r="AE236" s="16">
        <f t="shared" si="270"/>
        <v>6321890.1500000004</v>
      </c>
      <c r="AF236" s="16">
        <v>0</v>
      </c>
      <c r="AG236" s="16">
        <f t="shared" si="271"/>
        <v>6321890.1500000004</v>
      </c>
      <c r="AH236" s="20" t="s">
        <v>615</v>
      </c>
      <c r="AI236" s="21" t="s">
        <v>1070</v>
      </c>
      <c r="AJ236" s="23">
        <f>353113.65+235442.42</f>
        <v>588556.07000000007</v>
      </c>
      <c r="AK236" s="23">
        <v>0</v>
      </c>
    </row>
    <row r="237" spans="1:37" s="165" customFormat="1" ht="141.75" x14ac:dyDescent="0.25">
      <c r="A237" s="7">
        <v>231</v>
      </c>
      <c r="B237" s="7">
        <v>121858</v>
      </c>
      <c r="C237" s="11">
        <v>50</v>
      </c>
      <c r="D237" s="7" t="s">
        <v>174</v>
      </c>
      <c r="E237" s="11" t="s">
        <v>165</v>
      </c>
      <c r="F237" s="51" t="s">
        <v>128</v>
      </c>
      <c r="G237" s="24" t="s">
        <v>479</v>
      </c>
      <c r="H237" s="24" t="s">
        <v>485</v>
      </c>
      <c r="I237" s="11" t="s">
        <v>380</v>
      </c>
      <c r="J237" s="12" t="s">
        <v>480</v>
      </c>
      <c r="K237" s="13">
        <v>43229</v>
      </c>
      <c r="L237" s="26">
        <v>44144</v>
      </c>
      <c r="M237" s="14">
        <f t="shared" si="272"/>
        <v>83.983862841119134</v>
      </c>
      <c r="N237" s="7" t="s">
        <v>354</v>
      </c>
      <c r="O237" s="7" t="s">
        <v>393</v>
      </c>
      <c r="P237" s="7" t="s">
        <v>393</v>
      </c>
      <c r="Q237" s="15" t="s">
        <v>157</v>
      </c>
      <c r="R237" s="7" t="s">
        <v>36</v>
      </c>
      <c r="S237" s="16">
        <f t="shared" si="275"/>
        <v>9905083.2300000004</v>
      </c>
      <c r="T237" s="16">
        <v>7987586.6500000004</v>
      </c>
      <c r="U237" s="16">
        <v>1917496.58</v>
      </c>
      <c r="V237" s="16">
        <f t="shared" si="273"/>
        <v>0</v>
      </c>
      <c r="W237" s="16">
        <v>0</v>
      </c>
      <c r="X237" s="16">
        <v>0</v>
      </c>
      <c r="Y237" s="16">
        <f t="shared" si="276"/>
        <v>1888948.2600000002</v>
      </c>
      <c r="Z237" s="18">
        <v>1409574.12</v>
      </c>
      <c r="AA237" s="16">
        <v>479374.14</v>
      </c>
      <c r="AB237" s="16">
        <f t="shared" si="274"/>
        <v>0</v>
      </c>
      <c r="AC237" s="16">
        <v>0</v>
      </c>
      <c r="AD237" s="16">
        <v>0</v>
      </c>
      <c r="AE237" s="16">
        <f t="shared" ref="AE237:AE239" si="277">S237+V237+Y237+AB237</f>
        <v>11794031.49</v>
      </c>
      <c r="AF237" s="16">
        <v>0</v>
      </c>
      <c r="AG237" s="16">
        <f t="shared" ref="AG237" si="278">AE237+AF237</f>
        <v>11794031.49</v>
      </c>
      <c r="AH237" s="20" t="s">
        <v>615</v>
      </c>
      <c r="AI237" s="21" t="s">
        <v>185</v>
      </c>
      <c r="AJ237" s="23">
        <f>46758.01+81807.84+85847.46+78522.48</f>
        <v>292935.78999999998</v>
      </c>
      <c r="AK237" s="23">
        <v>0</v>
      </c>
    </row>
    <row r="238" spans="1:37" s="165" customFormat="1" ht="346.5" x14ac:dyDescent="0.25">
      <c r="A238" s="7">
        <v>232</v>
      </c>
      <c r="B238" s="7">
        <v>116172</v>
      </c>
      <c r="C238" s="11">
        <v>391</v>
      </c>
      <c r="D238" s="7" t="s">
        <v>170</v>
      </c>
      <c r="E238" s="11" t="s">
        <v>165</v>
      </c>
      <c r="F238" s="9" t="s">
        <v>476</v>
      </c>
      <c r="G238" s="47" t="s">
        <v>490</v>
      </c>
      <c r="H238" s="24" t="s">
        <v>491</v>
      </c>
      <c r="I238" s="168" t="s">
        <v>492</v>
      </c>
      <c r="J238" s="68" t="s">
        <v>562</v>
      </c>
      <c r="K238" s="13">
        <v>43230</v>
      </c>
      <c r="L238" s="26">
        <v>44022</v>
      </c>
      <c r="M238" s="14">
        <f t="shared" si="272"/>
        <v>83.983862781809307</v>
      </c>
      <c r="N238" s="7" t="s">
        <v>354</v>
      </c>
      <c r="O238" s="7" t="s">
        <v>393</v>
      </c>
      <c r="P238" s="7" t="s">
        <v>393</v>
      </c>
      <c r="Q238" s="15" t="s">
        <v>157</v>
      </c>
      <c r="R238" s="7" t="s">
        <v>36</v>
      </c>
      <c r="S238" s="16">
        <f>T238+U238</f>
        <v>6564977.1999999993</v>
      </c>
      <c r="T238" s="16">
        <v>5294082.1399999997</v>
      </c>
      <c r="U238" s="16">
        <v>1270895.06</v>
      </c>
      <c r="V238" s="16">
        <f t="shared" si="273"/>
        <v>0</v>
      </c>
      <c r="W238" s="16">
        <v>0</v>
      </c>
      <c r="X238" s="16">
        <v>0</v>
      </c>
      <c r="Y238" s="16">
        <f t="shared" si="276"/>
        <v>1251973.56</v>
      </c>
      <c r="Z238" s="16">
        <v>934249.79</v>
      </c>
      <c r="AA238" s="16">
        <v>317723.77</v>
      </c>
      <c r="AB238" s="16">
        <f t="shared" si="274"/>
        <v>0</v>
      </c>
      <c r="AC238" s="16">
        <v>0</v>
      </c>
      <c r="AD238" s="16"/>
      <c r="AE238" s="16">
        <f t="shared" si="277"/>
        <v>7816950.7599999998</v>
      </c>
      <c r="AF238" s="16">
        <v>0</v>
      </c>
      <c r="AG238" s="16">
        <f t="shared" si="271"/>
        <v>7816950.7599999998</v>
      </c>
      <c r="AH238" s="20" t="s">
        <v>615</v>
      </c>
      <c r="AI238" s="21" t="s">
        <v>185</v>
      </c>
      <c r="AJ238" s="23">
        <f>25605.84+62835.23</f>
        <v>88441.07</v>
      </c>
      <c r="AK238" s="23">
        <v>0</v>
      </c>
    </row>
    <row r="239" spans="1:37" s="165" customFormat="1" ht="189" x14ac:dyDescent="0.25">
      <c r="A239" s="7">
        <v>233</v>
      </c>
      <c r="B239" s="7">
        <v>111701</v>
      </c>
      <c r="C239" s="11">
        <v>251</v>
      </c>
      <c r="D239" s="7" t="s">
        <v>1351</v>
      </c>
      <c r="E239" s="11" t="s">
        <v>165</v>
      </c>
      <c r="F239" s="51" t="s">
        <v>352</v>
      </c>
      <c r="G239" s="168" t="s">
        <v>493</v>
      </c>
      <c r="H239" s="168" t="s">
        <v>494</v>
      </c>
      <c r="I239" s="168" t="s">
        <v>495</v>
      </c>
      <c r="J239" s="12" t="s">
        <v>563</v>
      </c>
      <c r="K239" s="13">
        <v>43231</v>
      </c>
      <c r="L239" s="26">
        <v>43780</v>
      </c>
      <c r="M239" s="14">
        <f t="shared" ref="M239" si="279">S239/AE239*100</f>
        <v>82.304184042493461</v>
      </c>
      <c r="N239" s="7" t="s">
        <v>354</v>
      </c>
      <c r="O239" s="7" t="s">
        <v>300</v>
      </c>
      <c r="P239" s="7" t="s">
        <v>300</v>
      </c>
      <c r="Q239" s="15" t="s">
        <v>356</v>
      </c>
      <c r="R239" s="11" t="s">
        <v>36</v>
      </c>
      <c r="S239" s="16">
        <f t="shared" ref="S239" si="280">T239+U239</f>
        <v>783324.87</v>
      </c>
      <c r="T239" s="16">
        <v>631683.26</v>
      </c>
      <c r="U239" s="16">
        <v>151641.60999999999</v>
      </c>
      <c r="V239" s="16">
        <f t="shared" ref="V239" si="281">W239+X239</f>
        <v>149383.93</v>
      </c>
      <c r="W239" s="16">
        <v>111473.52</v>
      </c>
      <c r="X239" s="16">
        <v>37910.410000000003</v>
      </c>
      <c r="Y239" s="16">
        <f t="shared" ref="Y239" si="282">Z239+AA239</f>
        <v>0</v>
      </c>
      <c r="Z239" s="16">
        <v>0</v>
      </c>
      <c r="AA239" s="16">
        <v>0</v>
      </c>
      <c r="AB239" s="16">
        <f t="shared" ref="AB239" si="283">AC239+AD239</f>
        <v>19034.879999999997</v>
      </c>
      <c r="AC239" s="16">
        <v>15166.47</v>
      </c>
      <c r="AD239" s="16">
        <v>3868.41</v>
      </c>
      <c r="AE239" s="16">
        <f t="shared" si="277"/>
        <v>951743.68</v>
      </c>
      <c r="AF239" s="16">
        <v>4162.62</v>
      </c>
      <c r="AG239" s="16">
        <f t="shared" ref="AG239" si="284">AE239+AF239</f>
        <v>955906.3</v>
      </c>
      <c r="AH239" s="20" t="s">
        <v>615</v>
      </c>
      <c r="AI239" s="21" t="s">
        <v>185</v>
      </c>
      <c r="AJ239" s="23">
        <f>95051.96+39484.25+23955.55-8000</f>
        <v>150491.76</v>
      </c>
      <c r="AK239" s="23">
        <f>15075.6+9055.47+4568.44</f>
        <v>28699.51</v>
      </c>
    </row>
    <row r="240" spans="1:37" s="165" customFormat="1" ht="195" x14ac:dyDescent="0.25">
      <c r="A240" s="7">
        <v>234</v>
      </c>
      <c r="B240" s="7">
        <v>111284</v>
      </c>
      <c r="C240" s="11">
        <v>182</v>
      </c>
      <c r="D240" s="7" t="s">
        <v>171</v>
      </c>
      <c r="E240" s="11" t="s">
        <v>165</v>
      </c>
      <c r="F240" s="51" t="s">
        <v>352</v>
      </c>
      <c r="G240" s="168" t="s">
        <v>500</v>
      </c>
      <c r="H240" s="7" t="s">
        <v>501</v>
      </c>
      <c r="I240" s="186"/>
      <c r="J240" s="53" t="s">
        <v>564</v>
      </c>
      <c r="K240" s="13">
        <v>43236</v>
      </c>
      <c r="L240" s="26">
        <v>43724</v>
      </c>
      <c r="M240" s="14">
        <f t="shared" si="272"/>
        <v>82.304186150868873</v>
      </c>
      <c r="N240" s="7" t="s">
        <v>354</v>
      </c>
      <c r="O240" s="7" t="s">
        <v>223</v>
      </c>
      <c r="P240" s="7" t="s">
        <v>502</v>
      </c>
      <c r="Q240" s="15" t="s">
        <v>356</v>
      </c>
      <c r="R240" s="11" t="s">
        <v>36</v>
      </c>
      <c r="S240" s="16">
        <f t="shared" si="275"/>
        <v>820224.26</v>
      </c>
      <c r="T240" s="16">
        <v>661439.4</v>
      </c>
      <c r="U240" s="16">
        <v>158784.85999999999</v>
      </c>
      <c r="V240" s="16">
        <f t="shared" si="273"/>
        <v>156420.81</v>
      </c>
      <c r="W240" s="16">
        <v>116724.6</v>
      </c>
      <c r="X240" s="16">
        <v>39696.21</v>
      </c>
      <c r="Y240" s="16">
        <f t="shared" si="276"/>
        <v>0</v>
      </c>
      <c r="Z240" s="16"/>
      <c r="AA240" s="16"/>
      <c r="AB240" s="16">
        <f t="shared" si="274"/>
        <v>19931.53</v>
      </c>
      <c r="AC240" s="16">
        <v>15880.9</v>
      </c>
      <c r="AD240" s="16">
        <v>4050.63</v>
      </c>
      <c r="AE240" s="16">
        <f t="shared" si="270"/>
        <v>996576.60000000009</v>
      </c>
      <c r="AF240" s="16"/>
      <c r="AG240" s="16">
        <f t="shared" si="271"/>
        <v>996576.60000000009</v>
      </c>
      <c r="AH240" s="20" t="s">
        <v>615</v>
      </c>
      <c r="AI240" s="21" t="s">
        <v>185</v>
      </c>
      <c r="AJ240" s="23">
        <f>89946.09+50286.21+28089.49+78330.42+133065.34</f>
        <v>379717.54999999993</v>
      </c>
      <c r="AK240" s="23">
        <f>8053.91+20294.8+25376.22</f>
        <v>53724.93</v>
      </c>
    </row>
    <row r="241" spans="1:37" s="165" customFormat="1" ht="141.75" x14ac:dyDescent="0.25">
      <c r="A241" s="7">
        <v>235</v>
      </c>
      <c r="B241" s="7">
        <v>116994</v>
      </c>
      <c r="C241" s="11">
        <v>399</v>
      </c>
      <c r="D241" s="7" t="s">
        <v>170</v>
      </c>
      <c r="E241" s="11" t="s">
        <v>165</v>
      </c>
      <c r="F241" s="9" t="s">
        <v>476</v>
      </c>
      <c r="G241" s="168" t="s">
        <v>503</v>
      </c>
      <c r="H241" s="10" t="s">
        <v>87</v>
      </c>
      <c r="I241" s="186" t="s">
        <v>380</v>
      </c>
      <c r="J241" s="53" t="s">
        <v>565</v>
      </c>
      <c r="K241" s="13">
        <v>43236</v>
      </c>
      <c r="L241" s="26">
        <v>44028</v>
      </c>
      <c r="M241" s="14">
        <f t="shared" si="272"/>
        <v>83.983862868396045</v>
      </c>
      <c r="N241" s="7" t="s">
        <v>354</v>
      </c>
      <c r="O241" s="7" t="s">
        <v>156</v>
      </c>
      <c r="P241" s="7" t="s">
        <v>156</v>
      </c>
      <c r="Q241" s="15" t="s">
        <v>157</v>
      </c>
      <c r="R241" s="11" t="s">
        <v>36</v>
      </c>
      <c r="S241" s="16">
        <f>T241+U241</f>
        <v>6570135.6299999999</v>
      </c>
      <c r="T241" s="16">
        <v>5298241.96</v>
      </c>
      <c r="U241" s="16">
        <v>1271893.67</v>
      </c>
      <c r="V241" s="16">
        <f>W241+X241</f>
        <v>0</v>
      </c>
      <c r="W241" s="16">
        <v>0</v>
      </c>
      <c r="X241" s="16">
        <v>0</v>
      </c>
      <c r="Y241" s="16">
        <f>Z241+AA241</f>
        <v>1252957.29</v>
      </c>
      <c r="Z241" s="16">
        <v>934983.88</v>
      </c>
      <c r="AA241" s="16">
        <v>317973.40999999997</v>
      </c>
      <c r="AB241" s="16">
        <f t="shared" si="274"/>
        <v>0</v>
      </c>
      <c r="AC241" s="16">
        <v>0</v>
      </c>
      <c r="AD241" s="16">
        <v>0</v>
      </c>
      <c r="AE241" s="16">
        <f t="shared" si="270"/>
        <v>7823092.9199999999</v>
      </c>
      <c r="AF241" s="16">
        <v>0</v>
      </c>
      <c r="AG241" s="16">
        <f t="shared" si="271"/>
        <v>7823092.9199999999</v>
      </c>
      <c r="AH241" s="20" t="s">
        <v>615</v>
      </c>
      <c r="AI241" s="21"/>
      <c r="AJ241" s="23">
        <f>4248.74+31166.22+89220.52</f>
        <v>124635.48000000001</v>
      </c>
      <c r="AK241" s="23">
        <v>0</v>
      </c>
    </row>
    <row r="242" spans="1:37" s="165" customFormat="1" ht="165" x14ac:dyDescent="0.25">
      <c r="A242" s="7">
        <v>236</v>
      </c>
      <c r="B242" s="7">
        <v>112921</v>
      </c>
      <c r="C242" s="11">
        <v>288</v>
      </c>
      <c r="D242" s="7" t="s">
        <v>1104</v>
      </c>
      <c r="E242" s="11" t="s">
        <v>165</v>
      </c>
      <c r="F242" s="9" t="s">
        <v>352</v>
      </c>
      <c r="G242" s="47" t="s">
        <v>505</v>
      </c>
      <c r="H242" s="10" t="s">
        <v>504</v>
      </c>
      <c r="I242" s="11" t="s">
        <v>506</v>
      </c>
      <c r="J242" s="53" t="s">
        <v>507</v>
      </c>
      <c r="K242" s="13">
        <v>43236</v>
      </c>
      <c r="L242" s="26">
        <v>43724</v>
      </c>
      <c r="M242" s="14">
        <f t="shared" si="272"/>
        <v>82.304185665928145</v>
      </c>
      <c r="N242" s="7" t="s">
        <v>354</v>
      </c>
      <c r="O242" s="7" t="s">
        <v>774</v>
      </c>
      <c r="P242" s="7" t="s">
        <v>774</v>
      </c>
      <c r="Q242" s="15" t="s">
        <v>356</v>
      </c>
      <c r="R242" s="11" t="s">
        <v>36</v>
      </c>
      <c r="S242" s="16">
        <f>T242+U242</f>
        <v>692528.20000000007</v>
      </c>
      <c r="T242" s="16">
        <v>558463.66</v>
      </c>
      <c r="U242" s="16">
        <v>134064.54</v>
      </c>
      <c r="V242" s="16">
        <f>W242+X242</f>
        <v>132068.53999999998</v>
      </c>
      <c r="W242" s="16">
        <v>98552.4</v>
      </c>
      <c r="X242" s="16">
        <v>33516.14</v>
      </c>
      <c r="Y242" s="16">
        <f>Z242+AA242</f>
        <v>0</v>
      </c>
      <c r="Z242" s="16">
        <v>0</v>
      </c>
      <c r="AA242" s="16">
        <v>0</v>
      </c>
      <c r="AB242" s="16">
        <f t="shared" si="274"/>
        <v>16828.510000000002</v>
      </c>
      <c r="AC242" s="16">
        <v>13408.5</v>
      </c>
      <c r="AD242" s="16">
        <v>3420.01</v>
      </c>
      <c r="AE242" s="16">
        <f t="shared" ref="AE242:AE260" si="285">S242+V242+Y242+AB242</f>
        <v>841425.25</v>
      </c>
      <c r="AF242" s="16">
        <v>0</v>
      </c>
      <c r="AG242" s="16">
        <f t="shared" si="271"/>
        <v>841425.25</v>
      </c>
      <c r="AH242" s="20" t="s">
        <v>615</v>
      </c>
      <c r="AI242" s="21"/>
      <c r="AJ242" s="23">
        <f>59000+45054.47-7168.82+43487.54+82400+27588.29+82400</f>
        <v>332761.48</v>
      </c>
      <c r="AK242" s="23">
        <f>15760.94+11008.93+20975.3</f>
        <v>47745.17</v>
      </c>
    </row>
    <row r="243" spans="1:37" s="165" customFormat="1" ht="141.75" x14ac:dyDescent="0.25">
      <c r="A243" s="7">
        <v>237</v>
      </c>
      <c r="B243" s="7">
        <v>122235</v>
      </c>
      <c r="C243" s="11">
        <v>60</v>
      </c>
      <c r="D243" s="7" t="s">
        <v>168</v>
      </c>
      <c r="E243" s="11" t="s">
        <v>169</v>
      </c>
      <c r="F243" s="9" t="s">
        <v>142</v>
      </c>
      <c r="G243" s="47" t="s">
        <v>508</v>
      </c>
      <c r="H243" s="7" t="s">
        <v>509</v>
      </c>
      <c r="I243" s="11" t="s">
        <v>185</v>
      </c>
      <c r="J243" s="53" t="s">
        <v>510</v>
      </c>
      <c r="K243" s="13">
        <v>43236</v>
      </c>
      <c r="L243" s="26">
        <v>44302</v>
      </c>
      <c r="M243" s="14">
        <f>S243/AE243*100</f>
        <v>83.983862861012312</v>
      </c>
      <c r="N243" s="7" t="s">
        <v>354</v>
      </c>
      <c r="O243" s="7" t="s">
        <v>342</v>
      </c>
      <c r="P243" s="7" t="s">
        <v>342</v>
      </c>
      <c r="Q243" s="15" t="s">
        <v>157</v>
      </c>
      <c r="R243" s="7" t="s">
        <v>36</v>
      </c>
      <c r="S243" s="16">
        <f>T243+U243</f>
        <v>9422880.1500000004</v>
      </c>
      <c r="T243" s="16">
        <v>7598731.8700000001</v>
      </c>
      <c r="U243" s="16">
        <v>1824148.28</v>
      </c>
      <c r="V243" s="16">
        <f t="shared" si="273"/>
        <v>0</v>
      </c>
      <c r="W243" s="16"/>
      <c r="X243" s="16"/>
      <c r="Y243" s="16">
        <f t="shared" si="276"/>
        <v>1796989.75</v>
      </c>
      <c r="Z243" s="16">
        <v>1340952.68</v>
      </c>
      <c r="AA243" s="16">
        <v>456037.07</v>
      </c>
      <c r="AB243" s="16">
        <f>AC243+AD243</f>
        <v>0</v>
      </c>
      <c r="AC243" s="16"/>
      <c r="AD243" s="16"/>
      <c r="AE243" s="16">
        <f t="shared" si="285"/>
        <v>11219869.9</v>
      </c>
      <c r="AF243" s="16">
        <v>0</v>
      </c>
      <c r="AG243" s="16">
        <f>AE243+AF243</f>
        <v>11219869.9</v>
      </c>
      <c r="AH243" s="20" t="s">
        <v>615</v>
      </c>
      <c r="AI243" s="21" t="s">
        <v>185</v>
      </c>
      <c r="AJ243" s="23">
        <f>177000+30000-137868.19+11251.1</f>
        <v>80382.91</v>
      </c>
      <c r="AK243" s="23">
        <v>0</v>
      </c>
    </row>
    <row r="244" spans="1:37" s="165" customFormat="1" ht="141.75" x14ac:dyDescent="0.25">
      <c r="A244" s="7">
        <v>238</v>
      </c>
      <c r="B244" s="7">
        <v>113205</v>
      </c>
      <c r="C244" s="11">
        <v>286</v>
      </c>
      <c r="D244" s="7" t="s">
        <v>1104</v>
      </c>
      <c r="E244" s="11" t="s">
        <v>165</v>
      </c>
      <c r="F244" s="9" t="s">
        <v>352</v>
      </c>
      <c r="G244" s="47" t="s">
        <v>511</v>
      </c>
      <c r="H244" s="10" t="s">
        <v>512</v>
      </c>
      <c r="I244" s="11" t="s">
        <v>513</v>
      </c>
      <c r="J244" s="53" t="s">
        <v>566</v>
      </c>
      <c r="K244" s="13">
        <v>43243</v>
      </c>
      <c r="L244" s="26">
        <v>43669</v>
      </c>
      <c r="M244" s="14">
        <f t="shared" si="272"/>
        <v>82.304187102769717</v>
      </c>
      <c r="N244" s="7" t="s">
        <v>354</v>
      </c>
      <c r="O244" s="7" t="s">
        <v>342</v>
      </c>
      <c r="P244" s="7" t="s">
        <v>342</v>
      </c>
      <c r="Q244" s="15" t="s">
        <v>157</v>
      </c>
      <c r="R244" s="7" t="s">
        <v>36</v>
      </c>
      <c r="S244" s="16">
        <f t="shared" si="275"/>
        <v>750653.75</v>
      </c>
      <c r="T244" s="16">
        <v>605336.84</v>
      </c>
      <c r="U244" s="16">
        <v>145316.91</v>
      </c>
      <c r="V244" s="16">
        <f t="shared" si="273"/>
        <v>143153.35999999999</v>
      </c>
      <c r="W244" s="16">
        <v>106824.15</v>
      </c>
      <c r="X244" s="16">
        <v>36329.21</v>
      </c>
      <c r="Y244" s="16">
        <f t="shared" si="276"/>
        <v>0</v>
      </c>
      <c r="Z244" s="16">
        <v>0</v>
      </c>
      <c r="AA244" s="16">
        <v>0</v>
      </c>
      <c r="AB244" s="16">
        <f t="shared" ref="AB244:AB260" si="286">AC244+AD244</f>
        <v>18240.96</v>
      </c>
      <c r="AC244" s="16">
        <v>14533.9</v>
      </c>
      <c r="AD244" s="16">
        <v>3707.06</v>
      </c>
      <c r="AE244" s="16">
        <f t="shared" si="285"/>
        <v>912048.07</v>
      </c>
      <c r="AF244" s="16">
        <v>0</v>
      </c>
      <c r="AG244" s="16">
        <f t="shared" si="271"/>
        <v>912048.07</v>
      </c>
      <c r="AH244" s="20" t="s">
        <v>615</v>
      </c>
      <c r="AI244" s="21"/>
      <c r="AJ244" s="23">
        <f>80989.07+73791.77+71604.65-11418.94+71296.47+10538.9</f>
        <v>296801.92000000004</v>
      </c>
      <c r="AK244" s="23">
        <f>12124.41+13655.35+11418.94+6176.71</f>
        <v>43375.41</v>
      </c>
    </row>
    <row r="245" spans="1:37" s="165" customFormat="1" ht="409.5" x14ac:dyDescent="0.25">
      <c r="A245" s="7">
        <v>239</v>
      </c>
      <c r="B245" s="7">
        <v>111084</v>
      </c>
      <c r="C245" s="11">
        <v>343</v>
      </c>
      <c r="D245" s="7" t="s">
        <v>1104</v>
      </c>
      <c r="E245" s="11" t="s">
        <v>165</v>
      </c>
      <c r="F245" s="9" t="s">
        <v>352</v>
      </c>
      <c r="G245" s="47" t="s">
        <v>514</v>
      </c>
      <c r="H245" s="47" t="s">
        <v>515</v>
      </c>
      <c r="I245" s="11" t="s">
        <v>514</v>
      </c>
      <c r="J245" s="53" t="s">
        <v>567</v>
      </c>
      <c r="K245" s="13">
        <v>43243</v>
      </c>
      <c r="L245" s="26">
        <v>43669</v>
      </c>
      <c r="M245" s="14">
        <f t="shared" si="272"/>
        <v>82.304185103544512</v>
      </c>
      <c r="N245" s="7" t="s">
        <v>354</v>
      </c>
      <c r="O245" s="7" t="s">
        <v>156</v>
      </c>
      <c r="P245" s="7" t="s">
        <v>156</v>
      </c>
      <c r="Q245" s="15" t="s">
        <v>356</v>
      </c>
      <c r="R245" s="7" t="s">
        <v>36</v>
      </c>
      <c r="S245" s="16">
        <f t="shared" si="275"/>
        <v>698744.26</v>
      </c>
      <c r="T245" s="121">
        <v>563476.37</v>
      </c>
      <c r="U245" s="121">
        <v>135267.89000000001</v>
      </c>
      <c r="V245" s="16">
        <f t="shared" si="273"/>
        <v>133253.97999999998</v>
      </c>
      <c r="W245" s="121">
        <v>99437.01</v>
      </c>
      <c r="X245" s="122">
        <v>33816.97</v>
      </c>
      <c r="Y245" s="16">
        <f t="shared" si="276"/>
        <v>0</v>
      </c>
      <c r="Z245" s="16"/>
      <c r="AA245" s="16"/>
      <c r="AB245" s="16">
        <f t="shared" si="286"/>
        <v>16979.560000000001</v>
      </c>
      <c r="AC245" s="121">
        <v>13528.85</v>
      </c>
      <c r="AD245" s="123">
        <v>3450.71</v>
      </c>
      <c r="AE245" s="16">
        <f t="shared" si="285"/>
        <v>848977.8</v>
      </c>
      <c r="AF245" s="16">
        <v>0</v>
      </c>
      <c r="AG245" s="16">
        <f t="shared" si="271"/>
        <v>848977.8</v>
      </c>
      <c r="AH245" s="20" t="s">
        <v>615</v>
      </c>
      <c r="AI245" s="21"/>
      <c r="AJ245" s="23">
        <f>81482.69+89509.54+12342.66+79890.06</f>
        <v>263224.94999999995</v>
      </c>
      <c r="AK245" s="23">
        <f>12927.23+3853.32+17589.26</f>
        <v>34369.81</v>
      </c>
    </row>
    <row r="246" spans="1:37" s="165" customFormat="1" ht="362.25" x14ac:dyDescent="0.25">
      <c r="A246" s="7">
        <v>240</v>
      </c>
      <c r="B246" s="7">
        <v>110679</v>
      </c>
      <c r="C246" s="11">
        <v>197</v>
      </c>
      <c r="D246" s="7" t="s">
        <v>171</v>
      </c>
      <c r="E246" s="11" t="s">
        <v>165</v>
      </c>
      <c r="F246" s="9" t="s">
        <v>352</v>
      </c>
      <c r="G246" s="124" t="s">
        <v>516</v>
      </c>
      <c r="H246" s="24" t="s">
        <v>519</v>
      </c>
      <c r="I246" s="11" t="s">
        <v>185</v>
      </c>
      <c r="J246" s="12" t="s">
        <v>568</v>
      </c>
      <c r="K246" s="13">
        <v>43243</v>
      </c>
      <c r="L246" s="26">
        <v>43731</v>
      </c>
      <c r="M246" s="14">
        <f t="shared" si="272"/>
        <v>82.304185789589326</v>
      </c>
      <c r="N246" s="7" t="s">
        <v>354</v>
      </c>
      <c r="O246" s="7" t="s">
        <v>517</v>
      </c>
      <c r="P246" s="7" t="s">
        <v>518</v>
      </c>
      <c r="Q246" s="15" t="s">
        <v>356</v>
      </c>
      <c r="R246" s="7" t="s">
        <v>36</v>
      </c>
      <c r="S246" s="16">
        <f t="shared" si="275"/>
        <v>763944.72</v>
      </c>
      <c r="T246" s="16">
        <v>616054.86</v>
      </c>
      <c r="U246" s="16">
        <v>147889.85999999999</v>
      </c>
      <c r="V246" s="16">
        <f t="shared" si="273"/>
        <v>145688.03</v>
      </c>
      <c r="W246" s="16">
        <v>108715.56</v>
      </c>
      <c r="X246" s="16">
        <v>36972.47</v>
      </c>
      <c r="Y246" s="16">
        <f t="shared" si="276"/>
        <v>0</v>
      </c>
      <c r="Z246" s="16"/>
      <c r="AA246" s="16"/>
      <c r="AB246" s="16">
        <f t="shared" si="286"/>
        <v>18563.93</v>
      </c>
      <c r="AC246" s="16">
        <v>14791.23</v>
      </c>
      <c r="AD246" s="16">
        <v>3772.7</v>
      </c>
      <c r="AE246" s="16">
        <f t="shared" si="285"/>
        <v>928196.68</v>
      </c>
      <c r="AF246" s="16">
        <v>0</v>
      </c>
      <c r="AG246" s="16">
        <f t="shared" si="271"/>
        <v>928196.68</v>
      </c>
      <c r="AH246" s="20" t="s">
        <v>615</v>
      </c>
      <c r="AI246" s="125" t="s">
        <v>185</v>
      </c>
      <c r="AJ246" s="23">
        <f>155523.41+47135.61-8611.45+92000+71209.41</f>
        <v>357256.98</v>
      </c>
      <c r="AK246" s="23">
        <f>11958.04+8988.99+16058.8+13579.97</f>
        <v>50585.8</v>
      </c>
    </row>
    <row r="247" spans="1:37" s="165" customFormat="1" ht="173.25" x14ac:dyDescent="0.25">
      <c r="A247" s="7">
        <v>241</v>
      </c>
      <c r="B247" s="7">
        <v>112787</v>
      </c>
      <c r="C247" s="11">
        <v>276</v>
      </c>
      <c r="D247" s="7" t="s">
        <v>1104</v>
      </c>
      <c r="E247" s="11" t="s">
        <v>165</v>
      </c>
      <c r="F247" s="9" t="s">
        <v>352</v>
      </c>
      <c r="G247" s="126" t="s">
        <v>520</v>
      </c>
      <c r="H247" s="126" t="s">
        <v>521</v>
      </c>
      <c r="I247" s="11" t="s">
        <v>523</v>
      </c>
      <c r="J247" s="12" t="s">
        <v>524</v>
      </c>
      <c r="K247" s="13">
        <v>43243</v>
      </c>
      <c r="L247" s="26">
        <v>43731</v>
      </c>
      <c r="M247" s="14">
        <f t="shared" si="272"/>
        <v>82.304187377441963</v>
      </c>
      <c r="N247" s="7" t="s">
        <v>354</v>
      </c>
      <c r="O247" s="7" t="s">
        <v>522</v>
      </c>
      <c r="P247" s="7" t="s">
        <v>522</v>
      </c>
      <c r="Q247" s="15" t="s">
        <v>356</v>
      </c>
      <c r="R247" s="7" t="s">
        <v>36</v>
      </c>
      <c r="S247" s="16">
        <f t="shared" si="275"/>
        <v>813947.08000000007</v>
      </c>
      <c r="T247" s="16">
        <v>656377.4</v>
      </c>
      <c r="U247" s="16">
        <v>157569.68</v>
      </c>
      <c r="V247" s="16">
        <f t="shared" si="273"/>
        <v>155223.71000000002</v>
      </c>
      <c r="W247" s="16">
        <v>115831.3</v>
      </c>
      <c r="X247" s="16">
        <v>39392.410000000003</v>
      </c>
      <c r="Y247" s="16">
        <f t="shared" si="276"/>
        <v>0</v>
      </c>
      <c r="Z247" s="16"/>
      <c r="AA247" s="16"/>
      <c r="AB247" s="16">
        <f t="shared" si="286"/>
        <v>19778.990000000002</v>
      </c>
      <c r="AC247" s="16">
        <v>15759.36</v>
      </c>
      <c r="AD247" s="16">
        <v>4019.63</v>
      </c>
      <c r="AE247" s="16">
        <f t="shared" si="285"/>
        <v>988949.78</v>
      </c>
      <c r="AF247" s="16">
        <v>0</v>
      </c>
      <c r="AG247" s="16">
        <f t="shared" si="271"/>
        <v>988949.78</v>
      </c>
      <c r="AH247" s="20" t="s">
        <v>615</v>
      </c>
      <c r="AI247" s="21" t="s">
        <v>185</v>
      </c>
      <c r="AJ247" s="23">
        <f>188133.51-12724.93+92979.94+80602.08</f>
        <v>348990.60000000003</v>
      </c>
      <c r="AK247" s="23">
        <f>20686.62+12745.2+880.06+15371.21+4436.91</f>
        <v>54120</v>
      </c>
    </row>
    <row r="248" spans="1:37" s="165" customFormat="1" ht="141.75" x14ac:dyDescent="0.25">
      <c r="A248" s="7">
        <v>242</v>
      </c>
      <c r="B248" s="7">
        <v>110998</v>
      </c>
      <c r="C248" s="11">
        <v>333</v>
      </c>
      <c r="D248" s="7" t="s">
        <v>170</v>
      </c>
      <c r="E248" s="11" t="s">
        <v>165</v>
      </c>
      <c r="F248" s="9" t="s">
        <v>352</v>
      </c>
      <c r="G248" s="126" t="s">
        <v>525</v>
      </c>
      <c r="H248" s="126" t="s">
        <v>526</v>
      </c>
      <c r="I248" s="11" t="s">
        <v>185</v>
      </c>
      <c r="J248" s="12" t="s">
        <v>569</v>
      </c>
      <c r="K248" s="13">
        <v>43244</v>
      </c>
      <c r="L248" s="26">
        <v>43732</v>
      </c>
      <c r="M248" s="14">
        <f t="shared" si="272"/>
        <v>82.304186800362686</v>
      </c>
      <c r="N248" s="7" t="s">
        <v>354</v>
      </c>
      <c r="O248" s="7" t="s">
        <v>156</v>
      </c>
      <c r="P248" s="7" t="s">
        <v>156</v>
      </c>
      <c r="Q248" s="15" t="s">
        <v>356</v>
      </c>
      <c r="R248" s="7" t="s">
        <v>36</v>
      </c>
      <c r="S248" s="16">
        <f t="shared" si="275"/>
        <v>802303.17999999993</v>
      </c>
      <c r="T248" s="16">
        <v>646987.61</v>
      </c>
      <c r="U248" s="16">
        <v>155315.57</v>
      </c>
      <c r="V248" s="16">
        <f t="shared" si="273"/>
        <v>153003.18</v>
      </c>
      <c r="W248" s="16">
        <v>114174.29</v>
      </c>
      <c r="X248" s="16">
        <v>38828.89</v>
      </c>
      <c r="Y248" s="16">
        <f t="shared" si="276"/>
        <v>0</v>
      </c>
      <c r="Z248" s="187"/>
      <c r="AA248" s="187"/>
      <c r="AB248" s="16">
        <f t="shared" si="286"/>
        <v>19496.03</v>
      </c>
      <c r="AC248" s="16">
        <v>15533.9</v>
      </c>
      <c r="AD248" s="16">
        <v>3962.13</v>
      </c>
      <c r="AE248" s="16">
        <f t="shared" si="285"/>
        <v>974802.3899999999</v>
      </c>
      <c r="AF248" s="16">
        <v>0</v>
      </c>
      <c r="AG248" s="16">
        <f t="shared" si="271"/>
        <v>974802.3899999999</v>
      </c>
      <c r="AH248" s="20" t="s">
        <v>615</v>
      </c>
      <c r="AI248" s="21" t="s">
        <v>451</v>
      </c>
      <c r="AJ248" s="23">
        <f>140575.46+6566.7+79837.6+71604.41+17465.12+79837.6</f>
        <v>395886.89</v>
      </c>
      <c r="AK248" s="23">
        <f>11583.01+16477.73+13655.31+18556.11</f>
        <v>60272.159999999996</v>
      </c>
    </row>
    <row r="249" spans="1:37" s="165" customFormat="1" ht="141.75" x14ac:dyDescent="0.25">
      <c r="A249" s="7">
        <v>243</v>
      </c>
      <c r="B249" s="7">
        <v>115539</v>
      </c>
      <c r="C249" s="11">
        <v>396</v>
      </c>
      <c r="D249" s="7" t="s">
        <v>170</v>
      </c>
      <c r="E249" s="11" t="s">
        <v>165</v>
      </c>
      <c r="F249" s="9" t="s">
        <v>476</v>
      </c>
      <c r="G249" s="10" t="s">
        <v>532</v>
      </c>
      <c r="H249" s="10" t="s">
        <v>533</v>
      </c>
      <c r="I249" s="11" t="s">
        <v>534</v>
      </c>
      <c r="J249" s="12" t="s">
        <v>570</v>
      </c>
      <c r="K249" s="13">
        <v>43249</v>
      </c>
      <c r="L249" s="26">
        <v>44041</v>
      </c>
      <c r="M249" s="14">
        <f t="shared" si="272"/>
        <v>83.983861240799271</v>
      </c>
      <c r="N249" s="7" t="s">
        <v>354</v>
      </c>
      <c r="O249" s="7" t="s">
        <v>156</v>
      </c>
      <c r="P249" s="7" t="s">
        <v>156</v>
      </c>
      <c r="Q249" s="15" t="s">
        <v>157</v>
      </c>
      <c r="R249" s="7" t="s">
        <v>36</v>
      </c>
      <c r="S249" s="16">
        <f t="shared" si="275"/>
        <v>2264152.09</v>
      </c>
      <c r="T249" s="16">
        <v>1825841.4</v>
      </c>
      <c r="U249" s="16">
        <v>438310.69</v>
      </c>
      <c r="V249" s="16">
        <f t="shared" si="273"/>
        <v>159763.60999999999</v>
      </c>
      <c r="W249" s="16">
        <v>118066.66</v>
      </c>
      <c r="X249" s="16">
        <v>41696.949999999997</v>
      </c>
      <c r="Y249" s="16">
        <f t="shared" si="276"/>
        <v>272021.42</v>
      </c>
      <c r="Z249" s="16">
        <v>204140.68</v>
      </c>
      <c r="AA249" s="16">
        <v>67880.740000000005</v>
      </c>
      <c r="AB249" s="16">
        <f t="shared" si="286"/>
        <v>0</v>
      </c>
      <c r="AC249" s="16">
        <v>0</v>
      </c>
      <c r="AD249" s="16">
        <v>0</v>
      </c>
      <c r="AE249" s="16">
        <f t="shared" si="285"/>
        <v>2695937.1199999996</v>
      </c>
      <c r="AF249" s="16">
        <v>0</v>
      </c>
      <c r="AG249" s="16">
        <f t="shared" si="271"/>
        <v>2695937.1199999996</v>
      </c>
      <c r="AH249" s="20" t="s">
        <v>615</v>
      </c>
      <c r="AI249" s="21"/>
      <c r="AJ249" s="23">
        <f>96923.08+40161.87</f>
        <v>137084.95000000001</v>
      </c>
      <c r="AK249" s="23">
        <v>0</v>
      </c>
    </row>
    <row r="250" spans="1:37" s="165" customFormat="1" ht="158.25" thickBot="1" x14ac:dyDescent="0.3">
      <c r="A250" s="7">
        <v>244</v>
      </c>
      <c r="B250" s="7">
        <v>118716</v>
      </c>
      <c r="C250" s="11">
        <v>455</v>
      </c>
      <c r="D250" s="7" t="s">
        <v>171</v>
      </c>
      <c r="E250" s="11" t="s">
        <v>1072</v>
      </c>
      <c r="F250" s="9" t="s">
        <v>537</v>
      </c>
      <c r="G250" s="10" t="s">
        <v>535</v>
      </c>
      <c r="H250" s="126" t="s">
        <v>536</v>
      </c>
      <c r="I250" s="11" t="s">
        <v>185</v>
      </c>
      <c r="J250" s="12" t="s">
        <v>571</v>
      </c>
      <c r="K250" s="13">
        <v>43249</v>
      </c>
      <c r="L250" s="26">
        <v>43980</v>
      </c>
      <c r="M250" s="14">
        <f t="shared" si="272"/>
        <v>83.983862841968545</v>
      </c>
      <c r="N250" s="7" t="s">
        <v>354</v>
      </c>
      <c r="O250" s="7" t="s">
        <v>156</v>
      </c>
      <c r="P250" s="7" t="s">
        <v>156</v>
      </c>
      <c r="Q250" s="15" t="s">
        <v>157</v>
      </c>
      <c r="R250" s="7" t="s">
        <v>36</v>
      </c>
      <c r="S250" s="16">
        <f t="shared" si="275"/>
        <v>2343689.42</v>
      </c>
      <c r="T250" s="16">
        <v>1889981.32</v>
      </c>
      <c r="U250" s="16">
        <v>453708.1</v>
      </c>
      <c r="V250" s="16">
        <f t="shared" si="273"/>
        <v>0</v>
      </c>
      <c r="W250" s="16"/>
      <c r="X250" s="16"/>
      <c r="Y250" s="16">
        <f t="shared" si="276"/>
        <v>446953.14</v>
      </c>
      <c r="Z250" s="16">
        <v>333526.12</v>
      </c>
      <c r="AA250" s="16">
        <v>113427.02</v>
      </c>
      <c r="AB250" s="16">
        <f t="shared" si="286"/>
        <v>0</v>
      </c>
      <c r="AC250" s="16"/>
      <c r="AD250" s="16"/>
      <c r="AE250" s="16">
        <f t="shared" si="285"/>
        <v>2790642.56</v>
      </c>
      <c r="AF250" s="16">
        <v>0</v>
      </c>
      <c r="AG250" s="16">
        <f t="shared" si="271"/>
        <v>2790642.56</v>
      </c>
      <c r="AH250" s="20" t="s">
        <v>615</v>
      </c>
      <c r="AI250" s="21"/>
      <c r="AJ250" s="23">
        <f>145011.94+359253.32</f>
        <v>504265.26</v>
      </c>
      <c r="AK250" s="23">
        <v>0</v>
      </c>
    </row>
    <row r="251" spans="1:37" s="165" customFormat="1" ht="270" x14ac:dyDescent="0.25">
      <c r="A251" s="7">
        <v>245</v>
      </c>
      <c r="B251" s="7">
        <v>109777</v>
      </c>
      <c r="C251" s="11">
        <v>363</v>
      </c>
      <c r="D251" s="7" t="s">
        <v>1351</v>
      </c>
      <c r="E251" s="11" t="s">
        <v>165</v>
      </c>
      <c r="F251" s="51" t="s">
        <v>352</v>
      </c>
      <c r="G251" s="168" t="s">
        <v>539</v>
      </c>
      <c r="H251" s="175" t="s">
        <v>538</v>
      </c>
      <c r="I251" s="175" t="s">
        <v>185</v>
      </c>
      <c r="J251" s="188" t="s">
        <v>540</v>
      </c>
      <c r="K251" s="26">
        <v>43251</v>
      </c>
      <c r="L251" s="26">
        <v>43708</v>
      </c>
      <c r="M251" s="14">
        <f t="shared" si="272"/>
        <v>82.304185429325983</v>
      </c>
      <c r="N251" s="7" t="s">
        <v>354</v>
      </c>
      <c r="O251" s="7" t="s">
        <v>293</v>
      </c>
      <c r="P251" s="7" t="s">
        <v>450</v>
      </c>
      <c r="Q251" s="15" t="s">
        <v>356</v>
      </c>
      <c r="R251" s="7" t="s">
        <v>36</v>
      </c>
      <c r="S251" s="16">
        <f t="shared" si="275"/>
        <v>809738</v>
      </c>
      <c r="T251" s="16">
        <v>652983.16</v>
      </c>
      <c r="U251" s="16">
        <v>156754.84</v>
      </c>
      <c r="V251" s="16">
        <f t="shared" si="273"/>
        <v>154421.03</v>
      </c>
      <c r="W251" s="16">
        <v>115232.31</v>
      </c>
      <c r="X251" s="16">
        <v>39188.720000000001</v>
      </c>
      <c r="Y251" s="16">
        <f>Z251+AA251</f>
        <v>0</v>
      </c>
      <c r="Z251" s="16">
        <v>0</v>
      </c>
      <c r="AA251" s="16">
        <v>0</v>
      </c>
      <c r="AB251" s="16">
        <f>AC251+AD251</f>
        <v>19676.72</v>
      </c>
      <c r="AC251" s="16">
        <v>15677.86</v>
      </c>
      <c r="AD251" s="16">
        <v>3998.86</v>
      </c>
      <c r="AE251" s="16">
        <f t="shared" si="285"/>
        <v>983835.75</v>
      </c>
      <c r="AF251" s="189">
        <v>0</v>
      </c>
      <c r="AG251" s="16">
        <f t="shared" si="271"/>
        <v>983835.75</v>
      </c>
      <c r="AH251" s="20" t="s">
        <v>615</v>
      </c>
      <c r="AI251" s="21"/>
      <c r="AJ251" s="127">
        <f>98383.57+67957.2+131759+61030.49+98383.57-15548.08+97077.59</f>
        <v>539043.34</v>
      </c>
      <c r="AK251" s="23">
        <f>12959.77+25127.1+30401.05+15548.08</f>
        <v>84036</v>
      </c>
    </row>
    <row r="252" spans="1:37" s="165" customFormat="1" ht="189" x14ac:dyDescent="0.25">
      <c r="A252" s="7">
        <v>246</v>
      </c>
      <c r="B252" s="7">
        <v>112263</v>
      </c>
      <c r="C252" s="11">
        <v>212</v>
      </c>
      <c r="D252" s="7" t="s">
        <v>172</v>
      </c>
      <c r="E252" s="11" t="s">
        <v>165</v>
      </c>
      <c r="F252" s="9" t="s">
        <v>352</v>
      </c>
      <c r="G252" s="126" t="s">
        <v>543</v>
      </c>
      <c r="H252" s="126" t="s">
        <v>544</v>
      </c>
      <c r="I252" s="11" t="s">
        <v>185</v>
      </c>
      <c r="J252" s="12" t="s">
        <v>572</v>
      </c>
      <c r="K252" s="13">
        <v>43257</v>
      </c>
      <c r="L252" s="26">
        <v>43744</v>
      </c>
      <c r="M252" s="14">
        <f t="shared" si="272"/>
        <v>82.304186636665435</v>
      </c>
      <c r="N252" s="7" t="s">
        <v>354</v>
      </c>
      <c r="O252" s="7" t="s">
        <v>342</v>
      </c>
      <c r="P252" s="7" t="s">
        <v>573</v>
      </c>
      <c r="Q252" s="15" t="s">
        <v>356</v>
      </c>
      <c r="R252" s="7" t="s">
        <v>36</v>
      </c>
      <c r="S252" s="16">
        <f>T252+U252</f>
        <v>804068.05999999994</v>
      </c>
      <c r="T252" s="16">
        <v>648410.84</v>
      </c>
      <c r="U252" s="16">
        <v>155657.22</v>
      </c>
      <c r="V252" s="16">
        <f>W252+X252</f>
        <v>153339.75</v>
      </c>
      <c r="W252" s="16">
        <v>114425.45</v>
      </c>
      <c r="X252" s="16">
        <v>38914.300000000003</v>
      </c>
      <c r="Y252" s="190">
        <f>Z252+AA252</f>
        <v>0</v>
      </c>
      <c r="Z252" s="16">
        <v>0</v>
      </c>
      <c r="AA252" s="16">
        <v>0</v>
      </c>
      <c r="AB252" s="16">
        <f>AC252+AD252</f>
        <v>19538.919999999998</v>
      </c>
      <c r="AC252" s="16">
        <v>15568.08</v>
      </c>
      <c r="AD252" s="16">
        <v>3970.84</v>
      </c>
      <c r="AE252" s="16">
        <f>S252+V252+Y252+AB252</f>
        <v>976946.73</v>
      </c>
      <c r="AF252" s="16">
        <v>0</v>
      </c>
      <c r="AG252" s="16">
        <f t="shared" si="271"/>
        <v>976946.73</v>
      </c>
      <c r="AH252" s="20" t="s">
        <v>615</v>
      </c>
      <c r="AI252" s="21"/>
      <c r="AJ252" s="23">
        <f>84638.59+81518.25+15437.85+121639.28+42099.38</f>
        <v>345333.35</v>
      </c>
      <c r="AK252" s="23">
        <f>13056.08+21574.93+4566.35+8028.56</f>
        <v>47225.919999999998</v>
      </c>
    </row>
    <row r="253" spans="1:37" s="165" customFormat="1" ht="141.75" x14ac:dyDescent="0.25">
      <c r="A253" s="7">
        <v>247</v>
      </c>
      <c r="B253" s="7">
        <v>118978</v>
      </c>
      <c r="C253" s="11">
        <v>453</v>
      </c>
      <c r="D253" s="7" t="s">
        <v>171</v>
      </c>
      <c r="E253" s="11" t="s">
        <v>1072</v>
      </c>
      <c r="F253" s="9" t="s">
        <v>537</v>
      </c>
      <c r="G253" s="126" t="s">
        <v>542</v>
      </c>
      <c r="H253" s="126" t="s">
        <v>541</v>
      </c>
      <c r="I253" s="11" t="s">
        <v>185</v>
      </c>
      <c r="J253" s="12" t="s">
        <v>579</v>
      </c>
      <c r="K253" s="13">
        <v>43257</v>
      </c>
      <c r="L253" s="26">
        <v>43988</v>
      </c>
      <c r="M253" s="14">
        <f t="shared" si="272"/>
        <v>83.983863009633808</v>
      </c>
      <c r="N253" s="7" t="s">
        <v>354</v>
      </c>
      <c r="O253" s="7" t="s">
        <v>156</v>
      </c>
      <c r="P253" s="7" t="s">
        <v>156</v>
      </c>
      <c r="Q253" s="15" t="s">
        <v>157</v>
      </c>
      <c r="R253" s="7" t="s">
        <v>36</v>
      </c>
      <c r="S253" s="16">
        <f t="shared" si="275"/>
        <v>10919953.010000002</v>
      </c>
      <c r="T253" s="16">
        <v>8805990.7100000009</v>
      </c>
      <c r="U253" s="16">
        <v>2113962.2999999998</v>
      </c>
      <c r="V253" s="16">
        <f t="shared" si="273"/>
        <v>0</v>
      </c>
      <c r="W253" s="16">
        <v>0</v>
      </c>
      <c r="X253" s="16">
        <v>0</v>
      </c>
      <c r="Y253" s="16">
        <f t="shared" si="276"/>
        <v>2082488.9100000001</v>
      </c>
      <c r="Z253" s="16">
        <v>1553998.33</v>
      </c>
      <c r="AA253" s="16">
        <v>528490.57999999996</v>
      </c>
      <c r="AB253" s="16">
        <f t="shared" si="286"/>
        <v>0</v>
      </c>
      <c r="AC253" s="16">
        <v>0</v>
      </c>
      <c r="AD253" s="16">
        <v>0</v>
      </c>
      <c r="AE253" s="16">
        <f t="shared" si="285"/>
        <v>13002441.920000002</v>
      </c>
      <c r="AF253" s="16">
        <v>1503920</v>
      </c>
      <c r="AG253" s="16">
        <f t="shared" si="271"/>
        <v>14506361.920000002</v>
      </c>
      <c r="AH253" s="20" t="s">
        <v>615</v>
      </c>
      <c r="AI253" s="21" t="s">
        <v>1278</v>
      </c>
      <c r="AJ253" s="23">
        <f>104375.19+162416.48+52075.09</f>
        <v>318866.76</v>
      </c>
      <c r="AK253" s="23">
        <v>0</v>
      </c>
    </row>
    <row r="254" spans="1:37" s="165" customFormat="1" ht="141.75" x14ac:dyDescent="0.25">
      <c r="A254" s="7">
        <v>248</v>
      </c>
      <c r="B254" s="7">
        <v>119317</v>
      </c>
      <c r="C254" s="11">
        <v>456</v>
      </c>
      <c r="D254" s="7" t="s">
        <v>171</v>
      </c>
      <c r="E254" s="11" t="s">
        <v>1072</v>
      </c>
      <c r="F254" s="9" t="s">
        <v>537</v>
      </c>
      <c r="G254" s="126" t="s">
        <v>580</v>
      </c>
      <c r="H254" s="126" t="s">
        <v>653</v>
      </c>
      <c r="I254" s="11" t="s">
        <v>185</v>
      </c>
      <c r="J254" s="12" t="s">
        <v>581</v>
      </c>
      <c r="K254" s="13">
        <v>43257</v>
      </c>
      <c r="L254" s="26">
        <v>43988</v>
      </c>
      <c r="M254" s="14">
        <f t="shared" si="272"/>
        <v>83.983862821417162</v>
      </c>
      <c r="N254" s="7" t="s">
        <v>354</v>
      </c>
      <c r="O254" s="7" t="s">
        <v>156</v>
      </c>
      <c r="P254" s="7" t="s">
        <v>156</v>
      </c>
      <c r="Q254" s="15" t="s">
        <v>157</v>
      </c>
      <c r="R254" s="7" t="s">
        <v>36</v>
      </c>
      <c r="S254" s="16">
        <f t="shared" si="275"/>
        <v>26702638.32</v>
      </c>
      <c r="T254" s="16">
        <v>21533351.34</v>
      </c>
      <c r="U254" s="16">
        <v>5169286.9800000004</v>
      </c>
      <c r="V254" s="16">
        <f t="shared" si="273"/>
        <v>0</v>
      </c>
      <c r="W254" s="16"/>
      <c r="X254" s="16"/>
      <c r="Y254" s="16">
        <f t="shared" si="276"/>
        <v>5092324.93</v>
      </c>
      <c r="Z254" s="16">
        <v>3800003.18</v>
      </c>
      <c r="AA254" s="16">
        <v>1292321.75</v>
      </c>
      <c r="AB254" s="16">
        <f t="shared" si="286"/>
        <v>0</v>
      </c>
      <c r="AC254" s="16">
        <v>0</v>
      </c>
      <c r="AD254" s="16">
        <v>0</v>
      </c>
      <c r="AE254" s="16">
        <f t="shared" si="285"/>
        <v>31794963.25</v>
      </c>
      <c r="AF254" s="16">
        <v>0</v>
      </c>
      <c r="AG254" s="16">
        <f t="shared" si="271"/>
        <v>31794963.25</v>
      </c>
      <c r="AH254" s="20" t="s">
        <v>615</v>
      </c>
      <c r="AI254" s="21"/>
      <c r="AJ254" s="23">
        <f>155213.76+241470.09+76680.76+1501.26</f>
        <v>474865.87</v>
      </c>
      <c r="AK254" s="23">
        <v>0</v>
      </c>
    </row>
    <row r="255" spans="1:37" s="165" customFormat="1" ht="267.75" x14ac:dyDescent="0.25">
      <c r="A255" s="7">
        <v>249</v>
      </c>
      <c r="B255" s="7">
        <v>111319</v>
      </c>
      <c r="C255" s="11">
        <v>359</v>
      </c>
      <c r="D255" s="7" t="s">
        <v>1351</v>
      </c>
      <c r="E255" s="11" t="s">
        <v>165</v>
      </c>
      <c r="F255" s="9" t="s">
        <v>352</v>
      </c>
      <c r="G255" s="126" t="s">
        <v>585</v>
      </c>
      <c r="H255" s="126" t="s">
        <v>583</v>
      </c>
      <c r="I255" s="7" t="s">
        <v>586</v>
      </c>
      <c r="J255" s="12" t="s">
        <v>587</v>
      </c>
      <c r="K255" s="13">
        <v>43256</v>
      </c>
      <c r="L255" s="26">
        <v>43743</v>
      </c>
      <c r="M255" s="14">
        <f t="shared" si="272"/>
        <v>82.304189744785745</v>
      </c>
      <c r="N255" s="7" t="s">
        <v>354</v>
      </c>
      <c r="O255" s="7" t="s">
        <v>846</v>
      </c>
      <c r="P255" s="7" t="s">
        <v>846</v>
      </c>
      <c r="Q255" s="15" t="s">
        <v>356</v>
      </c>
      <c r="R255" s="7" t="s">
        <v>36</v>
      </c>
      <c r="S255" s="16">
        <f t="shared" si="275"/>
        <v>822860.82000000007</v>
      </c>
      <c r="T255" s="16">
        <v>663565.56000000006</v>
      </c>
      <c r="U255" s="16">
        <v>159295.26</v>
      </c>
      <c r="V255" s="16">
        <f t="shared" si="273"/>
        <v>156923.62</v>
      </c>
      <c r="W255" s="16">
        <v>117099.8</v>
      </c>
      <c r="X255" s="16">
        <v>39823.82</v>
      </c>
      <c r="Y255" s="16">
        <f t="shared" si="276"/>
        <v>0</v>
      </c>
      <c r="Z255" s="16"/>
      <c r="AA255" s="16"/>
      <c r="AB255" s="16">
        <f t="shared" si="286"/>
        <v>19995.55</v>
      </c>
      <c r="AC255" s="16">
        <v>15931.91</v>
      </c>
      <c r="AD255" s="16">
        <v>4063.64</v>
      </c>
      <c r="AE255" s="16">
        <f t="shared" si="285"/>
        <v>999779.99000000011</v>
      </c>
      <c r="AF255" s="16">
        <v>0</v>
      </c>
      <c r="AG255" s="16">
        <f t="shared" si="271"/>
        <v>999779.99000000011</v>
      </c>
      <c r="AH255" s="20" t="s">
        <v>615</v>
      </c>
      <c r="AI255" s="21" t="s">
        <v>1095</v>
      </c>
      <c r="AJ255" s="23">
        <f>115253.85+83737.14+92702.34+29518.18+84169.97</f>
        <v>405381.48</v>
      </c>
      <c r="AK255" s="23">
        <f>18935.29+25587.45+13802.72+159.94</f>
        <v>58485.400000000009</v>
      </c>
    </row>
    <row r="256" spans="1:37" s="165" customFormat="1" ht="409.5" x14ac:dyDescent="0.25">
      <c r="A256" s="7">
        <v>250</v>
      </c>
      <c r="B256" s="7">
        <v>111320</v>
      </c>
      <c r="C256" s="11">
        <v>132</v>
      </c>
      <c r="D256" s="7" t="s">
        <v>1104</v>
      </c>
      <c r="E256" s="11" t="s">
        <v>165</v>
      </c>
      <c r="F256" s="9" t="s">
        <v>352</v>
      </c>
      <c r="G256" s="126" t="s">
        <v>588</v>
      </c>
      <c r="H256" s="126" t="s">
        <v>589</v>
      </c>
      <c r="I256" s="11" t="s">
        <v>451</v>
      </c>
      <c r="J256" s="12" t="s">
        <v>590</v>
      </c>
      <c r="K256" s="13">
        <v>43258</v>
      </c>
      <c r="L256" s="26">
        <v>43745</v>
      </c>
      <c r="M256" s="14">
        <f t="shared" si="272"/>
        <v>82.304187096462158</v>
      </c>
      <c r="N256" s="7" t="s">
        <v>354</v>
      </c>
      <c r="O256" s="7" t="s">
        <v>342</v>
      </c>
      <c r="P256" s="7" t="s">
        <v>573</v>
      </c>
      <c r="Q256" s="15" t="s">
        <v>356</v>
      </c>
      <c r="R256" s="7" t="s">
        <v>36</v>
      </c>
      <c r="S256" s="16">
        <f t="shared" si="275"/>
        <v>745773.49</v>
      </c>
      <c r="T256" s="16">
        <v>601401.34</v>
      </c>
      <c r="U256" s="16">
        <v>144372.15</v>
      </c>
      <c r="V256" s="16">
        <f t="shared" si="273"/>
        <v>142222.68</v>
      </c>
      <c r="W256" s="16">
        <v>106129.65</v>
      </c>
      <c r="X256" s="16">
        <v>36093.03</v>
      </c>
      <c r="Y256" s="16">
        <f t="shared" si="276"/>
        <v>0</v>
      </c>
      <c r="Z256" s="16"/>
      <c r="AA256" s="16"/>
      <c r="AB256" s="16">
        <f t="shared" si="286"/>
        <v>18122.359700000001</v>
      </c>
      <c r="AC256" s="16">
        <v>14439.398999999999</v>
      </c>
      <c r="AD256" s="16">
        <v>3682.9607000000001</v>
      </c>
      <c r="AE256" s="16">
        <f t="shared" si="285"/>
        <v>906118.52969999996</v>
      </c>
      <c r="AF256" s="16"/>
      <c r="AG256" s="16">
        <f t="shared" si="271"/>
        <v>906118.52969999996</v>
      </c>
      <c r="AH256" s="20" t="s">
        <v>615</v>
      </c>
      <c r="AI256" s="21"/>
      <c r="AJ256" s="23">
        <f>218312.37+90611.85+214.38+90611.85</f>
        <v>399750.44999999995</v>
      </c>
      <c r="AK256" s="23">
        <f>23379.78+18253.47+17321.01</f>
        <v>58954.259999999995</v>
      </c>
    </row>
    <row r="257" spans="1:37" s="165" customFormat="1" ht="141.75" x14ac:dyDescent="0.25">
      <c r="A257" s="7">
        <v>251</v>
      </c>
      <c r="B257" s="7">
        <v>110527</v>
      </c>
      <c r="C257" s="11">
        <v>353</v>
      </c>
      <c r="D257" s="7" t="s">
        <v>1351</v>
      </c>
      <c r="E257" s="11" t="s">
        <v>165</v>
      </c>
      <c r="F257" s="9" t="s">
        <v>352</v>
      </c>
      <c r="G257" s="126" t="s">
        <v>591</v>
      </c>
      <c r="H257" s="126" t="s">
        <v>592</v>
      </c>
      <c r="I257" s="11" t="s">
        <v>593</v>
      </c>
      <c r="J257" s="12" t="s">
        <v>594</v>
      </c>
      <c r="K257" s="13">
        <v>43258</v>
      </c>
      <c r="L257" s="26">
        <v>43745</v>
      </c>
      <c r="M257" s="14">
        <f t="shared" si="272"/>
        <v>82.304183804307399</v>
      </c>
      <c r="N257" s="7" t="s">
        <v>354</v>
      </c>
      <c r="O257" s="7" t="s">
        <v>342</v>
      </c>
      <c r="P257" s="7" t="s">
        <v>342</v>
      </c>
      <c r="Q257" s="15" t="s">
        <v>356</v>
      </c>
      <c r="R257" s="7" t="s">
        <v>36</v>
      </c>
      <c r="S257" s="16">
        <f t="shared" si="275"/>
        <v>797101.36999999988</v>
      </c>
      <c r="T257" s="16">
        <v>642792.81999999995</v>
      </c>
      <c r="U257" s="16">
        <v>154308.54999999999</v>
      </c>
      <c r="V257" s="16">
        <f t="shared" si="273"/>
        <v>152011.18</v>
      </c>
      <c r="W257" s="16">
        <v>113434.03</v>
      </c>
      <c r="X257" s="16">
        <v>38577.15</v>
      </c>
      <c r="Y257" s="16">
        <f t="shared" si="276"/>
        <v>0</v>
      </c>
      <c r="Z257" s="16"/>
      <c r="AA257" s="16"/>
      <c r="AB257" s="16">
        <f t="shared" si="286"/>
        <v>19369.649999999998</v>
      </c>
      <c r="AC257" s="16">
        <v>15433.21</v>
      </c>
      <c r="AD257" s="16">
        <v>3936.44</v>
      </c>
      <c r="AE257" s="16">
        <f t="shared" si="285"/>
        <v>968482.19999999984</v>
      </c>
      <c r="AF257" s="16"/>
      <c r="AG257" s="16">
        <f t="shared" si="271"/>
        <v>968482.19999999984</v>
      </c>
      <c r="AH257" s="20" t="s">
        <v>615</v>
      </c>
      <c r="AI257" s="21"/>
      <c r="AJ257" s="23">
        <f>151069.39+15306.08+96848.21+24994.02+61062.29+191670.85</f>
        <v>540950.84</v>
      </c>
      <c r="AK257" s="23">
        <f>10340.24+21388.37+4766.48+30114.35+18083.14</f>
        <v>84692.58</v>
      </c>
    </row>
    <row r="258" spans="1:37" s="165" customFormat="1" ht="157.5" x14ac:dyDescent="0.25">
      <c r="A258" s="7">
        <v>252</v>
      </c>
      <c r="B258" s="7">
        <v>112412</v>
      </c>
      <c r="C258" s="11">
        <v>269</v>
      </c>
      <c r="D258" s="7" t="s">
        <v>175</v>
      </c>
      <c r="E258" s="11" t="s">
        <v>165</v>
      </c>
      <c r="F258" s="9" t="s">
        <v>352</v>
      </c>
      <c r="G258" s="126" t="s">
        <v>595</v>
      </c>
      <c r="H258" s="126" t="s">
        <v>596</v>
      </c>
      <c r="I258" s="7" t="s">
        <v>597</v>
      </c>
      <c r="J258" s="12" t="s">
        <v>598</v>
      </c>
      <c r="K258" s="13">
        <v>43259</v>
      </c>
      <c r="L258" s="26">
        <v>43746</v>
      </c>
      <c r="M258" s="14">
        <f t="shared" si="272"/>
        <v>82.304183541065214</v>
      </c>
      <c r="N258" s="7" t="s">
        <v>354</v>
      </c>
      <c r="O258" s="7" t="s">
        <v>342</v>
      </c>
      <c r="P258" s="7" t="s">
        <v>342</v>
      </c>
      <c r="Q258" s="15" t="s">
        <v>356</v>
      </c>
      <c r="R258" s="7" t="s">
        <v>36</v>
      </c>
      <c r="S258" s="16">
        <f t="shared" si="275"/>
        <v>789670.74</v>
      </c>
      <c r="T258" s="16">
        <v>636800.65</v>
      </c>
      <c r="U258" s="16">
        <v>152870.09</v>
      </c>
      <c r="V258" s="16">
        <f t="shared" si="273"/>
        <v>150594.14000000001</v>
      </c>
      <c r="W258" s="16">
        <v>112376.61</v>
      </c>
      <c r="X258" s="16">
        <v>38217.53</v>
      </c>
      <c r="Y258" s="16">
        <f t="shared" si="276"/>
        <v>0</v>
      </c>
      <c r="Z258" s="16"/>
      <c r="AA258" s="16"/>
      <c r="AB258" s="16">
        <f t="shared" si="286"/>
        <v>19189.07</v>
      </c>
      <c r="AC258" s="16">
        <v>15289.33</v>
      </c>
      <c r="AD258" s="16">
        <v>3899.74</v>
      </c>
      <c r="AE258" s="16">
        <f t="shared" si="285"/>
        <v>959453.95</v>
      </c>
      <c r="AF258" s="16"/>
      <c r="AG258" s="16">
        <f t="shared" si="271"/>
        <v>959453.95</v>
      </c>
      <c r="AH258" s="20" t="s">
        <v>615</v>
      </c>
      <c r="AI258" s="21" t="s">
        <v>451</v>
      </c>
      <c r="AJ258" s="23">
        <f>95945.38+5019.44+25010.26+9763.75+114260.12</f>
        <v>249998.95</v>
      </c>
      <c r="AK258" s="23">
        <f>7941.36+4769.59+16667.83</f>
        <v>29378.780000000002</v>
      </c>
    </row>
    <row r="259" spans="1:37" s="165" customFormat="1" ht="378" x14ac:dyDescent="0.25">
      <c r="A259" s="7">
        <v>253</v>
      </c>
      <c r="B259" s="7">
        <v>113035</v>
      </c>
      <c r="C259" s="11">
        <v>332</v>
      </c>
      <c r="D259" s="7" t="s">
        <v>170</v>
      </c>
      <c r="E259" s="11" t="s">
        <v>165</v>
      </c>
      <c r="F259" s="9" t="s">
        <v>352</v>
      </c>
      <c r="G259" s="47" t="s">
        <v>599</v>
      </c>
      <c r="H259" s="24" t="s">
        <v>600</v>
      </c>
      <c r="I259" s="11" t="s">
        <v>451</v>
      </c>
      <c r="J259" s="12" t="s">
        <v>1421</v>
      </c>
      <c r="K259" s="13">
        <v>43258</v>
      </c>
      <c r="L259" s="26">
        <v>43745</v>
      </c>
      <c r="M259" s="14">
        <f t="shared" si="272"/>
        <v>82.304188758643321</v>
      </c>
      <c r="N259" s="7" t="s">
        <v>354</v>
      </c>
      <c r="O259" s="7" t="s">
        <v>342</v>
      </c>
      <c r="P259" s="7" t="s">
        <v>342</v>
      </c>
      <c r="Q259" s="15" t="s">
        <v>356</v>
      </c>
      <c r="R259" s="7" t="s">
        <v>36</v>
      </c>
      <c r="S259" s="16">
        <f t="shared" si="275"/>
        <v>813615.63</v>
      </c>
      <c r="T259" s="16">
        <v>656110.09</v>
      </c>
      <c r="U259" s="16">
        <v>157505.54</v>
      </c>
      <c r="V259" s="16">
        <f t="shared" si="273"/>
        <v>155160.46</v>
      </c>
      <c r="W259" s="16">
        <v>115784.14</v>
      </c>
      <c r="X259" s="16">
        <v>39376.32</v>
      </c>
      <c r="Y259" s="16">
        <f t="shared" si="276"/>
        <v>0</v>
      </c>
      <c r="Z259" s="16">
        <v>0</v>
      </c>
      <c r="AA259" s="16">
        <v>0</v>
      </c>
      <c r="AB259" s="16">
        <f t="shared" si="286"/>
        <v>19770.96</v>
      </c>
      <c r="AC259" s="16">
        <v>15752.94</v>
      </c>
      <c r="AD259" s="16">
        <v>4018.02</v>
      </c>
      <c r="AE259" s="16">
        <f t="shared" si="285"/>
        <v>988547.04999999993</v>
      </c>
      <c r="AF259" s="16">
        <v>0</v>
      </c>
      <c r="AG259" s="16">
        <f t="shared" si="271"/>
        <v>988547.04999999993</v>
      </c>
      <c r="AH259" s="20" t="s">
        <v>615</v>
      </c>
      <c r="AI259" s="21" t="s">
        <v>1240</v>
      </c>
      <c r="AJ259" s="23">
        <f>239002.19+7716.3+76236.18+77866.17-9062.7+110648.92</f>
        <v>502407.05999999994</v>
      </c>
      <c r="AK259" s="23">
        <f>26726.95+18388.45+12471.15+9062.7+10310.26</f>
        <v>76959.509999999995</v>
      </c>
    </row>
    <row r="260" spans="1:37" s="165" customFormat="1" ht="236.25" x14ac:dyDescent="0.25">
      <c r="A260" s="7">
        <v>254</v>
      </c>
      <c r="B260" s="7">
        <v>112992</v>
      </c>
      <c r="C260" s="11">
        <v>233</v>
      </c>
      <c r="D260" s="7" t="s">
        <v>170</v>
      </c>
      <c r="E260" s="11" t="s">
        <v>165</v>
      </c>
      <c r="F260" s="9" t="s">
        <v>352</v>
      </c>
      <c r="G260" s="47" t="s">
        <v>601</v>
      </c>
      <c r="H260" s="24" t="s">
        <v>602</v>
      </c>
      <c r="I260" s="11" t="s">
        <v>451</v>
      </c>
      <c r="J260" s="68" t="s">
        <v>1422</v>
      </c>
      <c r="K260" s="13">
        <v>43259</v>
      </c>
      <c r="L260" s="26">
        <v>43746</v>
      </c>
      <c r="M260" s="14">
        <f t="shared" si="272"/>
        <v>82.304185804634827</v>
      </c>
      <c r="N260" s="7" t="s">
        <v>354</v>
      </c>
      <c r="O260" s="7" t="s">
        <v>342</v>
      </c>
      <c r="P260" s="7" t="s">
        <v>342</v>
      </c>
      <c r="Q260" s="15" t="s">
        <v>356</v>
      </c>
      <c r="R260" s="7" t="s">
        <v>36</v>
      </c>
      <c r="S260" s="16">
        <f t="shared" si="275"/>
        <v>413202.42000000004</v>
      </c>
      <c r="T260" s="16">
        <v>333211.76</v>
      </c>
      <c r="U260" s="16">
        <v>79990.66</v>
      </c>
      <c r="V260" s="16">
        <f t="shared" si="273"/>
        <v>78799.740000000005</v>
      </c>
      <c r="W260" s="16">
        <v>58802.080000000002</v>
      </c>
      <c r="X260" s="16">
        <v>19997.66</v>
      </c>
      <c r="Y260" s="16">
        <f t="shared" si="276"/>
        <v>0</v>
      </c>
      <c r="Z260" s="16"/>
      <c r="AA260" s="16"/>
      <c r="AB260" s="16">
        <f t="shared" si="286"/>
        <v>10040.86</v>
      </c>
      <c r="AC260" s="16">
        <v>8000.27</v>
      </c>
      <c r="AD260" s="16">
        <v>2040.59</v>
      </c>
      <c r="AE260" s="16">
        <f t="shared" si="285"/>
        <v>502043.02</v>
      </c>
      <c r="AF260" s="16">
        <v>96.29</v>
      </c>
      <c r="AG260" s="16">
        <f t="shared" si="271"/>
        <v>502139.31</v>
      </c>
      <c r="AH260" s="20" t="s">
        <v>615</v>
      </c>
      <c r="AI260" s="21" t="s">
        <v>451</v>
      </c>
      <c r="AJ260" s="23">
        <f>86645.8-7709.4+41322.63-2793.73+353.36</f>
        <v>117818.66</v>
      </c>
      <c r="AK260" s="23">
        <f>6949.62+7709.4+2793.73+5015.84</f>
        <v>22468.59</v>
      </c>
    </row>
    <row r="261" spans="1:37" s="165" customFormat="1" ht="173.25" x14ac:dyDescent="0.25">
      <c r="A261" s="7">
        <v>255</v>
      </c>
      <c r="B261" s="7">
        <v>109834</v>
      </c>
      <c r="C261" s="11">
        <v>202</v>
      </c>
      <c r="D261" s="7" t="s">
        <v>172</v>
      </c>
      <c r="E261" s="11" t="s">
        <v>165</v>
      </c>
      <c r="F261" s="9" t="s">
        <v>352</v>
      </c>
      <c r="G261" s="47" t="s">
        <v>607</v>
      </c>
      <c r="H261" s="24" t="s">
        <v>608</v>
      </c>
      <c r="I261" s="11" t="s">
        <v>451</v>
      </c>
      <c r="J261" s="68" t="s">
        <v>609</v>
      </c>
      <c r="K261" s="13">
        <v>43264</v>
      </c>
      <c r="L261" s="26">
        <v>43751</v>
      </c>
      <c r="M261" s="14">
        <f>S261/AE261*100</f>
        <v>82.304183457349851</v>
      </c>
      <c r="N261" s="7" t="s">
        <v>354</v>
      </c>
      <c r="O261" s="7" t="s">
        <v>342</v>
      </c>
      <c r="P261" s="7" t="s">
        <v>342</v>
      </c>
      <c r="Q261" s="15" t="s">
        <v>356</v>
      </c>
      <c r="R261" s="7" t="s">
        <v>36</v>
      </c>
      <c r="S261" s="16">
        <f>T261+U261</f>
        <v>757659.49</v>
      </c>
      <c r="T261" s="16">
        <v>610986.37</v>
      </c>
      <c r="U261" s="16">
        <v>146673.12</v>
      </c>
      <c r="V261" s="16">
        <f>W261+X261</f>
        <v>144489.42000000001</v>
      </c>
      <c r="W261" s="16">
        <v>107821.13</v>
      </c>
      <c r="X261" s="16">
        <v>36668.29</v>
      </c>
      <c r="Y261" s="16">
        <f>Z261+AA261</f>
        <v>0</v>
      </c>
      <c r="Z261" s="16"/>
      <c r="AA261" s="16"/>
      <c r="AB261" s="16">
        <f>AC261+AD261</f>
        <v>18411.21</v>
      </c>
      <c r="AC261" s="16">
        <v>14669.55</v>
      </c>
      <c r="AD261" s="16">
        <v>3741.66</v>
      </c>
      <c r="AE261" s="16">
        <f>S261+V261+Y261+AB261</f>
        <v>920560.12</v>
      </c>
      <c r="AF261" s="16">
        <v>0</v>
      </c>
      <c r="AG261" s="16">
        <f>AE261+AF261</f>
        <v>920560.12</v>
      </c>
      <c r="AH261" s="20" t="s">
        <v>615</v>
      </c>
      <c r="AI261" s="21" t="s">
        <v>1385</v>
      </c>
      <c r="AJ261" s="23">
        <f>213672.38+10844.44+40106.9-4967.47+69008.21+10185.97-7830.59</f>
        <v>331019.83999999997</v>
      </c>
      <c r="AK261" s="23">
        <f>23567.39+2068.09+7666.13+12212.88+1942.51+7830.59</f>
        <v>55287.59</v>
      </c>
    </row>
    <row r="262" spans="1:37" s="165" customFormat="1" ht="267.75" x14ac:dyDescent="0.25">
      <c r="A262" s="7">
        <v>256</v>
      </c>
      <c r="B262" s="7">
        <v>111613</v>
      </c>
      <c r="C262" s="11">
        <v>289</v>
      </c>
      <c r="D262" s="7" t="s">
        <v>1351</v>
      </c>
      <c r="E262" s="11" t="s">
        <v>165</v>
      </c>
      <c r="F262" s="9" t="s">
        <v>352</v>
      </c>
      <c r="G262" s="47" t="s">
        <v>610</v>
      </c>
      <c r="H262" s="24" t="s">
        <v>611</v>
      </c>
      <c r="I262" s="11" t="s">
        <v>612</v>
      </c>
      <c r="J262" s="68" t="s">
        <v>613</v>
      </c>
      <c r="K262" s="13">
        <v>43264</v>
      </c>
      <c r="L262" s="26">
        <v>43751</v>
      </c>
      <c r="M262" s="14">
        <f t="shared" ref="M262:M264" si="287">S262/AE262*100</f>
        <v>82.304185024184278</v>
      </c>
      <c r="N262" s="7" t="s">
        <v>354</v>
      </c>
      <c r="O262" s="7" t="s">
        <v>614</v>
      </c>
      <c r="P262" s="7" t="s">
        <v>614</v>
      </c>
      <c r="Q262" s="15" t="s">
        <v>356</v>
      </c>
      <c r="R262" s="7" t="s">
        <v>36</v>
      </c>
      <c r="S262" s="16">
        <f>T262+U262</f>
        <v>790560.66</v>
      </c>
      <c r="T262" s="16">
        <v>637518.30000000005</v>
      </c>
      <c r="U262" s="16">
        <v>153042.35999999999</v>
      </c>
      <c r="V262" s="16">
        <f>W262+X262</f>
        <v>150763.83000000002</v>
      </c>
      <c r="W262" s="16">
        <v>112503.22</v>
      </c>
      <c r="X262" s="16">
        <v>38260.61</v>
      </c>
      <c r="Y262" s="16">
        <v>0</v>
      </c>
      <c r="Z262" s="16"/>
      <c r="AA262" s="16"/>
      <c r="AB262" s="16">
        <f>AC262+AD262</f>
        <v>19210.7</v>
      </c>
      <c r="AC262" s="16">
        <v>15306.57</v>
      </c>
      <c r="AD262" s="16">
        <v>3904.13</v>
      </c>
      <c r="AE262" s="16">
        <f>S262+V262+Y262+AB262</f>
        <v>960535.19</v>
      </c>
      <c r="AF262" s="16">
        <v>67830</v>
      </c>
      <c r="AG262" s="16">
        <f>AE262+AF262</f>
        <v>1028365.19</v>
      </c>
      <c r="AH262" s="20" t="s">
        <v>615</v>
      </c>
      <c r="AI262" s="21" t="s">
        <v>451</v>
      </c>
      <c r="AJ262" s="23">
        <f>151237.06+59857.57+64477.1+31001.93</f>
        <v>306573.65999999997</v>
      </c>
      <c r="AK262" s="23">
        <f>10523.78+11415.13+12296.1+5912.22</f>
        <v>40147.230000000003</v>
      </c>
    </row>
    <row r="263" spans="1:37" s="165" customFormat="1" ht="173.25" x14ac:dyDescent="0.25">
      <c r="A263" s="7">
        <v>257</v>
      </c>
      <c r="B263" s="7">
        <v>112219</v>
      </c>
      <c r="C263" s="11">
        <v>274</v>
      </c>
      <c r="D263" s="7" t="s">
        <v>175</v>
      </c>
      <c r="E263" s="11" t="s">
        <v>165</v>
      </c>
      <c r="F263" s="9" t="s">
        <v>352</v>
      </c>
      <c r="G263" s="126" t="s">
        <v>620</v>
      </c>
      <c r="H263" s="24" t="s">
        <v>621</v>
      </c>
      <c r="I263" s="11" t="s">
        <v>622</v>
      </c>
      <c r="J263" s="68" t="s">
        <v>625</v>
      </c>
      <c r="K263" s="13">
        <v>43262</v>
      </c>
      <c r="L263" s="26">
        <v>43749</v>
      </c>
      <c r="M263" s="14">
        <f t="shared" si="287"/>
        <v>82.30418549066529</v>
      </c>
      <c r="N263" s="7" t="s">
        <v>354</v>
      </c>
      <c r="O263" s="7" t="s">
        <v>623</v>
      </c>
      <c r="P263" s="7" t="s">
        <v>624</v>
      </c>
      <c r="Q263" s="15" t="s">
        <v>356</v>
      </c>
      <c r="R263" s="7" t="s">
        <v>36</v>
      </c>
      <c r="S263" s="16">
        <f t="shared" ref="S263:S331" si="288">T263+U263</f>
        <v>796961.1399999999</v>
      </c>
      <c r="T263" s="16">
        <v>642679.71</v>
      </c>
      <c r="U263" s="16">
        <v>154281.43</v>
      </c>
      <c r="V263" s="16">
        <f t="shared" ref="V263:V331" si="289">W263+X263</f>
        <v>151984.41</v>
      </c>
      <c r="W263" s="16">
        <v>113414.08</v>
      </c>
      <c r="X263" s="16">
        <v>38570.33</v>
      </c>
      <c r="Y263" s="16">
        <f t="shared" ref="Y263" si="290">Z263+AA263</f>
        <v>0</v>
      </c>
      <c r="Z263" s="16"/>
      <c r="AA263" s="16"/>
      <c r="AB263" s="16">
        <f t="shared" ref="AB263:AB264" si="291">AC263+AD263</f>
        <v>19366.25</v>
      </c>
      <c r="AC263" s="16">
        <v>15430.49</v>
      </c>
      <c r="AD263" s="16">
        <v>3935.76</v>
      </c>
      <c r="AE263" s="16">
        <f t="shared" ref="AE263:AE331" si="292">S263+V263+Y263+AB263</f>
        <v>968311.79999999993</v>
      </c>
      <c r="AF263" s="16"/>
      <c r="AG263" s="16">
        <f t="shared" ref="AG263:AG331" si="293">AE263+AF263</f>
        <v>968311.79999999993</v>
      </c>
      <c r="AH263" s="20" t="s">
        <v>615</v>
      </c>
      <c r="AI263" s="21" t="s">
        <v>451</v>
      </c>
      <c r="AJ263" s="23">
        <f>191558.95+82810.85-11941.24+189135.5</f>
        <v>451564.06000000006</v>
      </c>
      <c r="AK263" s="23">
        <f>18065.03+15792.44+11941.24+3307.22+18543.36</f>
        <v>67649.290000000008</v>
      </c>
    </row>
    <row r="264" spans="1:37" s="165" customFormat="1" ht="141.75" x14ac:dyDescent="0.25">
      <c r="A264" s="7">
        <v>258</v>
      </c>
      <c r="B264" s="7">
        <v>111981</v>
      </c>
      <c r="C264" s="11">
        <v>264</v>
      </c>
      <c r="D264" s="7" t="s">
        <v>175</v>
      </c>
      <c r="E264" s="11" t="s">
        <v>165</v>
      </c>
      <c r="F264" s="9" t="s">
        <v>352</v>
      </c>
      <c r="G264" s="126" t="s">
        <v>626</v>
      </c>
      <c r="H264" s="24" t="s">
        <v>627</v>
      </c>
      <c r="I264" s="11" t="s">
        <v>628</v>
      </c>
      <c r="J264" s="68" t="s">
        <v>630</v>
      </c>
      <c r="K264" s="13">
        <v>43264</v>
      </c>
      <c r="L264" s="26">
        <v>43751</v>
      </c>
      <c r="M264" s="14">
        <f t="shared" si="287"/>
        <v>82.304187524210803</v>
      </c>
      <c r="N264" s="7" t="s">
        <v>354</v>
      </c>
      <c r="O264" s="7" t="s">
        <v>629</v>
      </c>
      <c r="P264" s="7" t="s">
        <v>450</v>
      </c>
      <c r="Q264" s="15" t="s">
        <v>356</v>
      </c>
      <c r="R264" s="7" t="s">
        <v>36</v>
      </c>
      <c r="S264" s="16">
        <f t="shared" si="288"/>
        <v>771066.18</v>
      </c>
      <c r="T264" s="16">
        <v>621797.65</v>
      </c>
      <c r="U264" s="16">
        <v>149268.53</v>
      </c>
      <c r="V264" s="16">
        <f t="shared" si="289"/>
        <v>147046.1</v>
      </c>
      <c r="W264" s="16">
        <v>109729</v>
      </c>
      <c r="X264" s="16">
        <v>37317.1</v>
      </c>
      <c r="Y264" s="16">
        <f t="shared" ref="Y264:Y331" si="294">Z264+AA264</f>
        <v>0</v>
      </c>
      <c r="Z264" s="16"/>
      <c r="AA264" s="16"/>
      <c r="AB264" s="16">
        <f t="shared" si="291"/>
        <v>18736.989999999998</v>
      </c>
      <c r="AC264" s="16">
        <v>14929.14</v>
      </c>
      <c r="AD264" s="16">
        <v>3807.85</v>
      </c>
      <c r="AE264" s="16">
        <f t="shared" si="292"/>
        <v>936849.27</v>
      </c>
      <c r="AF264" s="16"/>
      <c r="AG264" s="16">
        <f t="shared" si="293"/>
        <v>936849.27</v>
      </c>
      <c r="AH264" s="20" t="s">
        <v>615</v>
      </c>
      <c r="AI264" s="21" t="s">
        <v>451</v>
      </c>
      <c r="AJ264" s="23">
        <f>90931+53329.56+57210.46+106559.17+87755.66-53.91</f>
        <v>395731.94</v>
      </c>
      <c r="AK264" s="23">
        <f>10170.21+10910.32+23029.37+14027.44+53.91</f>
        <v>58191.25</v>
      </c>
    </row>
    <row r="265" spans="1:37" s="165" customFormat="1" ht="252" x14ac:dyDescent="0.25">
      <c r="A265" s="7">
        <v>259</v>
      </c>
      <c r="B265" s="7">
        <v>113037</v>
      </c>
      <c r="C265" s="11">
        <v>280</v>
      </c>
      <c r="D265" s="7" t="s">
        <v>1104</v>
      </c>
      <c r="E265" s="11" t="s">
        <v>165</v>
      </c>
      <c r="F265" s="9" t="s">
        <v>352</v>
      </c>
      <c r="G265" s="126" t="s">
        <v>644</v>
      </c>
      <c r="H265" s="24" t="s">
        <v>642</v>
      </c>
      <c r="I265" s="11" t="s">
        <v>643</v>
      </c>
      <c r="J265" s="68" t="s">
        <v>645</v>
      </c>
      <c r="K265" s="13">
        <v>43269</v>
      </c>
      <c r="L265" s="26">
        <v>43756</v>
      </c>
      <c r="M265" s="14">
        <f t="shared" ref="M265:M331" si="295">S265/AE265*100</f>
        <v>82.304185659324261</v>
      </c>
      <c r="N265" s="7" t="s">
        <v>354</v>
      </c>
      <c r="O265" s="7" t="s">
        <v>156</v>
      </c>
      <c r="P265" s="7" t="s">
        <v>156</v>
      </c>
      <c r="Q265" s="15" t="s">
        <v>356</v>
      </c>
      <c r="R265" s="7" t="s">
        <v>36</v>
      </c>
      <c r="S265" s="16">
        <f t="shared" si="288"/>
        <v>812766.5</v>
      </c>
      <c r="T265" s="16">
        <v>655425.36</v>
      </c>
      <c r="U265" s="16">
        <v>157341.14000000001</v>
      </c>
      <c r="V265" s="16">
        <f t="shared" si="289"/>
        <v>154998.59</v>
      </c>
      <c r="W265" s="16">
        <v>115663.31</v>
      </c>
      <c r="X265" s="16">
        <v>39335.279999999999</v>
      </c>
      <c r="Y265" s="16">
        <f t="shared" si="294"/>
        <v>0</v>
      </c>
      <c r="Z265" s="16"/>
      <c r="AA265" s="16"/>
      <c r="AB265" s="16">
        <f t="shared" ref="AB265:AB331" si="296">AC265+AD265</f>
        <v>19750.3</v>
      </c>
      <c r="AC265" s="16">
        <v>15736.51</v>
      </c>
      <c r="AD265" s="16">
        <v>4013.79</v>
      </c>
      <c r="AE265" s="16">
        <f t="shared" si="292"/>
        <v>987515.39</v>
      </c>
      <c r="AF265" s="16"/>
      <c r="AG265" s="16">
        <f t="shared" si="293"/>
        <v>987515.39</v>
      </c>
      <c r="AH265" s="20" t="s">
        <v>615</v>
      </c>
      <c r="AI265" s="21" t="s">
        <v>451</v>
      </c>
      <c r="AJ265" s="23">
        <f>98751.53+76285.17-2339.65+174517.47</f>
        <v>347214.52</v>
      </c>
      <c r="AK265" s="23">
        <f>14547.96+18386.23+14448.94</f>
        <v>47383.130000000005</v>
      </c>
    </row>
    <row r="266" spans="1:37" s="165" customFormat="1" ht="141.75" x14ac:dyDescent="0.25">
      <c r="A266" s="7">
        <v>260</v>
      </c>
      <c r="B266" s="7">
        <v>111983</v>
      </c>
      <c r="C266" s="11">
        <v>238</v>
      </c>
      <c r="D266" s="7" t="s">
        <v>170</v>
      </c>
      <c r="E266" s="11" t="s">
        <v>165</v>
      </c>
      <c r="F266" s="9" t="s">
        <v>352</v>
      </c>
      <c r="G266" s="126" t="s">
        <v>646</v>
      </c>
      <c r="H266" s="24" t="s">
        <v>647</v>
      </c>
      <c r="I266" s="11" t="s">
        <v>451</v>
      </c>
      <c r="J266" s="68" t="s">
        <v>648</v>
      </c>
      <c r="K266" s="13">
        <v>43270</v>
      </c>
      <c r="L266" s="26">
        <v>43757</v>
      </c>
      <c r="M266" s="14">
        <f t="shared" si="295"/>
        <v>82.304184684756876</v>
      </c>
      <c r="N266" s="7" t="s">
        <v>354</v>
      </c>
      <c r="O266" s="7" t="s">
        <v>156</v>
      </c>
      <c r="P266" s="7" t="s">
        <v>156</v>
      </c>
      <c r="Q266" s="15" t="s">
        <v>356</v>
      </c>
      <c r="R266" s="7" t="s">
        <v>36</v>
      </c>
      <c r="S266" s="16">
        <f t="shared" si="288"/>
        <v>768299.49</v>
      </c>
      <c r="T266" s="16">
        <v>619566.6</v>
      </c>
      <c r="U266" s="16">
        <v>148732.89000000001</v>
      </c>
      <c r="V266" s="16">
        <f t="shared" si="289"/>
        <v>146518.51</v>
      </c>
      <c r="W266" s="16">
        <v>109335.29</v>
      </c>
      <c r="X266" s="16">
        <v>37183.22</v>
      </c>
      <c r="Y266" s="16">
        <f t="shared" si="294"/>
        <v>0</v>
      </c>
      <c r="Z266" s="16"/>
      <c r="AA266" s="16"/>
      <c r="AB266" s="16">
        <f t="shared" si="296"/>
        <v>18669.759999999998</v>
      </c>
      <c r="AC266" s="16">
        <v>14875.55</v>
      </c>
      <c r="AD266" s="16">
        <v>3794.21</v>
      </c>
      <c r="AE266" s="16">
        <f t="shared" si="292"/>
        <v>933487.76</v>
      </c>
      <c r="AF266" s="16">
        <v>0</v>
      </c>
      <c r="AG266" s="16">
        <f t="shared" si="293"/>
        <v>933487.76</v>
      </c>
      <c r="AH266" s="20" t="s">
        <v>615</v>
      </c>
      <c r="AI266" s="21" t="s">
        <v>451</v>
      </c>
      <c r="AJ266" s="23">
        <f>81982.44+68790.33-12682.51+93000</f>
        <v>231090.26</v>
      </c>
      <c r="AK266" s="23">
        <f>11017.56+15316.94</f>
        <v>26334.5</v>
      </c>
    </row>
    <row r="267" spans="1:37" s="165" customFormat="1" ht="220.5" x14ac:dyDescent="0.25">
      <c r="A267" s="7">
        <v>261</v>
      </c>
      <c r="B267" s="134">
        <v>115759</v>
      </c>
      <c r="C267" s="128">
        <v>400</v>
      </c>
      <c r="D267" s="134" t="s">
        <v>170</v>
      </c>
      <c r="E267" s="128" t="s">
        <v>165</v>
      </c>
      <c r="F267" s="129" t="s">
        <v>476</v>
      </c>
      <c r="G267" s="204" t="s">
        <v>649</v>
      </c>
      <c r="H267" s="130" t="s">
        <v>650</v>
      </c>
      <c r="I267" s="128" t="s">
        <v>651</v>
      </c>
      <c r="J267" s="131" t="s">
        <v>652</v>
      </c>
      <c r="K267" s="132">
        <v>43270</v>
      </c>
      <c r="L267" s="26">
        <v>44062</v>
      </c>
      <c r="M267" s="133">
        <f t="shared" si="295"/>
        <v>83.983862848432537</v>
      </c>
      <c r="N267" s="134" t="s">
        <v>354</v>
      </c>
      <c r="O267" s="134" t="s">
        <v>156</v>
      </c>
      <c r="P267" s="134" t="s">
        <v>156</v>
      </c>
      <c r="Q267" s="135" t="s">
        <v>157</v>
      </c>
      <c r="R267" s="134" t="s">
        <v>36</v>
      </c>
      <c r="S267" s="16">
        <f t="shared" si="288"/>
        <v>11840890.029999999</v>
      </c>
      <c r="T267" s="16">
        <v>9548646.1699999999</v>
      </c>
      <c r="U267" s="16">
        <v>2292243.86</v>
      </c>
      <c r="V267" s="16">
        <f t="shared" si="289"/>
        <v>0</v>
      </c>
      <c r="W267" s="16"/>
      <c r="X267" s="16"/>
      <c r="Y267" s="16">
        <f t="shared" si="294"/>
        <v>2258116.17</v>
      </c>
      <c r="Z267" s="16">
        <v>1685055.21</v>
      </c>
      <c r="AA267" s="16">
        <v>573060.96</v>
      </c>
      <c r="AB267" s="16">
        <f t="shared" si="296"/>
        <v>0</v>
      </c>
      <c r="AC267" s="16"/>
      <c r="AD267" s="16"/>
      <c r="AE267" s="16">
        <f t="shared" si="292"/>
        <v>14099006.199999999</v>
      </c>
      <c r="AF267" s="16"/>
      <c r="AG267" s="16">
        <f t="shared" si="293"/>
        <v>14099006.199999999</v>
      </c>
      <c r="AH267" s="20" t="s">
        <v>615</v>
      </c>
      <c r="AI267" s="21" t="s">
        <v>185</v>
      </c>
      <c r="AJ267" s="23">
        <f>821485.68+1164341.89+225959.67+840790.22</f>
        <v>3052577.46</v>
      </c>
      <c r="AK267" s="23">
        <v>0</v>
      </c>
    </row>
    <row r="268" spans="1:37" s="165" customFormat="1" ht="141.75" x14ac:dyDescent="0.25">
      <c r="A268" s="7">
        <v>262</v>
      </c>
      <c r="B268" s="7">
        <v>111409</v>
      </c>
      <c r="C268" s="11">
        <v>193</v>
      </c>
      <c r="D268" s="7" t="s">
        <v>171</v>
      </c>
      <c r="E268" s="11" t="s">
        <v>165</v>
      </c>
      <c r="F268" s="9" t="s">
        <v>352</v>
      </c>
      <c r="G268" s="205" t="s">
        <v>658</v>
      </c>
      <c r="H268" s="136" t="s">
        <v>657</v>
      </c>
      <c r="I268" s="11" t="s">
        <v>451</v>
      </c>
      <c r="J268" s="68" t="s">
        <v>659</v>
      </c>
      <c r="K268" s="13">
        <v>43271</v>
      </c>
      <c r="L268" s="26">
        <v>43758</v>
      </c>
      <c r="M268" s="14">
        <f t="shared" si="295"/>
        <v>82.304192821223239</v>
      </c>
      <c r="N268" s="7" t="s">
        <v>354</v>
      </c>
      <c r="O268" s="175" t="s">
        <v>156</v>
      </c>
      <c r="P268" s="175" t="s">
        <v>156</v>
      </c>
      <c r="Q268" s="15" t="s">
        <v>356</v>
      </c>
      <c r="R268" s="7" t="s">
        <v>36</v>
      </c>
      <c r="S268" s="137">
        <f>T268+U268</f>
        <v>813056.8</v>
      </c>
      <c r="T268" s="16">
        <v>655659.42000000004</v>
      </c>
      <c r="U268" s="16">
        <v>157397.38</v>
      </c>
      <c r="V268" s="16">
        <f t="shared" si="289"/>
        <v>155053.87</v>
      </c>
      <c r="W268" s="16">
        <v>115704.6</v>
      </c>
      <c r="X268" s="16">
        <v>39349.269999999997</v>
      </c>
      <c r="Y268" s="16">
        <f t="shared" si="294"/>
        <v>0</v>
      </c>
      <c r="Z268" s="16"/>
      <c r="AA268" s="16"/>
      <c r="AB268" s="16">
        <f t="shared" si="296"/>
        <v>19757.350000000002</v>
      </c>
      <c r="AC268" s="16">
        <v>15742.12</v>
      </c>
      <c r="AD268" s="16">
        <v>4015.23</v>
      </c>
      <c r="AE268" s="16">
        <f>S268+V268+Y268+AB268</f>
        <v>987868.02</v>
      </c>
      <c r="AF268" s="16">
        <v>0</v>
      </c>
      <c r="AG268" s="16">
        <f t="shared" si="293"/>
        <v>987868.02</v>
      </c>
      <c r="AH268" s="20" t="s">
        <v>615</v>
      </c>
      <c r="AI268" s="21" t="s">
        <v>185</v>
      </c>
      <c r="AJ268" s="23">
        <f>104036.05+83299.38+40723.7+153044.06+23273.36+53101.78</f>
        <v>457478.32999999996</v>
      </c>
      <c r="AK268" s="23">
        <f>16886.65+26605.33+10347.13+4438.35+10126.8</f>
        <v>68404.259999999995</v>
      </c>
    </row>
    <row r="269" spans="1:37" s="165" customFormat="1" ht="141.75" x14ac:dyDescent="0.25">
      <c r="A269" s="7">
        <v>263</v>
      </c>
      <c r="B269" s="7">
        <v>118676</v>
      </c>
      <c r="C269" s="11">
        <v>432</v>
      </c>
      <c r="D269" s="7" t="s">
        <v>171</v>
      </c>
      <c r="E269" s="11" t="s">
        <v>1112</v>
      </c>
      <c r="F269" s="9" t="s">
        <v>660</v>
      </c>
      <c r="G269" s="47" t="s">
        <v>661</v>
      </c>
      <c r="H269" s="24" t="s">
        <v>662</v>
      </c>
      <c r="I269" s="11" t="s">
        <v>663</v>
      </c>
      <c r="J269" s="68" t="s">
        <v>664</v>
      </c>
      <c r="K269" s="13">
        <v>43270</v>
      </c>
      <c r="L269" s="26">
        <v>43818</v>
      </c>
      <c r="M269" s="14">
        <f t="shared" si="295"/>
        <v>83.983861980210861</v>
      </c>
      <c r="N269" s="7" t="s">
        <v>354</v>
      </c>
      <c r="O269" s="175" t="s">
        <v>156</v>
      </c>
      <c r="P269" s="175" t="s">
        <v>156</v>
      </c>
      <c r="Q269" s="15" t="s">
        <v>157</v>
      </c>
      <c r="R269" s="7" t="s">
        <v>36</v>
      </c>
      <c r="S269" s="16">
        <f t="shared" si="288"/>
        <v>3030823.88</v>
      </c>
      <c r="T269" s="16">
        <v>2444095.39</v>
      </c>
      <c r="U269" s="16">
        <v>586728.49</v>
      </c>
      <c r="V269" s="16">
        <f t="shared" si="289"/>
        <v>0</v>
      </c>
      <c r="W269" s="16"/>
      <c r="X269" s="16"/>
      <c r="Y269" s="16">
        <f t="shared" si="294"/>
        <v>577993.11</v>
      </c>
      <c r="Z269" s="16">
        <v>431310.99</v>
      </c>
      <c r="AA269" s="16">
        <v>146682.12</v>
      </c>
      <c r="AB269" s="16">
        <f t="shared" si="296"/>
        <v>0</v>
      </c>
      <c r="AC269" s="16"/>
      <c r="AD269" s="16"/>
      <c r="AE269" s="16">
        <f t="shared" si="292"/>
        <v>3608816.9899999998</v>
      </c>
      <c r="AF269" s="16">
        <v>0</v>
      </c>
      <c r="AG269" s="16">
        <f t="shared" si="293"/>
        <v>3608816.9899999998</v>
      </c>
      <c r="AH269" s="20" t="s">
        <v>615</v>
      </c>
      <c r="AI269" s="21" t="s">
        <v>185</v>
      </c>
      <c r="AJ269" s="23">
        <f>43102.2+366371.99+199.89+120510.92</f>
        <v>530185</v>
      </c>
      <c r="AK269" s="23">
        <v>0</v>
      </c>
    </row>
    <row r="270" spans="1:37" s="165" customFormat="1" ht="283.5" x14ac:dyDescent="0.25">
      <c r="A270" s="7">
        <v>264</v>
      </c>
      <c r="B270" s="7">
        <v>111610</v>
      </c>
      <c r="C270" s="11">
        <v>374</v>
      </c>
      <c r="D270" s="7" t="s">
        <v>168</v>
      </c>
      <c r="E270" s="11" t="s">
        <v>1113</v>
      </c>
      <c r="F270" s="9" t="s">
        <v>665</v>
      </c>
      <c r="G270" s="47" t="s">
        <v>667</v>
      </c>
      <c r="H270" s="24" t="s">
        <v>666</v>
      </c>
      <c r="I270" s="11" t="s">
        <v>668</v>
      </c>
      <c r="J270" s="68" t="s">
        <v>672</v>
      </c>
      <c r="K270" s="13">
        <v>43272</v>
      </c>
      <c r="L270" s="26">
        <v>43637</v>
      </c>
      <c r="M270" s="14">
        <f t="shared" si="295"/>
        <v>82.30418774976819</v>
      </c>
      <c r="N270" s="7" t="s">
        <v>354</v>
      </c>
      <c r="O270" s="175" t="s">
        <v>156</v>
      </c>
      <c r="P270" s="175" t="s">
        <v>156</v>
      </c>
      <c r="Q270" s="15" t="s">
        <v>356</v>
      </c>
      <c r="R270" s="7" t="s">
        <v>36</v>
      </c>
      <c r="S270" s="16">
        <f t="shared" si="288"/>
        <v>3413208.46</v>
      </c>
      <c r="T270" s="16">
        <v>2752455.25</v>
      </c>
      <c r="U270" s="16">
        <v>660753.21</v>
      </c>
      <c r="V270" s="16">
        <f t="shared" si="289"/>
        <v>650915.6</v>
      </c>
      <c r="W270" s="16">
        <v>485727.33</v>
      </c>
      <c r="X270" s="16">
        <v>165188.26999999999</v>
      </c>
      <c r="Y270" s="16">
        <f t="shared" si="294"/>
        <v>0</v>
      </c>
      <c r="Z270" s="16">
        <v>0</v>
      </c>
      <c r="AA270" s="16">
        <v>0</v>
      </c>
      <c r="AB270" s="16">
        <f t="shared" si="296"/>
        <v>82941.300000000017</v>
      </c>
      <c r="AC270" s="16">
        <v>66085.326136337957</v>
      </c>
      <c r="AD270" s="16">
        <v>16855.97386366206</v>
      </c>
      <c r="AE270" s="16">
        <f>S270+V270+Y270+AB270</f>
        <v>4147065.36</v>
      </c>
      <c r="AF270" s="16">
        <v>0</v>
      </c>
      <c r="AG270" s="16">
        <f t="shared" si="293"/>
        <v>4147065.36</v>
      </c>
      <c r="AH270" s="20" t="s">
        <v>615</v>
      </c>
      <c r="AI270" s="21" t="s">
        <v>1161</v>
      </c>
      <c r="AJ270" s="23">
        <f>413506.52+39634.08+203862.73+22675.21+238112.3-5677.61+315671.54</f>
        <v>1227784.77</v>
      </c>
      <c r="AK270" s="23">
        <f>51329.52+25659.99+79433+5677.61</f>
        <v>162100.12</v>
      </c>
    </row>
    <row r="271" spans="1:37" s="165" customFormat="1" ht="141.75" x14ac:dyDescent="0.25">
      <c r="A271" s="7">
        <v>265</v>
      </c>
      <c r="B271" s="7">
        <v>110423</v>
      </c>
      <c r="C271" s="11">
        <v>207</v>
      </c>
      <c r="D271" s="7" t="s">
        <v>172</v>
      </c>
      <c r="E271" s="11" t="s">
        <v>165</v>
      </c>
      <c r="F271" s="9" t="s">
        <v>352</v>
      </c>
      <c r="G271" s="47" t="s">
        <v>669</v>
      </c>
      <c r="H271" s="188" t="s">
        <v>670</v>
      </c>
      <c r="I271" s="11" t="s">
        <v>451</v>
      </c>
      <c r="J271" s="68" t="s">
        <v>671</v>
      </c>
      <c r="K271" s="13">
        <v>43272</v>
      </c>
      <c r="L271" s="26">
        <v>43759</v>
      </c>
      <c r="M271" s="14">
        <f t="shared" si="295"/>
        <v>82.304184780767926</v>
      </c>
      <c r="N271" s="7" t="s">
        <v>354</v>
      </c>
      <c r="O271" s="7" t="s">
        <v>342</v>
      </c>
      <c r="P271" s="7" t="s">
        <v>342</v>
      </c>
      <c r="Q271" s="15" t="s">
        <v>356</v>
      </c>
      <c r="R271" s="7" t="s">
        <v>36</v>
      </c>
      <c r="S271" s="16">
        <f t="shared" si="288"/>
        <v>823039.14</v>
      </c>
      <c r="T271" s="16">
        <v>663709.36</v>
      </c>
      <c r="U271" s="16">
        <v>159329.78</v>
      </c>
      <c r="V271" s="16">
        <f>W271+X271</f>
        <v>156957.63</v>
      </c>
      <c r="W271" s="16">
        <v>117125.18</v>
      </c>
      <c r="X271" s="16">
        <v>39832.449999999997</v>
      </c>
      <c r="Y271" s="16">
        <f>Z271+AA271</f>
        <v>0</v>
      </c>
      <c r="Z271" s="16"/>
      <c r="AA271" s="16"/>
      <c r="AB271" s="16">
        <f t="shared" si="296"/>
        <v>19999.939999999999</v>
      </c>
      <c r="AC271" s="16">
        <v>15935.4</v>
      </c>
      <c r="AD271" s="16">
        <v>4064.54</v>
      </c>
      <c r="AE271" s="16">
        <f t="shared" si="292"/>
        <v>999996.71</v>
      </c>
      <c r="AF271" s="16">
        <v>0</v>
      </c>
      <c r="AG271" s="16">
        <f t="shared" si="293"/>
        <v>999996.71</v>
      </c>
      <c r="AH271" s="20" t="s">
        <v>615</v>
      </c>
      <c r="AI271" s="21" t="s">
        <v>185</v>
      </c>
      <c r="AJ271" s="23">
        <f>55440+153663.31-12607.53+78717.62</f>
        <v>275213.40000000002</v>
      </c>
      <c r="AK271" s="23">
        <f>20806.72+12607.53</f>
        <v>33414.25</v>
      </c>
    </row>
    <row r="272" spans="1:37" s="165" customFormat="1" ht="141.75" x14ac:dyDescent="0.25">
      <c r="A272" s="7">
        <v>266</v>
      </c>
      <c r="B272" s="7">
        <v>111199</v>
      </c>
      <c r="C272" s="11">
        <v>147</v>
      </c>
      <c r="D272" s="7" t="s">
        <v>1351</v>
      </c>
      <c r="E272" s="11" t="s">
        <v>165</v>
      </c>
      <c r="F272" s="9" t="s">
        <v>352</v>
      </c>
      <c r="G272" s="47" t="s">
        <v>716</v>
      </c>
      <c r="H272" s="24" t="s">
        <v>717</v>
      </c>
      <c r="I272" s="11" t="s">
        <v>718</v>
      </c>
      <c r="J272" s="68" t="s">
        <v>719</v>
      </c>
      <c r="K272" s="13">
        <v>43277</v>
      </c>
      <c r="L272" s="26">
        <v>44190</v>
      </c>
      <c r="M272" s="14">
        <f t="shared" si="295"/>
        <v>82.524995224288418</v>
      </c>
      <c r="N272" s="7" t="s">
        <v>354</v>
      </c>
      <c r="O272" s="7" t="s">
        <v>342</v>
      </c>
      <c r="P272" s="7" t="s">
        <v>342</v>
      </c>
      <c r="Q272" s="15" t="s">
        <v>356</v>
      </c>
      <c r="R272" s="7" t="s">
        <v>36</v>
      </c>
      <c r="S272" s="16">
        <f>T272+U272</f>
        <v>825126.99</v>
      </c>
      <c r="T272" s="16">
        <v>665393.03</v>
      </c>
      <c r="U272" s="16">
        <v>159733.96</v>
      </c>
      <c r="V272" s="16">
        <f t="shared" si="289"/>
        <v>154726.99</v>
      </c>
      <c r="W272" s="16">
        <v>115327.75</v>
      </c>
      <c r="X272" s="16">
        <v>39399.24</v>
      </c>
      <c r="Y272" s="16">
        <f>Z272+AA272</f>
        <v>0</v>
      </c>
      <c r="Z272" s="16">
        <v>0</v>
      </c>
      <c r="AA272" s="16">
        <v>0</v>
      </c>
      <c r="AB272" s="16">
        <f>AC272+AD272</f>
        <v>19997.02</v>
      </c>
      <c r="AC272" s="16">
        <v>15933.08</v>
      </c>
      <c r="AD272" s="16">
        <v>4063.94</v>
      </c>
      <c r="AE272" s="16">
        <f t="shared" si="292"/>
        <v>999851</v>
      </c>
      <c r="AF272" s="16">
        <v>0</v>
      </c>
      <c r="AG272" s="16">
        <f t="shared" si="293"/>
        <v>999851</v>
      </c>
      <c r="AH272" s="20" t="s">
        <v>615</v>
      </c>
      <c r="AI272" s="21" t="s">
        <v>185</v>
      </c>
      <c r="AJ272" s="23">
        <f>99985.1+89695.95+1370.47+76616.64+5407.01</f>
        <v>273075.17</v>
      </c>
      <c r="AK272" s="23">
        <f>17105.45+14284.79+17404.21</f>
        <v>48794.45</v>
      </c>
    </row>
    <row r="273" spans="1:37" s="165" customFormat="1" ht="189" x14ac:dyDescent="0.25">
      <c r="A273" s="7">
        <v>267</v>
      </c>
      <c r="B273" s="7">
        <v>109686</v>
      </c>
      <c r="C273" s="11">
        <v>122</v>
      </c>
      <c r="D273" s="7" t="s">
        <v>873</v>
      </c>
      <c r="E273" s="8" t="s">
        <v>998</v>
      </c>
      <c r="F273" s="9" t="s">
        <v>361</v>
      </c>
      <c r="G273" s="10" t="s">
        <v>682</v>
      </c>
      <c r="H273" s="24" t="s">
        <v>683</v>
      </c>
      <c r="I273" s="11" t="s">
        <v>451</v>
      </c>
      <c r="J273" s="68" t="s">
        <v>684</v>
      </c>
      <c r="K273" s="13">
        <v>43276</v>
      </c>
      <c r="L273" s="26">
        <v>43763</v>
      </c>
      <c r="M273" s="14">
        <f t="shared" si="295"/>
        <v>85.000000118226325</v>
      </c>
      <c r="N273" s="7">
        <v>2</v>
      </c>
      <c r="O273" s="7" t="s">
        <v>685</v>
      </c>
      <c r="P273" s="7" t="s">
        <v>685</v>
      </c>
      <c r="Q273" s="15" t="s">
        <v>213</v>
      </c>
      <c r="R273" s="7" t="s">
        <v>36</v>
      </c>
      <c r="S273" s="16">
        <f t="shared" si="288"/>
        <v>359480.02</v>
      </c>
      <c r="T273" s="16">
        <v>359480.02</v>
      </c>
      <c r="U273" s="16">
        <v>0</v>
      </c>
      <c r="V273" s="16">
        <f t="shared" si="289"/>
        <v>54979.3</v>
      </c>
      <c r="W273" s="16">
        <v>54979.3</v>
      </c>
      <c r="X273" s="16">
        <v>0</v>
      </c>
      <c r="Y273" s="16">
        <f t="shared" si="294"/>
        <v>8458.35</v>
      </c>
      <c r="Z273" s="16">
        <v>8458.35</v>
      </c>
      <c r="AA273" s="16">
        <v>0</v>
      </c>
      <c r="AB273" s="16">
        <f t="shared" si="296"/>
        <v>0</v>
      </c>
      <c r="AC273" s="16"/>
      <c r="AD273" s="16"/>
      <c r="AE273" s="16">
        <f t="shared" si="292"/>
        <v>422917.67</v>
      </c>
      <c r="AF273" s="16">
        <v>0</v>
      </c>
      <c r="AG273" s="16">
        <f t="shared" si="293"/>
        <v>422917.67</v>
      </c>
      <c r="AH273" s="20" t="s">
        <v>615</v>
      </c>
      <c r="AI273" s="21" t="s">
        <v>185</v>
      </c>
      <c r="AJ273" s="22">
        <f>31070.04+37860.62</f>
        <v>68930.66</v>
      </c>
      <c r="AK273" s="23">
        <f>4751.89+5790.44</f>
        <v>10542.33</v>
      </c>
    </row>
    <row r="274" spans="1:37" s="165" customFormat="1" ht="315" x14ac:dyDescent="0.25">
      <c r="A274" s="7">
        <v>268</v>
      </c>
      <c r="B274" s="7">
        <v>111846</v>
      </c>
      <c r="C274" s="11">
        <v>165</v>
      </c>
      <c r="D274" s="7" t="s">
        <v>1104</v>
      </c>
      <c r="E274" s="11" t="s">
        <v>165</v>
      </c>
      <c r="F274" s="9" t="s">
        <v>352</v>
      </c>
      <c r="G274" s="10" t="s">
        <v>691</v>
      </c>
      <c r="H274" s="24" t="s">
        <v>692</v>
      </c>
      <c r="I274" s="11" t="s">
        <v>451</v>
      </c>
      <c r="J274" s="68" t="s">
        <v>693</v>
      </c>
      <c r="K274" s="13">
        <v>43278</v>
      </c>
      <c r="L274" s="26">
        <v>43643</v>
      </c>
      <c r="M274" s="14">
        <f t="shared" si="295"/>
        <v>82.304186166768261</v>
      </c>
      <c r="N274" s="7" t="s">
        <v>354</v>
      </c>
      <c r="O274" s="7" t="s">
        <v>342</v>
      </c>
      <c r="P274" s="7" t="s">
        <v>342</v>
      </c>
      <c r="Q274" s="15" t="s">
        <v>356</v>
      </c>
      <c r="R274" s="7" t="s">
        <v>36</v>
      </c>
      <c r="S274" s="16">
        <f t="shared" si="288"/>
        <v>693954.33</v>
      </c>
      <c r="T274" s="16">
        <v>559613.69999999995</v>
      </c>
      <c r="U274" s="16">
        <v>134340.63</v>
      </c>
      <c r="V274" s="16">
        <f t="shared" si="289"/>
        <v>132340.51</v>
      </c>
      <c r="W274" s="16">
        <v>98755.36</v>
      </c>
      <c r="X274" s="16">
        <v>33585.15</v>
      </c>
      <c r="Y274" s="16">
        <f>Z274+AA274</f>
        <v>0</v>
      </c>
      <c r="Z274" s="16">
        <v>0</v>
      </c>
      <c r="AA274" s="16">
        <v>0</v>
      </c>
      <c r="AB274" s="16">
        <f>AC274+AD274</f>
        <v>16863.16</v>
      </c>
      <c r="AC274" s="16">
        <v>13436.1</v>
      </c>
      <c r="AD274" s="16">
        <v>3427.06</v>
      </c>
      <c r="AE274" s="16">
        <f t="shared" si="292"/>
        <v>843158</v>
      </c>
      <c r="AF274" s="16">
        <v>0</v>
      </c>
      <c r="AG274" s="16">
        <f t="shared" si="293"/>
        <v>843158</v>
      </c>
      <c r="AH274" s="20" t="s">
        <v>615</v>
      </c>
      <c r="AI274" s="21" t="s">
        <v>185</v>
      </c>
      <c r="AJ274" s="23">
        <f>137170.68-7903.65+194328.98+89918.19+31054.2+67873.86</f>
        <v>512442.26</v>
      </c>
      <c r="AK274" s="23">
        <f>10079.83+14572.02+20980.21+17147.84+5922.18+12943.9</f>
        <v>81645.979999999981</v>
      </c>
    </row>
    <row r="275" spans="1:37" s="165" customFormat="1" ht="409.5" x14ac:dyDescent="0.25">
      <c r="A275" s="7">
        <v>269</v>
      </c>
      <c r="B275" s="7">
        <v>110795</v>
      </c>
      <c r="C275" s="11">
        <v>127</v>
      </c>
      <c r="D275" s="7" t="s">
        <v>1351</v>
      </c>
      <c r="E275" s="11" t="s">
        <v>165</v>
      </c>
      <c r="F275" s="9" t="s">
        <v>352</v>
      </c>
      <c r="G275" s="10" t="s">
        <v>694</v>
      </c>
      <c r="H275" s="24" t="s">
        <v>699</v>
      </c>
      <c r="I275" s="11" t="s">
        <v>700</v>
      </c>
      <c r="J275" s="138" t="s">
        <v>701</v>
      </c>
      <c r="K275" s="13">
        <v>43278</v>
      </c>
      <c r="L275" s="26">
        <v>43765</v>
      </c>
      <c r="M275" s="14">
        <f t="shared" si="295"/>
        <v>82.304181171723172</v>
      </c>
      <c r="N275" s="7" t="s">
        <v>354</v>
      </c>
      <c r="O275" s="7" t="s">
        <v>342</v>
      </c>
      <c r="P275" s="7" t="s">
        <v>342</v>
      </c>
      <c r="Q275" s="15" t="s">
        <v>356</v>
      </c>
      <c r="R275" s="7" t="s">
        <v>36</v>
      </c>
      <c r="S275" s="16">
        <f t="shared" si="288"/>
        <v>818511.09</v>
      </c>
      <c r="T275" s="16">
        <v>660057.88</v>
      </c>
      <c r="U275" s="16">
        <v>158453.21</v>
      </c>
      <c r="V275" s="16">
        <f t="shared" si="289"/>
        <v>156094.12</v>
      </c>
      <c r="W275" s="16">
        <v>116480.81</v>
      </c>
      <c r="X275" s="16">
        <v>39613.31</v>
      </c>
      <c r="Y275" s="16">
        <f t="shared" si="294"/>
        <v>0</v>
      </c>
      <c r="Z275" s="16"/>
      <c r="AA275" s="16"/>
      <c r="AB275" s="16">
        <f t="shared" si="296"/>
        <v>19889.939999999999</v>
      </c>
      <c r="AC275" s="16">
        <v>15847.76</v>
      </c>
      <c r="AD275" s="16">
        <v>4042.18</v>
      </c>
      <c r="AE275" s="16">
        <f t="shared" si="292"/>
        <v>994495.14999999991</v>
      </c>
      <c r="AF275" s="16"/>
      <c r="AG275" s="16">
        <f t="shared" si="293"/>
        <v>994495.14999999991</v>
      </c>
      <c r="AH275" s="20" t="s">
        <v>615</v>
      </c>
      <c r="AI275" s="21"/>
      <c r="AJ275" s="23">
        <f>157838.38+70218+75120.05-9400.61+77188.42+38669.17-7483.51</f>
        <v>402149.89999999997</v>
      </c>
      <c r="AK275" s="23">
        <f>11135.04+27716.68+9400.61+3526.85+11840.91+7483.51</f>
        <v>71103.599999999991</v>
      </c>
    </row>
    <row r="276" spans="1:37" s="165" customFormat="1" ht="173.25" x14ac:dyDescent="0.25">
      <c r="A276" s="7">
        <v>270</v>
      </c>
      <c r="B276" s="7">
        <v>110651</v>
      </c>
      <c r="C276" s="11">
        <v>226</v>
      </c>
      <c r="D276" s="7" t="s">
        <v>172</v>
      </c>
      <c r="E276" s="11" t="s">
        <v>165</v>
      </c>
      <c r="F276" s="9" t="s">
        <v>352</v>
      </c>
      <c r="G276" s="47" t="s">
        <v>695</v>
      </c>
      <c r="H276" s="24" t="s">
        <v>696</v>
      </c>
      <c r="I276" s="11" t="s">
        <v>697</v>
      </c>
      <c r="J276" s="138" t="s">
        <v>698</v>
      </c>
      <c r="K276" s="13">
        <v>43278</v>
      </c>
      <c r="L276" s="26">
        <v>43765</v>
      </c>
      <c r="M276" s="14">
        <f t="shared" si="295"/>
        <v>82.795862353225218</v>
      </c>
      <c r="N276" s="7" t="s">
        <v>354</v>
      </c>
      <c r="O276" s="7" t="s">
        <v>342</v>
      </c>
      <c r="P276" s="7" t="s">
        <v>342</v>
      </c>
      <c r="Q276" s="15" t="s">
        <v>356</v>
      </c>
      <c r="R276" s="7" t="s">
        <v>36</v>
      </c>
      <c r="S276" s="16">
        <f t="shared" si="288"/>
        <v>774090.94000000006</v>
      </c>
      <c r="T276" s="16">
        <v>624236.92000000004</v>
      </c>
      <c r="U276" s="16">
        <v>149854.01999999999</v>
      </c>
      <c r="V276" s="16">
        <f t="shared" si="289"/>
        <v>142149.4</v>
      </c>
      <c r="W276" s="16">
        <v>105798.26</v>
      </c>
      <c r="X276" s="16">
        <v>36351.14</v>
      </c>
      <c r="Y276" s="16">
        <f t="shared" si="294"/>
        <v>0</v>
      </c>
      <c r="Z276" s="16"/>
      <c r="AA276" s="16"/>
      <c r="AB276" s="16">
        <f t="shared" si="296"/>
        <v>18698.82</v>
      </c>
      <c r="AC276" s="16">
        <v>14898.69</v>
      </c>
      <c r="AD276" s="16">
        <v>3800.13</v>
      </c>
      <c r="AE276" s="16">
        <f t="shared" si="292"/>
        <v>934939.16</v>
      </c>
      <c r="AF276" s="16">
        <v>0</v>
      </c>
      <c r="AG276" s="16">
        <f t="shared" si="293"/>
        <v>934939.16</v>
      </c>
      <c r="AH276" s="20" t="s">
        <v>615</v>
      </c>
      <c r="AI276" s="21" t="s">
        <v>185</v>
      </c>
      <c r="AJ276" s="23">
        <f>93127.69-32382.23+82358.09+30059.24-7220.89</f>
        <v>165941.89999999997</v>
      </c>
      <c r="AK276" s="23">
        <f>9460.82+5699.03+7815.58</f>
        <v>22975.43</v>
      </c>
    </row>
    <row r="277" spans="1:37" s="165" customFormat="1" ht="267.75" x14ac:dyDescent="0.25">
      <c r="A277" s="7">
        <v>271</v>
      </c>
      <c r="B277" s="7">
        <v>111787</v>
      </c>
      <c r="C277" s="11">
        <v>169</v>
      </c>
      <c r="D277" s="7" t="s">
        <v>1104</v>
      </c>
      <c r="E277" s="11" t="s">
        <v>165</v>
      </c>
      <c r="F277" s="9" t="s">
        <v>352</v>
      </c>
      <c r="G277" s="10" t="s">
        <v>702</v>
      </c>
      <c r="H277" s="24" t="s">
        <v>703</v>
      </c>
      <c r="I277" s="11" t="s">
        <v>451</v>
      </c>
      <c r="J277" s="138" t="s">
        <v>704</v>
      </c>
      <c r="K277" s="13">
        <v>43278</v>
      </c>
      <c r="L277" s="26">
        <v>43765</v>
      </c>
      <c r="M277" s="14">
        <f t="shared" si="295"/>
        <v>82.304186085847633</v>
      </c>
      <c r="N277" s="7" t="s">
        <v>354</v>
      </c>
      <c r="O277" s="7" t="s">
        <v>342</v>
      </c>
      <c r="P277" s="7" t="s">
        <v>342</v>
      </c>
      <c r="Q277" s="15" t="s">
        <v>356</v>
      </c>
      <c r="R277" s="7" t="s">
        <v>36</v>
      </c>
      <c r="S277" s="16">
        <f t="shared" si="288"/>
        <v>822921.16999999993</v>
      </c>
      <c r="T277" s="16">
        <v>663614.22</v>
      </c>
      <c r="U277" s="16">
        <v>159306.95000000001</v>
      </c>
      <c r="V277" s="16">
        <f t="shared" si="289"/>
        <v>156935.12</v>
      </c>
      <c r="W277" s="16">
        <v>117108.4</v>
      </c>
      <c r="X277" s="16">
        <v>39826.720000000001</v>
      </c>
      <c r="Y277" s="16">
        <f t="shared" si="294"/>
        <v>0</v>
      </c>
      <c r="Z277" s="16"/>
      <c r="AA277" s="16"/>
      <c r="AB277" s="16">
        <f t="shared" si="296"/>
        <v>19997.07</v>
      </c>
      <c r="AC277" s="16">
        <v>15933.11</v>
      </c>
      <c r="AD277" s="16">
        <v>4063.96</v>
      </c>
      <c r="AE277" s="16">
        <f t="shared" si="292"/>
        <v>999853.35999999987</v>
      </c>
      <c r="AF277" s="16"/>
      <c r="AG277" s="16">
        <f t="shared" si="293"/>
        <v>999853.35999999987</v>
      </c>
      <c r="AH277" s="20" t="s">
        <v>615</v>
      </c>
      <c r="AI277" s="21"/>
      <c r="AJ277" s="23">
        <f>73296.53+95514.85+3270.71+99985.33+65010.91+99985.33-954</f>
        <v>436109.66</v>
      </c>
      <c r="AK277" s="23">
        <f>13125.47+19691.44+31465.6+954</f>
        <v>65236.509999999995</v>
      </c>
    </row>
    <row r="278" spans="1:37" s="165" customFormat="1" ht="267.75" x14ac:dyDescent="0.25">
      <c r="A278" s="7">
        <v>272</v>
      </c>
      <c r="B278" s="7">
        <v>113139</v>
      </c>
      <c r="C278" s="11">
        <v>387</v>
      </c>
      <c r="D278" s="7" t="s">
        <v>168</v>
      </c>
      <c r="E278" s="11" t="s">
        <v>1113</v>
      </c>
      <c r="F278" s="9" t="s">
        <v>665</v>
      </c>
      <c r="G278" s="10" t="s">
        <v>711</v>
      </c>
      <c r="H278" s="24" t="s">
        <v>710</v>
      </c>
      <c r="I278" s="11" t="s">
        <v>712</v>
      </c>
      <c r="J278" s="138" t="s">
        <v>713</v>
      </c>
      <c r="K278" s="13">
        <v>43273</v>
      </c>
      <c r="L278" s="26">
        <v>43760</v>
      </c>
      <c r="M278" s="14">
        <f t="shared" si="295"/>
        <v>82.304185106128585</v>
      </c>
      <c r="N278" s="7" t="s">
        <v>354</v>
      </c>
      <c r="O278" s="7" t="s">
        <v>342</v>
      </c>
      <c r="P278" s="7" t="s">
        <v>342</v>
      </c>
      <c r="Q278" s="15" t="s">
        <v>356</v>
      </c>
      <c r="R278" s="7" t="s">
        <v>36</v>
      </c>
      <c r="S278" s="16">
        <f t="shared" si="288"/>
        <v>3201407.46</v>
      </c>
      <c r="T278" s="16">
        <v>2581656.2000000002</v>
      </c>
      <c r="U278" s="16">
        <v>619751.26</v>
      </c>
      <c r="V278" s="16">
        <f t="shared" si="289"/>
        <v>610524.23</v>
      </c>
      <c r="W278" s="16">
        <v>455586.4</v>
      </c>
      <c r="X278" s="16">
        <v>154937.82999999999</v>
      </c>
      <c r="Y278" s="16">
        <f t="shared" si="294"/>
        <v>0</v>
      </c>
      <c r="Z278" s="16">
        <v>0</v>
      </c>
      <c r="AA278" s="16">
        <v>0</v>
      </c>
      <c r="AB278" s="16">
        <f t="shared" si="296"/>
        <v>77794.52</v>
      </c>
      <c r="AC278" s="16">
        <v>61984.53</v>
      </c>
      <c r="AD278" s="16">
        <v>15809.99</v>
      </c>
      <c r="AE278" s="16">
        <f t="shared" si="292"/>
        <v>3889726.21</v>
      </c>
      <c r="AF278" s="16">
        <v>0</v>
      </c>
      <c r="AG278" s="16">
        <f t="shared" si="293"/>
        <v>3889726.21</v>
      </c>
      <c r="AH278" s="20" t="s">
        <v>615</v>
      </c>
      <c r="AI278" s="21" t="s">
        <v>185</v>
      </c>
      <c r="AJ278" s="23">
        <f>388971+375144.58-54672.24+342821.17+4731.32</f>
        <v>1056995.83</v>
      </c>
      <c r="AK278" s="23">
        <f>71541.92+54951.43+44725.39</f>
        <v>171218.74</v>
      </c>
    </row>
    <row r="279" spans="1:37" s="165" customFormat="1" ht="283.5" x14ac:dyDescent="0.25">
      <c r="A279" s="7">
        <v>273</v>
      </c>
      <c r="B279" s="7">
        <v>111603</v>
      </c>
      <c r="C279" s="11">
        <v>195</v>
      </c>
      <c r="D279" s="7" t="s">
        <v>171</v>
      </c>
      <c r="E279" s="11" t="s">
        <v>165</v>
      </c>
      <c r="F279" s="9" t="s">
        <v>352</v>
      </c>
      <c r="G279" s="126" t="s">
        <v>725</v>
      </c>
      <c r="H279" s="126" t="s">
        <v>724</v>
      </c>
      <c r="I279" s="7" t="s">
        <v>723</v>
      </c>
      <c r="J279" s="138" t="s">
        <v>1423</v>
      </c>
      <c r="K279" s="13">
        <v>43283</v>
      </c>
      <c r="L279" s="26">
        <v>43771</v>
      </c>
      <c r="M279" s="14">
        <f t="shared" si="295"/>
        <v>82.579446124039606</v>
      </c>
      <c r="N279" s="7" t="s">
        <v>354</v>
      </c>
      <c r="O279" s="7" t="s">
        <v>342</v>
      </c>
      <c r="P279" s="7" t="s">
        <v>342</v>
      </c>
      <c r="Q279" s="15" t="s">
        <v>356</v>
      </c>
      <c r="R279" s="7" t="s">
        <v>36</v>
      </c>
      <c r="S279" s="16">
        <f t="shared" si="288"/>
        <v>822254.14</v>
      </c>
      <c r="T279" s="16">
        <v>663076.28</v>
      </c>
      <c r="U279" s="16">
        <v>159177.85999999999</v>
      </c>
      <c r="V279" s="16">
        <f t="shared" si="289"/>
        <v>153544.35999999999</v>
      </c>
      <c r="W279" s="16">
        <v>114413.2</v>
      </c>
      <c r="X279" s="16">
        <v>39131.160000000003</v>
      </c>
      <c r="Y279" s="16">
        <f t="shared" si="294"/>
        <v>0</v>
      </c>
      <c r="Z279" s="16"/>
      <c r="AA279" s="16"/>
      <c r="AB279" s="16">
        <f t="shared" si="296"/>
        <v>19914.330000000002</v>
      </c>
      <c r="AC279" s="16">
        <v>15867.19</v>
      </c>
      <c r="AD279" s="16">
        <v>4047.14</v>
      </c>
      <c r="AE279" s="16">
        <f t="shared" si="292"/>
        <v>995712.83</v>
      </c>
      <c r="AF279" s="16">
        <v>0</v>
      </c>
      <c r="AG279" s="16">
        <f t="shared" si="293"/>
        <v>995712.83</v>
      </c>
      <c r="AH279" s="20" t="s">
        <v>615</v>
      </c>
      <c r="AI279" s="21" t="s">
        <v>1143</v>
      </c>
      <c r="AJ279" s="23">
        <f>99571.31-9242.96+89177.68+83254.45+30280.79+7839.21</f>
        <v>300880.48</v>
      </c>
      <c r="AK279" s="23">
        <f>15946.32+15174.65+5774.69+4031.4</f>
        <v>40927.060000000005</v>
      </c>
    </row>
    <row r="280" spans="1:37" s="165" customFormat="1" ht="141.75" x14ac:dyDescent="0.25">
      <c r="A280" s="7">
        <v>274</v>
      </c>
      <c r="B280" s="7">
        <v>113188</v>
      </c>
      <c r="C280" s="11">
        <v>246</v>
      </c>
      <c r="D280" s="7" t="s">
        <v>170</v>
      </c>
      <c r="E280" s="11" t="s">
        <v>165</v>
      </c>
      <c r="F280" s="9" t="s">
        <v>352</v>
      </c>
      <c r="G280" s="47" t="s">
        <v>730</v>
      </c>
      <c r="H280" s="24" t="s">
        <v>731</v>
      </c>
      <c r="I280" s="11" t="s">
        <v>451</v>
      </c>
      <c r="J280" s="138" t="s">
        <v>732</v>
      </c>
      <c r="K280" s="13">
        <v>43284</v>
      </c>
      <c r="L280" s="26">
        <v>43711</v>
      </c>
      <c r="M280" s="14">
        <f t="shared" si="295"/>
        <v>82.304188575115816</v>
      </c>
      <c r="N280" s="7" t="s">
        <v>354</v>
      </c>
      <c r="O280" s="7" t="s">
        <v>342</v>
      </c>
      <c r="P280" s="7" t="s">
        <v>342</v>
      </c>
      <c r="Q280" s="15" t="s">
        <v>356</v>
      </c>
      <c r="R280" s="7" t="s">
        <v>36</v>
      </c>
      <c r="S280" s="16">
        <f t="shared" si="288"/>
        <v>745468.83000000007</v>
      </c>
      <c r="T280" s="16">
        <v>601155.66</v>
      </c>
      <c r="U280" s="16">
        <v>144313.17000000001</v>
      </c>
      <c r="V280" s="16">
        <f t="shared" si="289"/>
        <v>142164.54</v>
      </c>
      <c r="W280" s="16">
        <v>106086.28</v>
      </c>
      <c r="X280" s="16">
        <v>36078.26</v>
      </c>
      <c r="Y280" s="16">
        <f t="shared" si="294"/>
        <v>0</v>
      </c>
      <c r="Z280" s="16">
        <v>0</v>
      </c>
      <c r="AA280" s="16">
        <v>0</v>
      </c>
      <c r="AB280" s="16">
        <f t="shared" si="296"/>
        <v>18114.98</v>
      </c>
      <c r="AC280" s="16">
        <v>14433.5</v>
      </c>
      <c r="AD280" s="16">
        <v>3681.48</v>
      </c>
      <c r="AE280" s="16">
        <f t="shared" si="292"/>
        <v>905748.35000000009</v>
      </c>
      <c r="AF280" s="16">
        <v>0</v>
      </c>
      <c r="AG280" s="16">
        <f t="shared" si="293"/>
        <v>905748.35000000009</v>
      </c>
      <c r="AH280" s="20" t="s">
        <v>615</v>
      </c>
      <c r="AI280" s="21" t="s">
        <v>185</v>
      </c>
      <c r="AJ280" s="23">
        <f>76816.8+130770.26-14027.52+87583.68+55112.77+22177.11+95479.67</f>
        <v>453912.76999999996</v>
      </c>
      <c r="AK280" s="23">
        <f>13758.03+8556.79+14027.52+10510.28+4229.28+10710.03</f>
        <v>61791.929999999993</v>
      </c>
    </row>
    <row r="281" spans="1:37" s="165" customFormat="1" ht="189" x14ac:dyDescent="0.25">
      <c r="A281" s="7">
        <v>275</v>
      </c>
      <c r="B281" s="7">
        <v>116097</v>
      </c>
      <c r="C281" s="11">
        <v>394</v>
      </c>
      <c r="D281" s="7" t="s">
        <v>176</v>
      </c>
      <c r="E281" s="128" t="s">
        <v>165</v>
      </c>
      <c r="F281" s="10" t="s">
        <v>476</v>
      </c>
      <c r="G281" s="34" t="s">
        <v>742</v>
      </c>
      <c r="H281" s="24" t="s">
        <v>741</v>
      </c>
      <c r="I281" s="11" t="s">
        <v>534</v>
      </c>
      <c r="J281" s="138" t="s">
        <v>743</v>
      </c>
      <c r="K281" s="13">
        <v>43284</v>
      </c>
      <c r="L281" s="26">
        <v>44077</v>
      </c>
      <c r="M281" s="14">
        <f t="shared" si="295"/>
        <v>83.983862774791262</v>
      </c>
      <c r="N281" s="7" t="s">
        <v>354</v>
      </c>
      <c r="O281" s="7" t="s">
        <v>342</v>
      </c>
      <c r="P281" s="7" t="s">
        <v>342</v>
      </c>
      <c r="Q281" s="15" t="s">
        <v>157</v>
      </c>
      <c r="R281" s="7" t="s">
        <v>36</v>
      </c>
      <c r="S281" s="16">
        <f t="shared" si="288"/>
        <v>6396515.5899999999</v>
      </c>
      <c r="T281" s="16">
        <v>5158232.53</v>
      </c>
      <c r="U281" s="16">
        <v>1238283.06</v>
      </c>
      <c r="V281" s="16">
        <f t="shared" si="289"/>
        <v>472527.32999999996</v>
      </c>
      <c r="W281" s="16">
        <v>349201.67</v>
      </c>
      <c r="X281" s="16">
        <v>123325.66</v>
      </c>
      <c r="Y281" s="16">
        <f t="shared" si="294"/>
        <v>747319.77</v>
      </c>
      <c r="Z281" s="16">
        <v>561074.66</v>
      </c>
      <c r="AA281" s="16">
        <v>186245.11</v>
      </c>
      <c r="AB281" s="16">
        <f t="shared" si="296"/>
        <v>0</v>
      </c>
      <c r="AC281" s="16">
        <v>0</v>
      </c>
      <c r="AD281" s="16">
        <v>0</v>
      </c>
      <c r="AE281" s="16">
        <f t="shared" si="292"/>
        <v>7616362.6899999995</v>
      </c>
      <c r="AF281" s="16">
        <v>0</v>
      </c>
      <c r="AG281" s="16">
        <f t="shared" si="293"/>
        <v>7616362.6899999995</v>
      </c>
      <c r="AH281" s="20" t="s">
        <v>615</v>
      </c>
      <c r="AI281" s="21" t="s">
        <v>185</v>
      </c>
      <c r="AJ281" s="23">
        <f>253980+93643.83</f>
        <v>347623.83</v>
      </c>
      <c r="AK281" s="23">
        <v>4416.62</v>
      </c>
    </row>
    <row r="282" spans="1:37" s="165" customFormat="1" ht="409.5" x14ac:dyDescent="0.25">
      <c r="A282" s="7">
        <v>276</v>
      </c>
      <c r="B282" s="7">
        <v>109966</v>
      </c>
      <c r="C282" s="11">
        <v>368</v>
      </c>
      <c r="D282" s="7" t="s">
        <v>1351</v>
      </c>
      <c r="E282" s="11" t="s">
        <v>165</v>
      </c>
      <c r="F282" s="9" t="s">
        <v>352</v>
      </c>
      <c r="G282" s="168" t="s">
        <v>738</v>
      </c>
      <c r="H282" s="168" t="s">
        <v>739</v>
      </c>
      <c r="I282" s="11" t="s">
        <v>451</v>
      </c>
      <c r="J282" s="138" t="s">
        <v>740</v>
      </c>
      <c r="K282" s="13">
        <v>43284</v>
      </c>
      <c r="L282" s="26">
        <v>43772</v>
      </c>
      <c r="M282" s="14">
        <f t="shared" si="295"/>
        <v>82.304190385931335</v>
      </c>
      <c r="N282" s="7" t="s">
        <v>354</v>
      </c>
      <c r="O282" s="7" t="s">
        <v>350</v>
      </c>
      <c r="P282" s="7" t="s">
        <v>1027</v>
      </c>
      <c r="Q282" s="15" t="s">
        <v>356</v>
      </c>
      <c r="R282" s="7" t="s">
        <v>36</v>
      </c>
      <c r="S282" s="16">
        <f t="shared" si="288"/>
        <v>820713.65</v>
      </c>
      <c r="T282" s="16">
        <v>661834.04</v>
      </c>
      <c r="U282" s="16">
        <v>158879.60999999999</v>
      </c>
      <c r="V282" s="16">
        <f t="shared" si="289"/>
        <v>156514.07999999999</v>
      </c>
      <c r="W282" s="16">
        <v>116794.2</v>
      </c>
      <c r="X282" s="16">
        <v>39719.879999999997</v>
      </c>
      <c r="Y282" s="16">
        <f t="shared" si="294"/>
        <v>0</v>
      </c>
      <c r="Z282" s="16">
        <v>0</v>
      </c>
      <c r="AA282" s="16">
        <v>0</v>
      </c>
      <c r="AB282" s="16">
        <f t="shared" si="296"/>
        <v>19943.43</v>
      </c>
      <c r="AC282" s="16">
        <v>15890.39</v>
      </c>
      <c r="AD282" s="16">
        <v>4053.04</v>
      </c>
      <c r="AE282" s="16">
        <f t="shared" si="292"/>
        <v>997171.16</v>
      </c>
      <c r="AF282" s="16">
        <v>0</v>
      </c>
      <c r="AG282" s="16">
        <f t="shared" si="293"/>
        <v>997171.16</v>
      </c>
      <c r="AH282" s="20" t="s">
        <v>615</v>
      </c>
      <c r="AI282" s="21" t="s">
        <v>185</v>
      </c>
      <c r="AJ282" s="23">
        <f>97719.31+82606.17+3211.32+89251.39-12691.77</f>
        <v>260096.42</v>
      </c>
      <c r="AK282" s="23">
        <f>16734.59+7125.74+9148.44+12691.77</f>
        <v>45700.540000000008</v>
      </c>
    </row>
    <row r="283" spans="1:37" s="165" customFormat="1" ht="141.75" x14ac:dyDescent="0.25">
      <c r="A283" s="7">
        <v>277</v>
      </c>
      <c r="B283" s="7">
        <v>112133</v>
      </c>
      <c r="C283" s="11">
        <v>149</v>
      </c>
      <c r="D283" s="7" t="s">
        <v>1351</v>
      </c>
      <c r="E283" s="11" t="s">
        <v>165</v>
      </c>
      <c r="F283" s="9" t="s">
        <v>352</v>
      </c>
      <c r="G283" s="51" t="s">
        <v>745</v>
      </c>
      <c r="H283" s="24" t="s">
        <v>746</v>
      </c>
      <c r="I283" s="11" t="s">
        <v>747</v>
      </c>
      <c r="J283" s="139" t="s">
        <v>748</v>
      </c>
      <c r="K283" s="13">
        <v>43286</v>
      </c>
      <c r="L283" s="26">
        <v>43773</v>
      </c>
      <c r="M283" s="14">
        <f t="shared" si="295"/>
        <v>82.304192989201169</v>
      </c>
      <c r="N283" s="7" t="s">
        <v>354</v>
      </c>
      <c r="O283" s="7" t="s">
        <v>749</v>
      </c>
      <c r="P283" s="7" t="s">
        <v>737</v>
      </c>
      <c r="Q283" s="15" t="s">
        <v>356</v>
      </c>
      <c r="R283" s="7" t="s">
        <v>36</v>
      </c>
      <c r="S283" s="16">
        <v>615782.40000000002</v>
      </c>
      <c r="T283" s="16">
        <v>496574.82</v>
      </c>
      <c r="U283" s="16">
        <v>119207.58</v>
      </c>
      <c r="V283" s="16">
        <f t="shared" si="289"/>
        <v>117432.69</v>
      </c>
      <c r="W283" s="16">
        <v>87630.81</v>
      </c>
      <c r="X283" s="16">
        <v>29801.88</v>
      </c>
      <c r="Y283" s="16">
        <f>Z283+AA283</f>
        <v>0</v>
      </c>
      <c r="Z283" s="16"/>
      <c r="AA283" s="16"/>
      <c r="AB283" s="16">
        <f>AC283+AD283</f>
        <v>14963.56</v>
      </c>
      <c r="AC283" s="16">
        <v>11922.59</v>
      </c>
      <c r="AD283" s="16">
        <v>3040.97</v>
      </c>
      <c r="AE283" s="16">
        <f t="shared" si="292"/>
        <v>748178.65000000014</v>
      </c>
      <c r="AF283" s="16"/>
      <c r="AG283" s="16">
        <f t="shared" si="293"/>
        <v>748178.65000000014</v>
      </c>
      <c r="AH283" s="20" t="s">
        <v>615</v>
      </c>
      <c r="AI283" s="21" t="s">
        <v>185</v>
      </c>
      <c r="AJ283" s="23">
        <f>67020+7797+44875.55+3783.2+14368.2-5518.28+131016.07</f>
        <v>263341.74</v>
      </c>
      <c r="AK283" s="23">
        <f>8557.98+2208.4+1253.17+10049.33+13883.73</f>
        <v>35952.61</v>
      </c>
    </row>
    <row r="284" spans="1:37" s="165" customFormat="1" ht="141.75" x14ac:dyDescent="0.25">
      <c r="A284" s="7">
        <v>278</v>
      </c>
      <c r="B284" s="7">
        <v>112698</v>
      </c>
      <c r="C284" s="11">
        <v>231</v>
      </c>
      <c r="D284" s="7" t="s">
        <v>170</v>
      </c>
      <c r="E284" s="11" t="s">
        <v>165</v>
      </c>
      <c r="F284" s="9" t="s">
        <v>352</v>
      </c>
      <c r="G284" s="51" t="s">
        <v>754</v>
      </c>
      <c r="H284" s="24" t="s">
        <v>755</v>
      </c>
      <c r="I284" s="11" t="s">
        <v>756</v>
      </c>
      <c r="J284" s="139" t="s">
        <v>757</v>
      </c>
      <c r="K284" s="13">
        <v>43273</v>
      </c>
      <c r="L284" s="26">
        <v>43638</v>
      </c>
      <c r="M284" s="14">
        <f t="shared" si="295"/>
        <v>82.525439844084019</v>
      </c>
      <c r="N284" s="7" t="s">
        <v>354</v>
      </c>
      <c r="O284" s="7" t="s">
        <v>342</v>
      </c>
      <c r="P284" s="7" t="s">
        <v>342</v>
      </c>
      <c r="Q284" s="15" t="s">
        <v>356</v>
      </c>
      <c r="R284" s="7" t="s">
        <v>36</v>
      </c>
      <c r="S284" s="16">
        <f t="shared" si="288"/>
        <v>815706.04</v>
      </c>
      <c r="T284" s="16">
        <v>657795.85</v>
      </c>
      <c r="U284" s="16">
        <v>157910.19</v>
      </c>
      <c r="V284" s="16">
        <f t="shared" si="289"/>
        <v>134706.16</v>
      </c>
      <c r="W284" s="16">
        <v>100520.65</v>
      </c>
      <c r="X284" s="16">
        <v>34185.51</v>
      </c>
      <c r="Y284" s="16">
        <f t="shared" si="294"/>
        <v>20853.009999999998</v>
      </c>
      <c r="Z284" s="16">
        <v>15560.97</v>
      </c>
      <c r="AA284" s="16">
        <v>5292.04</v>
      </c>
      <c r="AB284" s="16">
        <f t="shared" si="296"/>
        <v>17164.59</v>
      </c>
      <c r="AC284" s="16">
        <v>13676.27</v>
      </c>
      <c r="AD284" s="16">
        <v>3488.32</v>
      </c>
      <c r="AE284" s="16">
        <f t="shared" si="292"/>
        <v>988429.8</v>
      </c>
      <c r="AF284" s="16"/>
      <c r="AG284" s="16">
        <f t="shared" si="293"/>
        <v>988429.8</v>
      </c>
      <c r="AH284" s="20" t="s">
        <v>615</v>
      </c>
      <c r="AI284" s="21" t="s">
        <v>185</v>
      </c>
      <c r="AJ284" s="23">
        <f>85822.98+78186.5</f>
        <v>164009.47999999998</v>
      </c>
      <c r="AK284" s="23">
        <v>14910.56</v>
      </c>
    </row>
    <row r="285" spans="1:37" s="165" customFormat="1" ht="409.5" x14ac:dyDescent="0.25">
      <c r="A285" s="7">
        <v>279</v>
      </c>
      <c r="B285" s="7">
        <v>112427</v>
      </c>
      <c r="C285" s="11">
        <v>367</v>
      </c>
      <c r="D285" s="7" t="s">
        <v>1351</v>
      </c>
      <c r="E285" s="11" t="s">
        <v>165</v>
      </c>
      <c r="F285" s="9" t="s">
        <v>352</v>
      </c>
      <c r="G285" s="51" t="s">
        <v>761</v>
      </c>
      <c r="H285" s="24" t="s">
        <v>762</v>
      </c>
      <c r="I285" s="11" t="s">
        <v>764</v>
      </c>
      <c r="J285" s="138" t="s">
        <v>763</v>
      </c>
      <c r="K285" s="13">
        <v>43290</v>
      </c>
      <c r="L285" s="26">
        <v>43778</v>
      </c>
      <c r="M285" s="14">
        <f t="shared" si="295"/>
        <v>82.304189883139372</v>
      </c>
      <c r="N285" s="7" t="s">
        <v>354</v>
      </c>
      <c r="O285" s="7" t="s">
        <v>342</v>
      </c>
      <c r="P285" s="7" t="s">
        <v>342</v>
      </c>
      <c r="Q285" s="15" t="s">
        <v>356</v>
      </c>
      <c r="R285" s="7" t="s">
        <v>36</v>
      </c>
      <c r="S285" s="16">
        <f t="shared" si="288"/>
        <v>785233.14</v>
      </c>
      <c r="T285" s="16">
        <v>633222.11</v>
      </c>
      <c r="U285" s="16">
        <v>152011.03</v>
      </c>
      <c r="V285" s="16">
        <f t="shared" si="289"/>
        <v>149747.75</v>
      </c>
      <c r="W285" s="16">
        <v>111745.03</v>
      </c>
      <c r="X285" s="16">
        <v>38002.720000000001</v>
      </c>
      <c r="Y285" s="16">
        <f t="shared" si="294"/>
        <v>0</v>
      </c>
      <c r="Z285" s="16">
        <v>0</v>
      </c>
      <c r="AA285" s="16">
        <v>0</v>
      </c>
      <c r="AB285" s="16">
        <f t="shared" si="296"/>
        <v>19081.28</v>
      </c>
      <c r="AC285" s="16">
        <v>15203.43</v>
      </c>
      <c r="AD285" s="16">
        <v>3877.85</v>
      </c>
      <c r="AE285" s="16">
        <f t="shared" si="292"/>
        <v>954062.17</v>
      </c>
      <c r="AF285" s="16">
        <v>0</v>
      </c>
      <c r="AG285" s="16">
        <f t="shared" si="293"/>
        <v>954062.17</v>
      </c>
      <c r="AH285" s="20" t="s">
        <v>615</v>
      </c>
      <c r="AI285" s="21" t="s">
        <v>185</v>
      </c>
      <c r="AJ285" s="23">
        <f>57915.69+124630.09-868.64+54803.2+81029.88</f>
        <v>317510.21999999997</v>
      </c>
      <c r="AK285" s="23">
        <f>16617.93+10285.59+15452.81</f>
        <v>42356.33</v>
      </c>
    </row>
    <row r="286" spans="1:37" s="165" customFormat="1" ht="141.75" x14ac:dyDescent="0.25">
      <c r="A286" s="7">
        <v>280</v>
      </c>
      <c r="B286" s="7">
        <v>112409</v>
      </c>
      <c r="C286" s="11">
        <v>150</v>
      </c>
      <c r="D286" s="7" t="s">
        <v>1351</v>
      </c>
      <c r="E286" s="11" t="s">
        <v>165</v>
      </c>
      <c r="F286" s="9" t="s">
        <v>352</v>
      </c>
      <c r="G286" s="51" t="s">
        <v>765</v>
      </c>
      <c r="H286" s="24" t="s">
        <v>766</v>
      </c>
      <c r="I286" s="11" t="s">
        <v>384</v>
      </c>
      <c r="J286" s="138" t="s">
        <v>767</v>
      </c>
      <c r="K286" s="13">
        <v>43291</v>
      </c>
      <c r="L286" s="26">
        <v>43778</v>
      </c>
      <c r="M286" s="14">
        <f t="shared" si="295"/>
        <v>82.304188969946821</v>
      </c>
      <c r="N286" s="7" t="s">
        <v>354</v>
      </c>
      <c r="O286" s="7" t="s">
        <v>458</v>
      </c>
      <c r="P286" s="7" t="s">
        <v>334</v>
      </c>
      <c r="Q286" s="15" t="s">
        <v>356</v>
      </c>
      <c r="R286" s="7" t="s">
        <v>36</v>
      </c>
      <c r="S286" s="16">
        <f t="shared" si="288"/>
        <v>780523.20000000007</v>
      </c>
      <c r="T286" s="16">
        <v>629423.91</v>
      </c>
      <c r="U286" s="16">
        <v>151099.29</v>
      </c>
      <c r="V286" s="16">
        <f t="shared" si="289"/>
        <v>148849.57</v>
      </c>
      <c r="W286" s="16">
        <v>111074.8</v>
      </c>
      <c r="X286" s="16">
        <v>37774.769999999997</v>
      </c>
      <c r="Y286" s="16">
        <f t="shared" si="294"/>
        <v>0</v>
      </c>
      <c r="Z286" s="16"/>
      <c r="AA286" s="16"/>
      <c r="AB286" s="16">
        <f t="shared" si="296"/>
        <v>18966.810000000001</v>
      </c>
      <c r="AC286" s="16">
        <v>15112.25</v>
      </c>
      <c r="AD286" s="16">
        <v>3854.56</v>
      </c>
      <c r="AE286" s="16">
        <f t="shared" si="292"/>
        <v>948339.58000000007</v>
      </c>
      <c r="AF286" s="16">
        <v>0</v>
      </c>
      <c r="AG286" s="16">
        <f t="shared" si="293"/>
        <v>948339.58000000007</v>
      </c>
      <c r="AH286" s="20" t="s">
        <v>615</v>
      </c>
      <c r="AI286" s="21" t="s">
        <v>185</v>
      </c>
      <c r="AJ286" s="23">
        <f>94833+71891.83-13619.36+85035.24+67213.99</f>
        <v>305354.7</v>
      </c>
      <c r="AK286" s="23">
        <f>13710.12+13619.36+12818.03</f>
        <v>40147.51</v>
      </c>
    </row>
    <row r="287" spans="1:37" s="165" customFormat="1" ht="141.75" x14ac:dyDescent="0.25">
      <c r="A287" s="7">
        <v>281</v>
      </c>
      <c r="B287" s="7">
        <v>112861</v>
      </c>
      <c r="C287" s="11">
        <v>324</v>
      </c>
      <c r="D287" s="7" t="s">
        <v>168</v>
      </c>
      <c r="E287" s="11" t="s">
        <v>165</v>
      </c>
      <c r="F287" s="9" t="s">
        <v>352</v>
      </c>
      <c r="G287" s="47" t="s">
        <v>768</v>
      </c>
      <c r="H287" s="24" t="s">
        <v>769</v>
      </c>
      <c r="I287" s="11" t="s">
        <v>384</v>
      </c>
      <c r="J287" s="34" t="s">
        <v>770</v>
      </c>
      <c r="K287" s="13">
        <v>43290</v>
      </c>
      <c r="L287" s="26">
        <v>43777</v>
      </c>
      <c r="M287" s="14">
        <f t="shared" si="295"/>
        <v>82.304190691615503</v>
      </c>
      <c r="N287" s="7" t="s">
        <v>354</v>
      </c>
      <c r="O287" s="7" t="s">
        <v>156</v>
      </c>
      <c r="P287" s="7" t="s">
        <v>156</v>
      </c>
      <c r="Q287" s="15"/>
      <c r="R287" s="7" t="s">
        <v>36</v>
      </c>
      <c r="S287" s="16">
        <f t="shared" si="288"/>
        <v>649951.84000000008</v>
      </c>
      <c r="T287" s="16">
        <v>524129.52</v>
      </c>
      <c r="U287" s="16">
        <v>125822.32</v>
      </c>
      <c r="V287" s="16">
        <f t="shared" si="289"/>
        <v>123949</v>
      </c>
      <c r="W287" s="16">
        <v>92493.43</v>
      </c>
      <c r="X287" s="16">
        <v>31455.57</v>
      </c>
      <c r="Y287" s="16">
        <f t="shared" si="294"/>
        <v>0</v>
      </c>
      <c r="Z287" s="16"/>
      <c r="AA287" s="16"/>
      <c r="AB287" s="16">
        <f>AC287+AD287</f>
        <v>15793.869999999999</v>
      </c>
      <c r="AC287" s="16">
        <v>12584.14</v>
      </c>
      <c r="AD287" s="16">
        <v>3209.73</v>
      </c>
      <c r="AE287" s="16">
        <f t="shared" si="292"/>
        <v>789694.71000000008</v>
      </c>
      <c r="AF287" s="16">
        <v>0</v>
      </c>
      <c r="AG287" s="16">
        <f t="shared" si="293"/>
        <v>789694.71000000008</v>
      </c>
      <c r="AH287" s="20" t="s">
        <v>615</v>
      </c>
      <c r="AI287" s="21" t="s">
        <v>1184</v>
      </c>
      <c r="AJ287" s="23">
        <f>78969.47+33506.04+30781.72+5848.53</f>
        <v>149105.76</v>
      </c>
      <c r="AK287" s="23">
        <f>6389.76+5870.23+1115.34</f>
        <v>13375.33</v>
      </c>
    </row>
    <row r="288" spans="1:37" s="165" customFormat="1" ht="173.25" x14ac:dyDescent="0.25">
      <c r="A288" s="7">
        <v>282</v>
      </c>
      <c r="B288" s="7">
        <v>110709</v>
      </c>
      <c r="C288" s="11">
        <v>313</v>
      </c>
      <c r="D288" s="7" t="s">
        <v>168</v>
      </c>
      <c r="E288" s="11" t="s">
        <v>165</v>
      </c>
      <c r="F288" s="9" t="s">
        <v>352</v>
      </c>
      <c r="G288" s="47" t="s">
        <v>771</v>
      </c>
      <c r="H288" s="24" t="s">
        <v>772</v>
      </c>
      <c r="I288" s="11" t="s">
        <v>384</v>
      </c>
      <c r="J288" s="34" t="s">
        <v>773</v>
      </c>
      <c r="K288" s="13">
        <v>43291</v>
      </c>
      <c r="L288" s="26">
        <v>43779</v>
      </c>
      <c r="M288" s="14">
        <f t="shared" si="295"/>
        <v>82.304183081659716</v>
      </c>
      <c r="N288" s="7" t="s">
        <v>354</v>
      </c>
      <c r="O288" s="7" t="s">
        <v>156</v>
      </c>
      <c r="P288" s="7" t="s">
        <v>156</v>
      </c>
      <c r="Q288" s="15"/>
      <c r="R288" s="7" t="s">
        <v>36</v>
      </c>
      <c r="S288" s="16">
        <f t="shared" si="288"/>
        <v>821857.62999999989</v>
      </c>
      <c r="T288" s="16">
        <v>662756.56999999995</v>
      </c>
      <c r="U288" s="16">
        <v>159101.06</v>
      </c>
      <c r="V288" s="16">
        <f t="shared" si="289"/>
        <v>156732.34</v>
      </c>
      <c r="W288" s="16">
        <v>116957.1</v>
      </c>
      <c r="X288" s="16">
        <v>39775.24</v>
      </c>
      <c r="Y288" s="16">
        <f t="shared" si="294"/>
        <v>0</v>
      </c>
      <c r="Z288" s="16"/>
      <c r="AA288" s="16"/>
      <c r="AB288" s="16">
        <f t="shared" si="296"/>
        <v>19971.22</v>
      </c>
      <c r="AC288" s="16">
        <v>15912.5</v>
      </c>
      <c r="AD288" s="16">
        <v>4058.72</v>
      </c>
      <c r="AE288" s="16">
        <f t="shared" si="292"/>
        <v>998561.18999999983</v>
      </c>
      <c r="AF288" s="16">
        <v>576</v>
      </c>
      <c r="AG288" s="16">
        <f>AE288+AF288</f>
        <v>999137.18999999983</v>
      </c>
      <c r="AH288" s="20" t="s">
        <v>615</v>
      </c>
      <c r="AI288" s="21" t="s">
        <v>185</v>
      </c>
      <c r="AJ288" s="23">
        <f>99856.11-15338.74+81959.76+84034.35-9577.08+99856</f>
        <v>340790.4</v>
      </c>
      <c r="AK288" s="23">
        <f>15338.74+13810.74+2195.85+14602.08</f>
        <v>45947.409999999996</v>
      </c>
    </row>
    <row r="289" spans="1:37" s="165" customFormat="1" ht="362.25" x14ac:dyDescent="0.25">
      <c r="A289" s="7">
        <v>283</v>
      </c>
      <c r="B289" s="7">
        <v>113039</v>
      </c>
      <c r="C289" s="11">
        <v>200</v>
      </c>
      <c r="D289" s="7" t="s">
        <v>172</v>
      </c>
      <c r="E289" s="11" t="s">
        <v>165</v>
      </c>
      <c r="F289" s="9" t="s">
        <v>352</v>
      </c>
      <c r="G289" s="9" t="s">
        <v>780</v>
      </c>
      <c r="H289" s="206" t="s">
        <v>781</v>
      </c>
      <c r="I289" s="11" t="s">
        <v>384</v>
      </c>
      <c r="J289" s="138" t="s">
        <v>782</v>
      </c>
      <c r="K289" s="13">
        <v>43291</v>
      </c>
      <c r="L289" s="26">
        <v>43779</v>
      </c>
      <c r="M289" s="14">
        <f>S289/AE289*100</f>
        <v>82.30418382046426</v>
      </c>
      <c r="N289" s="7" t="s">
        <v>354</v>
      </c>
      <c r="O289" s="7" t="s">
        <v>305</v>
      </c>
      <c r="P289" s="7" t="s">
        <v>783</v>
      </c>
      <c r="Q289" s="15" t="s">
        <v>356</v>
      </c>
      <c r="R289" s="7" t="s">
        <v>36</v>
      </c>
      <c r="S289" s="16">
        <f t="shared" si="288"/>
        <v>812437.94000000006</v>
      </c>
      <c r="T289" s="16">
        <v>655160.41</v>
      </c>
      <c r="U289" s="16">
        <v>157277.53</v>
      </c>
      <c r="V289" s="16">
        <f t="shared" si="289"/>
        <v>154935.91999999998</v>
      </c>
      <c r="W289" s="16">
        <v>115616.54</v>
      </c>
      <c r="X289" s="16">
        <v>39319.379999999997</v>
      </c>
      <c r="Y289" s="16">
        <f t="shared" si="294"/>
        <v>0</v>
      </c>
      <c r="Z289" s="16">
        <v>0</v>
      </c>
      <c r="AA289" s="16">
        <v>0</v>
      </c>
      <c r="AB289" s="16">
        <f t="shared" si="296"/>
        <v>19742.349999999999</v>
      </c>
      <c r="AC289" s="16">
        <v>15730.16</v>
      </c>
      <c r="AD289" s="16">
        <v>4012.19</v>
      </c>
      <c r="AE289" s="16">
        <f t="shared" si="292"/>
        <v>987116.21000000008</v>
      </c>
      <c r="AF289" s="16">
        <v>0</v>
      </c>
      <c r="AG289" s="16">
        <f t="shared" si="293"/>
        <v>987116.21000000008</v>
      </c>
      <c r="AH289" s="20" t="s">
        <v>615</v>
      </c>
      <c r="AI289" s="21" t="s">
        <v>185</v>
      </c>
      <c r="AJ289" s="23">
        <f>98711.62+82894.54-376.83+73798.02</f>
        <v>255027.34999999998</v>
      </c>
      <c r="AK289" s="23">
        <f>15808.4+376.83+15333.49</f>
        <v>31518.720000000001</v>
      </c>
    </row>
    <row r="290" spans="1:37" s="165" customFormat="1" ht="141.75" x14ac:dyDescent="0.25">
      <c r="A290" s="7">
        <v>284</v>
      </c>
      <c r="B290" s="7">
        <v>113125</v>
      </c>
      <c r="C290" s="11">
        <v>230</v>
      </c>
      <c r="D290" s="7" t="s">
        <v>170</v>
      </c>
      <c r="E290" s="11" t="s">
        <v>165</v>
      </c>
      <c r="F290" s="9" t="s">
        <v>352</v>
      </c>
      <c r="G290" s="47" t="s">
        <v>790</v>
      </c>
      <c r="H290" s="24" t="s">
        <v>791</v>
      </c>
      <c r="I290" s="11" t="s">
        <v>384</v>
      </c>
      <c r="J290" s="7" t="s">
        <v>792</v>
      </c>
      <c r="K290" s="13">
        <v>43291</v>
      </c>
      <c r="L290" s="26">
        <v>43718</v>
      </c>
      <c r="M290" s="14">
        <f t="shared" si="295"/>
        <v>82.304188716846156</v>
      </c>
      <c r="N290" s="7" t="s">
        <v>354</v>
      </c>
      <c r="O290" s="7" t="s">
        <v>342</v>
      </c>
      <c r="P290" s="7" t="s">
        <v>342</v>
      </c>
      <c r="Q290" s="15" t="s">
        <v>356</v>
      </c>
      <c r="R290" s="7" t="s">
        <v>36</v>
      </c>
      <c r="S290" s="16">
        <f t="shared" si="288"/>
        <v>736342.77</v>
      </c>
      <c r="T290" s="16">
        <v>593796.28</v>
      </c>
      <c r="U290" s="16">
        <v>142546.49</v>
      </c>
      <c r="V290" s="16">
        <f t="shared" si="289"/>
        <v>140424.16999999998</v>
      </c>
      <c r="W290" s="16">
        <v>104787.58</v>
      </c>
      <c r="X290" s="16">
        <v>35636.589999999997</v>
      </c>
      <c r="Y290" s="16">
        <f t="shared" si="294"/>
        <v>0</v>
      </c>
      <c r="Z290" s="16"/>
      <c r="AA290" s="16"/>
      <c r="AB290" s="16">
        <f t="shared" si="296"/>
        <v>17893.2</v>
      </c>
      <c r="AC290" s="16">
        <v>14256.8</v>
      </c>
      <c r="AD290" s="16">
        <v>3636.4</v>
      </c>
      <c r="AE290" s="16">
        <f t="shared" si="292"/>
        <v>894660.1399999999</v>
      </c>
      <c r="AF290" s="16">
        <v>0</v>
      </c>
      <c r="AG290" s="16">
        <f t="shared" si="293"/>
        <v>894660.1399999999</v>
      </c>
      <c r="AH290" s="20" t="s">
        <v>615</v>
      </c>
      <c r="AI290" s="21" t="s">
        <v>451</v>
      </c>
      <c r="AJ290" s="23">
        <f>89466-9346.06+57163.11</f>
        <v>137283.04999999999</v>
      </c>
      <c r="AK290" s="23">
        <v>9346.06</v>
      </c>
    </row>
    <row r="291" spans="1:37" s="165" customFormat="1" ht="157.5" x14ac:dyDescent="0.25">
      <c r="A291" s="7">
        <v>285</v>
      </c>
      <c r="B291" s="7">
        <v>112435</v>
      </c>
      <c r="C291" s="11">
        <v>323</v>
      </c>
      <c r="D291" s="7" t="s">
        <v>168</v>
      </c>
      <c r="E291" s="11" t="s">
        <v>165</v>
      </c>
      <c r="F291" s="9" t="s">
        <v>352</v>
      </c>
      <c r="G291" s="47" t="s">
        <v>793</v>
      </c>
      <c r="H291" s="24" t="s">
        <v>794</v>
      </c>
      <c r="I291" s="11" t="s">
        <v>795</v>
      </c>
      <c r="J291" s="138" t="s">
        <v>796</v>
      </c>
      <c r="K291" s="13">
        <v>43292</v>
      </c>
      <c r="L291" s="26">
        <v>43656</v>
      </c>
      <c r="M291" s="14">
        <f t="shared" si="295"/>
        <v>82.304182891954625</v>
      </c>
      <c r="N291" s="7" t="s">
        <v>354</v>
      </c>
      <c r="O291" s="7" t="s">
        <v>364</v>
      </c>
      <c r="P291" s="7" t="s">
        <v>364</v>
      </c>
      <c r="Q291" s="15" t="s">
        <v>356</v>
      </c>
      <c r="R291" s="7" t="s">
        <v>36</v>
      </c>
      <c r="S291" s="16">
        <f t="shared" si="288"/>
        <v>815316.89</v>
      </c>
      <c r="T291" s="16">
        <v>657481.98</v>
      </c>
      <c r="U291" s="16">
        <v>157834.91</v>
      </c>
      <c r="V291" s="16">
        <f t="shared" si="289"/>
        <v>155484.97999999998</v>
      </c>
      <c r="W291" s="16">
        <v>116026.31</v>
      </c>
      <c r="X291" s="16">
        <v>39458.67</v>
      </c>
      <c r="Y291" s="16">
        <f t="shared" si="294"/>
        <v>0</v>
      </c>
      <c r="Z291" s="16"/>
      <c r="AA291" s="16"/>
      <c r="AB291" s="16">
        <f t="shared" si="296"/>
        <v>19812.29</v>
      </c>
      <c r="AC291" s="16">
        <v>15785.9</v>
      </c>
      <c r="AD291" s="16">
        <v>4026.39</v>
      </c>
      <c r="AE291" s="16">
        <f t="shared" si="292"/>
        <v>990614.16</v>
      </c>
      <c r="AF291" s="16"/>
      <c r="AG291" s="16">
        <f t="shared" si="293"/>
        <v>990614.16</v>
      </c>
      <c r="AH291" s="20" t="s">
        <v>615</v>
      </c>
      <c r="AI291" s="21" t="s">
        <v>185</v>
      </c>
      <c r="AJ291" s="23">
        <f>181405.8+121986.95+126239.9</f>
        <v>429632.65</v>
      </c>
      <c r="AK291" s="23">
        <f>15703.63+42154.87+5183.15</f>
        <v>63041.65</v>
      </c>
    </row>
    <row r="292" spans="1:37" s="165" customFormat="1" ht="141.75" x14ac:dyDescent="0.25">
      <c r="A292" s="7">
        <v>286</v>
      </c>
      <c r="B292" s="7">
        <v>110839</v>
      </c>
      <c r="C292" s="11">
        <v>306</v>
      </c>
      <c r="D292" s="7" t="s">
        <v>168</v>
      </c>
      <c r="E292" s="11" t="s">
        <v>165</v>
      </c>
      <c r="F292" s="9" t="s">
        <v>352</v>
      </c>
      <c r="G292" s="47" t="s">
        <v>797</v>
      </c>
      <c r="H292" s="24" t="s">
        <v>798</v>
      </c>
      <c r="I292" s="11" t="s">
        <v>800</v>
      </c>
      <c r="J292" s="10" t="s">
        <v>799</v>
      </c>
      <c r="K292" s="13">
        <v>43292</v>
      </c>
      <c r="L292" s="26">
        <v>43779</v>
      </c>
      <c r="M292" s="14">
        <f t="shared" si="295"/>
        <v>82.304186604752402</v>
      </c>
      <c r="N292" s="7" t="s">
        <v>354</v>
      </c>
      <c r="O292" s="7" t="s">
        <v>801</v>
      </c>
      <c r="P292" s="7" t="s">
        <v>801</v>
      </c>
      <c r="Q292" s="15" t="s">
        <v>356</v>
      </c>
      <c r="R292" s="7" t="s">
        <v>36</v>
      </c>
      <c r="S292" s="16">
        <f t="shared" si="288"/>
        <v>800537.35</v>
      </c>
      <c r="T292" s="16">
        <v>645563.62</v>
      </c>
      <c r="U292" s="16">
        <v>154973.73000000001</v>
      </c>
      <c r="V292" s="16">
        <f t="shared" si="289"/>
        <v>152666.38</v>
      </c>
      <c r="W292" s="16">
        <v>113922.98</v>
      </c>
      <c r="X292" s="16">
        <v>38743.4</v>
      </c>
      <c r="Y292" s="16">
        <f t="shared" si="294"/>
        <v>0</v>
      </c>
      <c r="Z292" s="16"/>
      <c r="AA292" s="16"/>
      <c r="AB292" s="16">
        <f t="shared" si="296"/>
        <v>19453.169999999998</v>
      </c>
      <c r="AC292" s="16">
        <v>15499.74</v>
      </c>
      <c r="AD292" s="16">
        <v>3953.43</v>
      </c>
      <c r="AE292" s="16">
        <f t="shared" si="292"/>
        <v>972656.9</v>
      </c>
      <c r="AF292" s="16"/>
      <c r="AG292" s="16">
        <f t="shared" si="293"/>
        <v>972656.9</v>
      </c>
      <c r="AH292" s="20" t="s">
        <v>615</v>
      </c>
      <c r="AI292" s="21" t="s">
        <v>185</v>
      </c>
      <c r="AJ292" s="23">
        <f>97265.68-4932.42-9631.06+90930.16+45566.01</f>
        <v>219198.37</v>
      </c>
      <c r="AK292" s="23">
        <f>4932.42+9631.06+27238.7</f>
        <v>41802.18</v>
      </c>
    </row>
    <row r="293" spans="1:37" s="165" customFormat="1" ht="141.75" x14ac:dyDescent="0.25">
      <c r="A293" s="7">
        <v>287</v>
      </c>
      <c r="B293" s="7">
        <v>115895</v>
      </c>
      <c r="C293" s="11">
        <v>389</v>
      </c>
      <c r="D293" s="7" t="s">
        <v>171</v>
      </c>
      <c r="E293" s="128" t="s">
        <v>165</v>
      </c>
      <c r="F293" s="129" t="s">
        <v>476</v>
      </c>
      <c r="G293" s="47" t="s">
        <v>806</v>
      </c>
      <c r="H293" s="24" t="s">
        <v>807</v>
      </c>
      <c r="I293" s="11" t="s">
        <v>808</v>
      </c>
      <c r="J293" s="138" t="s">
        <v>809</v>
      </c>
      <c r="K293" s="13">
        <v>43293</v>
      </c>
      <c r="L293" s="26">
        <v>44085</v>
      </c>
      <c r="M293" s="14">
        <f t="shared" si="295"/>
        <v>83.983862876254179</v>
      </c>
      <c r="N293" s="7" t="s">
        <v>354</v>
      </c>
      <c r="O293" s="7" t="s">
        <v>342</v>
      </c>
      <c r="P293" s="7" t="s">
        <v>342</v>
      </c>
      <c r="Q293" s="15" t="s">
        <v>157</v>
      </c>
      <c r="R293" s="7" t="s">
        <v>36</v>
      </c>
      <c r="S293" s="16">
        <f t="shared" si="288"/>
        <v>2511117.5</v>
      </c>
      <c r="T293" s="16">
        <v>2024997.5</v>
      </c>
      <c r="U293" s="16">
        <v>486120</v>
      </c>
      <c r="V293" s="16">
        <f t="shared" si="289"/>
        <v>0</v>
      </c>
      <c r="W293" s="16"/>
      <c r="X293" s="16"/>
      <c r="Y293" s="16">
        <f t="shared" si="294"/>
        <v>478882.5</v>
      </c>
      <c r="Z293" s="16">
        <v>357352.51</v>
      </c>
      <c r="AA293" s="16">
        <v>121529.99</v>
      </c>
      <c r="AB293" s="16">
        <f t="shared" si="296"/>
        <v>0</v>
      </c>
      <c r="AC293" s="16"/>
      <c r="AD293" s="16"/>
      <c r="AE293" s="16">
        <f t="shared" si="292"/>
        <v>2990000</v>
      </c>
      <c r="AF293" s="16">
        <v>0</v>
      </c>
      <c r="AG293" s="16">
        <f t="shared" si="293"/>
        <v>2990000</v>
      </c>
      <c r="AH293" s="20" t="s">
        <v>615</v>
      </c>
      <c r="AI293" s="21" t="s">
        <v>451</v>
      </c>
      <c r="AJ293" s="23">
        <v>22377.18</v>
      </c>
      <c r="AK293" s="23">
        <v>0</v>
      </c>
    </row>
    <row r="294" spans="1:37" s="165" customFormat="1" ht="267.75" x14ac:dyDescent="0.25">
      <c r="A294" s="7">
        <v>288</v>
      </c>
      <c r="B294" s="7">
        <v>111830</v>
      </c>
      <c r="C294" s="11">
        <v>377</v>
      </c>
      <c r="D294" s="7" t="s">
        <v>168</v>
      </c>
      <c r="E294" s="11" t="s">
        <v>1113</v>
      </c>
      <c r="F294" s="129" t="s">
        <v>665</v>
      </c>
      <c r="G294" s="47" t="s">
        <v>810</v>
      </c>
      <c r="H294" s="24" t="s">
        <v>811</v>
      </c>
      <c r="I294" s="11" t="s">
        <v>812</v>
      </c>
      <c r="J294" s="138" t="s">
        <v>813</v>
      </c>
      <c r="K294" s="13">
        <v>43297</v>
      </c>
      <c r="L294" s="26">
        <v>43785</v>
      </c>
      <c r="M294" s="14">
        <f t="shared" si="295"/>
        <v>83.143853391521404</v>
      </c>
      <c r="N294" s="7" t="s">
        <v>354</v>
      </c>
      <c r="O294" s="7" t="s">
        <v>342</v>
      </c>
      <c r="P294" s="7" t="s">
        <v>342</v>
      </c>
      <c r="Q294" s="15" t="s">
        <v>157</v>
      </c>
      <c r="R294" s="7" t="s">
        <v>36</v>
      </c>
      <c r="S294" s="16">
        <f t="shared" si="288"/>
        <v>5525318.4000000004</v>
      </c>
      <c r="T294" s="16">
        <v>4455687.92</v>
      </c>
      <c r="U294" s="16">
        <v>1069630.48</v>
      </c>
      <c r="V294" s="16">
        <f t="shared" si="289"/>
        <v>987264.15</v>
      </c>
      <c r="W294" s="16">
        <v>733359.16</v>
      </c>
      <c r="X294" s="16">
        <v>253904.99</v>
      </c>
      <c r="Y294" s="16">
        <f t="shared" si="294"/>
        <v>0</v>
      </c>
      <c r="Z294" s="16">
        <v>0</v>
      </c>
      <c r="AA294" s="16">
        <v>0</v>
      </c>
      <c r="AB294" s="16">
        <f t="shared" si="296"/>
        <v>132909.78</v>
      </c>
      <c r="AC294" s="16">
        <v>105898.92</v>
      </c>
      <c r="AD294" s="16">
        <v>27010.86</v>
      </c>
      <c r="AE294" s="16">
        <f t="shared" si="292"/>
        <v>6645492.330000001</v>
      </c>
      <c r="AF294" s="16">
        <v>0</v>
      </c>
      <c r="AG294" s="16">
        <f t="shared" si="293"/>
        <v>6645492.330000001</v>
      </c>
      <c r="AH294" s="20" t="s">
        <v>615</v>
      </c>
      <c r="AI294" s="21"/>
      <c r="AJ294" s="23">
        <f>548484.27-41743+295621.66+234985.63-55420.85+55420.85-13710.7+526395.38</f>
        <v>1550033.24</v>
      </c>
      <c r="AK294" s="23">
        <f>41743.03+36457.11+62913.45+29950.16</f>
        <v>171063.75</v>
      </c>
    </row>
    <row r="295" spans="1:37" s="165" customFormat="1" ht="204.75" x14ac:dyDescent="0.25">
      <c r="A295" s="7">
        <v>289</v>
      </c>
      <c r="B295" s="7">
        <v>115784</v>
      </c>
      <c r="C295" s="11">
        <v>388</v>
      </c>
      <c r="D295" s="7" t="s">
        <v>174</v>
      </c>
      <c r="E295" s="128" t="s">
        <v>165</v>
      </c>
      <c r="F295" s="129" t="s">
        <v>476</v>
      </c>
      <c r="G295" s="47" t="s">
        <v>814</v>
      </c>
      <c r="H295" s="24" t="s">
        <v>51</v>
      </c>
      <c r="I295" s="11" t="s">
        <v>380</v>
      </c>
      <c r="J295" s="138" t="s">
        <v>815</v>
      </c>
      <c r="K295" s="13">
        <v>43297</v>
      </c>
      <c r="L295" s="26">
        <v>44090</v>
      </c>
      <c r="M295" s="14">
        <f t="shared" si="295"/>
        <v>83.98386251542432</v>
      </c>
      <c r="N295" s="7" t="s">
        <v>354</v>
      </c>
      <c r="O295" s="7" t="s">
        <v>342</v>
      </c>
      <c r="P295" s="7" t="s">
        <v>342</v>
      </c>
      <c r="Q295" s="15" t="s">
        <v>157</v>
      </c>
      <c r="R295" s="7" t="s">
        <v>36</v>
      </c>
      <c r="S295" s="16">
        <f t="shared" ref="S295" si="297">T295+U295</f>
        <v>2474673.0699999998</v>
      </c>
      <c r="T295" s="16">
        <v>1995608.24</v>
      </c>
      <c r="U295" s="16">
        <v>479064.83</v>
      </c>
      <c r="V295" s="16">
        <f t="shared" ref="V295" si="298">W295+X295</f>
        <v>0</v>
      </c>
      <c r="W295" s="16"/>
      <c r="X295" s="16"/>
      <c r="Y295" s="16">
        <f t="shared" ref="Y295" si="299">Z295+AA295</f>
        <v>471932.38</v>
      </c>
      <c r="Z295" s="16">
        <v>352166.15</v>
      </c>
      <c r="AA295" s="16">
        <v>119766.23</v>
      </c>
      <c r="AB295" s="16">
        <f t="shared" ref="AB295" si="300">AC295+AD295</f>
        <v>0</v>
      </c>
      <c r="AC295" s="16"/>
      <c r="AD295" s="16"/>
      <c r="AE295" s="16">
        <f t="shared" ref="AE295" si="301">S295+V295+Y295+AB295</f>
        <v>2946605.4499999997</v>
      </c>
      <c r="AF295" s="16">
        <v>0</v>
      </c>
      <c r="AG295" s="16">
        <f t="shared" ref="AG295" si="302">AE295+AF295</f>
        <v>2946605.4499999997</v>
      </c>
      <c r="AH295" s="20" t="s">
        <v>615</v>
      </c>
      <c r="AI295" s="21" t="s">
        <v>451</v>
      </c>
      <c r="AJ295" s="23">
        <f>16075.53+34286.38</f>
        <v>50361.909999999996</v>
      </c>
      <c r="AK295" s="23">
        <v>0</v>
      </c>
    </row>
    <row r="296" spans="1:37" s="165" customFormat="1" ht="141.75" x14ac:dyDescent="0.25">
      <c r="A296" s="7">
        <v>290</v>
      </c>
      <c r="B296" s="7">
        <v>109927</v>
      </c>
      <c r="C296" s="11">
        <v>334</v>
      </c>
      <c r="D296" s="7" t="s">
        <v>170</v>
      </c>
      <c r="E296" s="11" t="s">
        <v>165</v>
      </c>
      <c r="F296" s="9" t="s">
        <v>352</v>
      </c>
      <c r="G296" s="47" t="s">
        <v>816</v>
      </c>
      <c r="H296" s="24" t="s">
        <v>817</v>
      </c>
      <c r="I296" s="11" t="s">
        <v>380</v>
      </c>
      <c r="J296" s="138" t="s">
        <v>818</v>
      </c>
      <c r="K296" s="13">
        <v>43297</v>
      </c>
      <c r="L296" s="26">
        <v>43785</v>
      </c>
      <c r="M296" s="14">
        <f t="shared" si="295"/>
        <v>82.304185890830638</v>
      </c>
      <c r="N296" s="7" t="s">
        <v>354</v>
      </c>
      <c r="O296" s="7" t="s">
        <v>342</v>
      </c>
      <c r="P296" s="7" t="s">
        <v>342</v>
      </c>
      <c r="Q296" s="15" t="s">
        <v>157</v>
      </c>
      <c r="R296" s="7" t="s">
        <v>36</v>
      </c>
      <c r="S296" s="16">
        <f t="shared" si="288"/>
        <v>793991.64999999991</v>
      </c>
      <c r="T296" s="16">
        <v>640285.07999999996</v>
      </c>
      <c r="U296" s="16">
        <v>153706.57</v>
      </c>
      <c r="V296" s="16">
        <f t="shared" si="289"/>
        <v>151418.12</v>
      </c>
      <c r="W296" s="16">
        <v>112991.49</v>
      </c>
      <c r="X296" s="16">
        <v>38426.629999999997</v>
      </c>
      <c r="Y296" s="16">
        <f t="shared" si="294"/>
        <v>0</v>
      </c>
      <c r="Z296" s="16"/>
      <c r="AA296" s="16"/>
      <c r="AB296" s="16">
        <f t="shared" si="296"/>
        <v>19294.080000000002</v>
      </c>
      <c r="AC296" s="16">
        <v>15373</v>
      </c>
      <c r="AD296" s="16">
        <v>3921.08</v>
      </c>
      <c r="AE296" s="16">
        <f t="shared" si="292"/>
        <v>964703.84999999986</v>
      </c>
      <c r="AF296" s="16">
        <v>0</v>
      </c>
      <c r="AG296" s="16">
        <f t="shared" si="293"/>
        <v>964703.84999999986</v>
      </c>
      <c r="AH296" s="20" t="s">
        <v>615</v>
      </c>
      <c r="AI296" s="21" t="s">
        <v>451</v>
      </c>
      <c r="AJ296" s="23">
        <f>96470.38-14469.9+90345.75-11972.92+74755.32</f>
        <v>235128.63</v>
      </c>
      <c r="AK296" s="23">
        <f>14469.9+11972.92</f>
        <v>26442.82</v>
      </c>
    </row>
    <row r="297" spans="1:37" s="165" customFormat="1" ht="141.75" x14ac:dyDescent="0.25">
      <c r="A297" s="7">
        <v>291</v>
      </c>
      <c r="B297" s="7">
        <v>111446</v>
      </c>
      <c r="C297" s="11">
        <v>161</v>
      </c>
      <c r="D297" s="7" t="s">
        <v>1351</v>
      </c>
      <c r="E297" s="11" t="s">
        <v>165</v>
      </c>
      <c r="F297" s="9" t="s">
        <v>352</v>
      </c>
      <c r="G297" s="47" t="s">
        <v>819</v>
      </c>
      <c r="H297" s="24" t="s">
        <v>820</v>
      </c>
      <c r="I297" s="11" t="s">
        <v>380</v>
      </c>
      <c r="J297" s="138" t="s">
        <v>821</v>
      </c>
      <c r="K297" s="13">
        <v>43297</v>
      </c>
      <c r="L297" s="26">
        <v>43785</v>
      </c>
      <c r="M297" s="14">
        <f t="shared" si="295"/>
        <v>82.304180439174772</v>
      </c>
      <c r="N297" s="7" t="s">
        <v>354</v>
      </c>
      <c r="O297" s="7" t="s">
        <v>342</v>
      </c>
      <c r="P297" s="7" t="s">
        <v>342</v>
      </c>
      <c r="Q297" s="15" t="s">
        <v>356</v>
      </c>
      <c r="R297" s="7" t="s">
        <v>36</v>
      </c>
      <c r="S297" s="16">
        <f t="shared" si="288"/>
        <v>820476.63</v>
      </c>
      <c r="T297" s="16">
        <v>661642.92000000004</v>
      </c>
      <c r="U297" s="16">
        <v>158833.71</v>
      </c>
      <c r="V297" s="16">
        <f t="shared" si="289"/>
        <v>156469</v>
      </c>
      <c r="W297" s="16">
        <v>116760.53</v>
      </c>
      <c r="X297" s="16">
        <v>39708.47</v>
      </c>
      <c r="Y297" s="16">
        <f t="shared" si="294"/>
        <v>0</v>
      </c>
      <c r="Z297" s="16"/>
      <c r="AA297" s="16"/>
      <c r="AB297" s="16">
        <f t="shared" si="296"/>
        <v>19937.669999999998</v>
      </c>
      <c r="AC297" s="16">
        <v>15885.81</v>
      </c>
      <c r="AD297" s="16">
        <v>4051.86</v>
      </c>
      <c r="AE297" s="16">
        <f t="shared" si="292"/>
        <v>996883.3</v>
      </c>
      <c r="AF297" s="16"/>
      <c r="AG297" s="16">
        <f t="shared" si="293"/>
        <v>996883.3</v>
      </c>
      <c r="AH297" s="20" t="s">
        <v>615</v>
      </c>
      <c r="AI297" s="21" t="s">
        <v>380</v>
      </c>
      <c r="AJ297" s="23">
        <f>172463.58+91295.09-2619.6+99688.33</f>
        <v>360827.39999999997</v>
      </c>
      <c r="AK297" s="23">
        <f>13878.6+17410.43+18511.49</f>
        <v>49800.520000000004</v>
      </c>
    </row>
    <row r="298" spans="1:37" s="165" customFormat="1" ht="141.75" x14ac:dyDescent="0.25">
      <c r="A298" s="7">
        <v>292</v>
      </c>
      <c r="B298" s="7">
        <v>111890</v>
      </c>
      <c r="C298" s="11">
        <v>249</v>
      </c>
      <c r="D298" s="7" t="s">
        <v>170</v>
      </c>
      <c r="E298" s="11" t="s">
        <v>165</v>
      </c>
      <c r="F298" s="9" t="s">
        <v>352</v>
      </c>
      <c r="G298" s="47" t="s">
        <v>843</v>
      </c>
      <c r="H298" s="24" t="s">
        <v>844</v>
      </c>
      <c r="I298" s="11" t="s">
        <v>845</v>
      </c>
      <c r="J298" s="140" t="s">
        <v>1424</v>
      </c>
      <c r="K298" s="13">
        <v>43301</v>
      </c>
      <c r="L298" s="26">
        <v>43789</v>
      </c>
      <c r="M298" s="14">
        <f t="shared" si="295"/>
        <v>82.304182965305657</v>
      </c>
      <c r="N298" s="7" t="s">
        <v>354</v>
      </c>
      <c r="O298" s="7" t="s">
        <v>846</v>
      </c>
      <c r="P298" s="7" t="s">
        <v>846</v>
      </c>
      <c r="Q298" s="15" t="s">
        <v>356</v>
      </c>
      <c r="R298" s="7" t="s">
        <v>36</v>
      </c>
      <c r="S298" s="16">
        <f t="shared" si="288"/>
        <v>729698.45</v>
      </c>
      <c r="T298" s="16">
        <v>588438.23</v>
      </c>
      <c r="U298" s="16">
        <v>141260.22</v>
      </c>
      <c r="V298" s="16">
        <f t="shared" si="289"/>
        <v>139157.12</v>
      </c>
      <c r="W298" s="16">
        <v>103842.05</v>
      </c>
      <c r="X298" s="16">
        <v>35315.07</v>
      </c>
      <c r="Y298" s="16">
        <f>Z298+AA298</f>
        <v>0</v>
      </c>
      <c r="Z298" s="16"/>
      <c r="AA298" s="16"/>
      <c r="AB298" s="16">
        <f>AC298+AD298</f>
        <v>17731.75</v>
      </c>
      <c r="AC298" s="16">
        <v>14128.18</v>
      </c>
      <c r="AD298" s="16">
        <v>3603.57</v>
      </c>
      <c r="AE298" s="16">
        <f t="shared" si="292"/>
        <v>886587.32</v>
      </c>
      <c r="AF298" s="16">
        <v>0</v>
      </c>
      <c r="AG298" s="16">
        <f t="shared" si="293"/>
        <v>886587.32</v>
      </c>
      <c r="AH298" s="20" t="s">
        <v>615</v>
      </c>
      <c r="AI298" s="21" t="s">
        <v>380</v>
      </c>
      <c r="AJ298" s="23">
        <f>88658.73-1983.5-12014.52+85545.1-10611.49</f>
        <v>149594.32</v>
      </c>
      <c r="AK298" s="23">
        <f>14022.63+14374.66</f>
        <v>28397.29</v>
      </c>
    </row>
    <row r="299" spans="1:37" s="165" customFormat="1" ht="236.25" x14ac:dyDescent="0.25">
      <c r="A299" s="7">
        <v>293</v>
      </c>
      <c r="B299" s="7">
        <v>119429</v>
      </c>
      <c r="C299" s="11">
        <v>472</v>
      </c>
      <c r="D299" s="7" t="s">
        <v>174</v>
      </c>
      <c r="E299" s="11" t="s">
        <v>1071</v>
      </c>
      <c r="F299" s="9" t="s">
        <v>574</v>
      </c>
      <c r="G299" s="24" t="s">
        <v>853</v>
      </c>
      <c r="H299" s="24" t="s">
        <v>1153</v>
      </c>
      <c r="I299" s="11" t="s">
        <v>451</v>
      </c>
      <c r="J299" s="138" t="s">
        <v>854</v>
      </c>
      <c r="K299" s="13">
        <v>43304</v>
      </c>
      <c r="L299" s="26">
        <v>43669</v>
      </c>
      <c r="M299" s="14">
        <f t="shared" si="295"/>
        <v>85.000001381242228</v>
      </c>
      <c r="N299" s="7">
        <v>6</v>
      </c>
      <c r="O299" s="7" t="s">
        <v>852</v>
      </c>
      <c r="P299" s="7" t="s">
        <v>851</v>
      </c>
      <c r="Q299" s="15" t="s">
        <v>213</v>
      </c>
      <c r="R299" s="7" t="s">
        <v>578</v>
      </c>
      <c r="S299" s="16">
        <f t="shared" si="288"/>
        <v>215385.83</v>
      </c>
      <c r="T299" s="16">
        <v>215385.83</v>
      </c>
      <c r="U299" s="16">
        <v>0</v>
      </c>
      <c r="V299" s="16">
        <f t="shared" si="289"/>
        <v>32941.35</v>
      </c>
      <c r="W299" s="16">
        <v>32941.35</v>
      </c>
      <c r="X299" s="16">
        <v>0</v>
      </c>
      <c r="Y299" s="16">
        <f t="shared" si="294"/>
        <v>5067.91</v>
      </c>
      <c r="Z299" s="16">
        <v>5067.91</v>
      </c>
      <c r="AA299" s="16">
        <v>0</v>
      </c>
      <c r="AB299" s="16">
        <f t="shared" si="296"/>
        <v>0</v>
      </c>
      <c r="AC299" s="16">
        <v>0</v>
      </c>
      <c r="AD299" s="16">
        <v>0</v>
      </c>
      <c r="AE299" s="16">
        <f t="shared" si="292"/>
        <v>253395.09</v>
      </c>
      <c r="AF299" s="16"/>
      <c r="AG299" s="16">
        <f t="shared" si="293"/>
        <v>253395.09</v>
      </c>
      <c r="AH299" s="20" t="s">
        <v>615</v>
      </c>
      <c r="AI299" s="21"/>
      <c r="AJ299" s="22">
        <f>9089.05+29577.7</f>
        <v>38666.75</v>
      </c>
      <c r="AK299" s="23">
        <f>1390.09+4523.64</f>
        <v>5913.7300000000005</v>
      </c>
    </row>
    <row r="300" spans="1:37" s="165" customFormat="1" ht="409.5" x14ac:dyDescent="0.25">
      <c r="A300" s="7">
        <v>294</v>
      </c>
      <c r="B300" s="7">
        <v>116294</v>
      </c>
      <c r="C300" s="11">
        <v>395</v>
      </c>
      <c r="D300" s="7" t="s">
        <v>176</v>
      </c>
      <c r="E300" s="128" t="s">
        <v>165</v>
      </c>
      <c r="F300" s="9" t="s">
        <v>476</v>
      </c>
      <c r="G300" s="24" t="s">
        <v>867</v>
      </c>
      <c r="H300" s="24" t="s">
        <v>866</v>
      </c>
      <c r="I300" s="11" t="s">
        <v>869</v>
      </c>
      <c r="J300" s="138" t="s">
        <v>868</v>
      </c>
      <c r="K300" s="13">
        <v>43307</v>
      </c>
      <c r="L300" s="26">
        <v>44100</v>
      </c>
      <c r="M300" s="14">
        <f t="shared" si="295"/>
        <v>83.983862768208695</v>
      </c>
      <c r="N300" s="7" t="s">
        <v>354</v>
      </c>
      <c r="O300" s="7" t="s">
        <v>156</v>
      </c>
      <c r="P300" s="7" t="s">
        <v>156</v>
      </c>
      <c r="Q300" s="15" t="s">
        <v>157</v>
      </c>
      <c r="R300" s="7" t="s">
        <v>36</v>
      </c>
      <c r="S300" s="16">
        <f t="shared" si="288"/>
        <v>10337095.59</v>
      </c>
      <c r="T300" s="16">
        <v>8335966.9800000004</v>
      </c>
      <c r="U300" s="16">
        <v>2001128.61</v>
      </c>
      <c r="V300" s="16">
        <f t="shared" si="289"/>
        <v>861007.51</v>
      </c>
      <c r="W300" s="16">
        <v>636291.80000000005</v>
      </c>
      <c r="X300" s="16">
        <v>224715.71</v>
      </c>
      <c r="Y300" s="16">
        <f t="shared" si="294"/>
        <v>1110327.6499999999</v>
      </c>
      <c r="Z300" s="16">
        <v>834761.2</v>
      </c>
      <c r="AA300" s="16">
        <v>275566.45</v>
      </c>
      <c r="AB300" s="16">
        <f t="shared" si="296"/>
        <v>0</v>
      </c>
      <c r="AC300" s="16">
        <v>0</v>
      </c>
      <c r="AD300" s="16">
        <v>0</v>
      </c>
      <c r="AE300" s="16">
        <f t="shared" si="292"/>
        <v>12308430.75</v>
      </c>
      <c r="AF300" s="16"/>
      <c r="AG300" s="16">
        <f t="shared" si="293"/>
        <v>12308430.75</v>
      </c>
      <c r="AH300" s="20" t="s">
        <v>615</v>
      </c>
      <c r="AI300" s="21"/>
      <c r="AJ300" s="23">
        <f>310000+64383.69</f>
        <v>374383.69</v>
      </c>
      <c r="AK300" s="23">
        <v>10763.54</v>
      </c>
    </row>
    <row r="301" spans="1:37" s="165" customFormat="1" ht="204.75" x14ac:dyDescent="0.25">
      <c r="A301" s="7">
        <v>295</v>
      </c>
      <c r="B301" s="7">
        <v>113123</v>
      </c>
      <c r="C301" s="11">
        <v>217</v>
      </c>
      <c r="D301" s="7" t="s">
        <v>172</v>
      </c>
      <c r="E301" s="11" t="s">
        <v>165</v>
      </c>
      <c r="F301" s="9" t="s">
        <v>352</v>
      </c>
      <c r="G301" s="24" t="s">
        <v>877</v>
      </c>
      <c r="H301" s="24" t="s">
        <v>878</v>
      </c>
      <c r="I301" s="11" t="s">
        <v>451</v>
      </c>
      <c r="J301" s="138" t="s">
        <v>879</v>
      </c>
      <c r="K301" s="13">
        <v>43312</v>
      </c>
      <c r="L301" s="13">
        <v>43799</v>
      </c>
      <c r="M301" s="14">
        <f t="shared" si="295"/>
        <v>82.304190953691275</v>
      </c>
      <c r="N301" s="7" t="s">
        <v>354</v>
      </c>
      <c r="O301" s="7" t="s">
        <v>156</v>
      </c>
      <c r="P301" s="7" t="s">
        <v>156</v>
      </c>
      <c r="Q301" s="15" t="s">
        <v>356</v>
      </c>
      <c r="R301" s="7" t="s">
        <v>36</v>
      </c>
      <c r="S301" s="16">
        <f t="shared" si="288"/>
        <v>500543.25</v>
      </c>
      <c r="T301" s="16">
        <v>403644.51</v>
      </c>
      <c r="U301" s="16">
        <v>96898.74</v>
      </c>
      <c r="V301" s="16">
        <f t="shared" si="289"/>
        <v>95456.04</v>
      </c>
      <c r="W301" s="16">
        <v>71231.399999999994</v>
      </c>
      <c r="X301" s="16">
        <v>24224.639999999999</v>
      </c>
      <c r="Y301" s="16">
        <f t="shared" si="294"/>
        <v>0</v>
      </c>
      <c r="Z301" s="16">
        <v>0</v>
      </c>
      <c r="AA301" s="16">
        <v>0</v>
      </c>
      <c r="AB301" s="16">
        <f t="shared" si="296"/>
        <v>12163.24</v>
      </c>
      <c r="AC301" s="16">
        <v>9691.31</v>
      </c>
      <c r="AD301" s="16">
        <v>2471.9299999999998</v>
      </c>
      <c r="AE301" s="16">
        <f t="shared" si="292"/>
        <v>608162.53</v>
      </c>
      <c r="AF301" s="16"/>
      <c r="AG301" s="16">
        <f t="shared" si="293"/>
        <v>608162.53</v>
      </c>
      <c r="AH301" s="20" t="s">
        <v>615</v>
      </c>
      <c r="AI301" s="21" t="s">
        <v>1412</v>
      </c>
      <c r="AJ301" s="23">
        <f>61292.27-7748.65+48380.24+48897.57-0.12</f>
        <v>150821.31</v>
      </c>
      <c r="AK301" s="23">
        <f>7748.65+9425.87+0.12</f>
        <v>17174.64</v>
      </c>
    </row>
    <row r="302" spans="1:37" s="165" customFormat="1" ht="141.75" x14ac:dyDescent="0.25">
      <c r="A302" s="7">
        <v>296</v>
      </c>
      <c r="B302" s="7">
        <v>112769</v>
      </c>
      <c r="C302" s="11">
        <v>154</v>
      </c>
      <c r="D302" s="7" t="s">
        <v>1351</v>
      </c>
      <c r="E302" s="11" t="s">
        <v>165</v>
      </c>
      <c r="F302" s="9" t="s">
        <v>352</v>
      </c>
      <c r="G302" s="24" t="s">
        <v>892</v>
      </c>
      <c r="H302" s="24" t="s">
        <v>893</v>
      </c>
      <c r="I302" s="11" t="s">
        <v>894</v>
      </c>
      <c r="J302" s="138" t="s">
        <v>895</v>
      </c>
      <c r="K302" s="13">
        <v>43312</v>
      </c>
      <c r="L302" s="26">
        <v>43738</v>
      </c>
      <c r="M302" s="14">
        <f t="shared" si="295"/>
        <v>82.304193908401487</v>
      </c>
      <c r="N302" s="7" t="s">
        <v>354</v>
      </c>
      <c r="O302" s="7" t="s">
        <v>156</v>
      </c>
      <c r="P302" s="7" t="s">
        <v>156</v>
      </c>
      <c r="Q302" s="15" t="s">
        <v>356</v>
      </c>
      <c r="R302" s="7" t="s">
        <v>36</v>
      </c>
      <c r="S302" s="16">
        <f t="shared" si="288"/>
        <v>810553.29</v>
      </c>
      <c r="T302" s="16">
        <v>653640.61</v>
      </c>
      <c r="U302" s="16">
        <v>156912.68</v>
      </c>
      <c r="V302" s="16">
        <f t="shared" si="289"/>
        <v>154576.41999999998</v>
      </c>
      <c r="W302" s="16">
        <v>115348.29</v>
      </c>
      <c r="X302" s="16">
        <v>39228.129999999997</v>
      </c>
      <c r="Y302" s="16">
        <f t="shared" si="294"/>
        <v>0</v>
      </c>
      <c r="Z302" s="16"/>
      <c r="AA302" s="16"/>
      <c r="AB302" s="16">
        <f t="shared" si="296"/>
        <v>19696.52</v>
      </c>
      <c r="AC302" s="16">
        <v>15693.62</v>
      </c>
      <c r="AD302" s="16">
        <v>4002.9</v>
      </c>
      <c r="AE302" s="16">
        <f t="shared" si="292"/>
        <v>984826.23</v>
      </c>
      <c r="AF302" s="16"/>
      <c r="AG302" s="16">
        <f t="shared" si="293"/>
        <v>984826.23</v>
      </c>
      <c r="AH302" s="20" t="s">
        <v>615</v>
      </c>
      <c r="AI302" s="21" t="s">
        <v>185</v>
      </c>
      <c r="AJ302" s="23">
        <f>98482.62-15061.09+94056.93+90069.4</f>
        <v>267547.86</v>
      </c>
      <c r="AK302" s="23">
        <f>15061.09+3.81+17176.67</f>
        <v>32241.57</v>
      </c>
    </row>
    <row r="303" spans="1:37" s="165" customFormat="1" ht="162.75" customHeight="1" x14ac:dyDescent="0.25">
      <c r="A303" s="7">
        <v>297</v>
      </c>
      <c r="B303" s="7">
        <v>118824</v>
      </c>
      <c r="C303" s="11">
        <v>451</v>
      </c>
      <c r="D303" s="7" t="s">
        <v>168</v>
      </c>
      <c r="E303" s="11" t="s">
        <v>1112</v>
      </c>
      <c r="F303" s="51" t="s">
        <v>660</v>
      </c>
      <c r="G303" s="48" t="s">
        <v>898</v>
      </c>
      <c r="H303" s="59" t="s">
        <v>899</v>
      </c>
      <c r="I303" s="11" t="s">
        <v>900</v>
      </c>
      <c r="J303" s="10" t="s">
        <v>1065</v>
      </c>
      <c r="K303" s="13">
        <v>43311</v>
      </c>
      <c r="L303" s="26">
        <v>43860</v>
      </c>
      <c r="M303" s="14">
        <f t="shared" si="295"/>
        <v>83.245543779056959</v>
      </c>
      <c r="N303" s="7" t="s">
        <v>354</v>
      </c>
      <c r="O303" s="7" t="s">
        <v>156</v>
      </c>
      <c r="P303" s="7" t="s">
        <v>156</v>
      </c>
      <c r="Q303" s="15" t="s">
        <v>157</v>
      </c>
      <c r="R303" s="7" t="s">
        <v>36</v>
      </c>
      <c r="S303" s="16">
        <f t="shared" si="288"/>
        <v>3071406.9800000004</v>
      </c>
      <c r="T303" s="16">
        <v>2476821.9900000002</v>
      </c>
      <c r="U303" s="16">
        <v>594584.99</v>
      </c>
      <c r="V303" s="16">
        <f t="shared" si="289"/>
        <v>254554.22000000003</v>
      </c>
      <c r="W303" s="16">
        <v>189953.89</v>
      </c>
      <c r="X303" s="16">
        <v>64600.33</v>
      </c>
      <c r="Y303" s="16">
        <f t="shared" si="294"/>
        <v>331178.11</v>
      </c>
      <c r="Z303" s="16">
        <v>247132.37</v>
      </c>
      <c r="AA303" s="16">
        <v>84045.74</v>
      </c>
      <c r="AB303" s="16">
        <f t="shared" si="296"/>
        <v>32435.940000000002</v>
      </c>
      <c r="AC303" s="16">
        <v>25844.11</v>
      </c>
      <c r="AD303" s="16">
        <v>6591.83</v>
      </c>
      <c r="AE303" s="16">
        <f t="shared" si="292"/>
        <v>3689575.2500000005</v>
      </c>
      <c r="AF303" s="16"/>
      <c r="AG303" s="16">
        <f t="shared" si="293"/>
        <v>3689575.2500000005</v>
      </c>
      <c r="AH303" s="63" t="s">
        <v>901</v>
      </c>
      <c r="AI303" s="21"/>
      <c r="AJ303" s="23">
        <f>162179.72+66847.3+174727.59+128489.76+146998.55</f>
        <v>679242.91999999993</v>
      </c>
      <c r="AK303" s="23">
        <f>12748.1+24503.64</f>
        <v>37251.74</v>
      </c>
    </row>
    <row r="304" spans="1:37" s="165" customFormat="1" ht="141.75" x14ac:dyDescent="0.25">
      <c r="A304" s="7">
        <v>298</v>
      </c>
      <c r="B304" s="7">
        <v>113009</v>
      </c>
      <c r="C304" s="11">
        <v>296</v>
      </c>
      <c r="D304" s="7" t="s">
        <v>1351</v>
      </c>
      <c r="E304" s="11" t="s">
        <v>165</v>
      </c>
      <c r="F304" s="9" t="s">
        <v>352</v>
      </c>
      <c r="G304" s="47" t="s">
        <v>908</v>
      </c>
      <c r="H304" s="24" t="s">
        <v>909</v>
      </c>
      <c r="I304" s="11" t="s">
        <v>910</v>
      </c>
      <c r="J304" s="138" t="s">
        <v>911</v>
      </c>
      <c r="K304" s="13">
        <v>43318</v>
      </c>
      <c r="L304" s="26">
        <v>43682</v>
      </c>
      <c r="M304" s="14">
        <f t="shared" si="295"/>
        <v>82.304184738955826</v>
      </c>
      <c r="N304" s="7" t="s">
        <v>354</v>
      </c>
      <c r="O304" s="7" t="s">
        <v>912</v>
      </c>
      <c r="P304" s="7" t="s">
        <v>913</v>
      </c>
      <c r="Q304" s="15" t="s">
        <v>356</v>
      </c>
      <c r="R304" s="7" t="s">
        <v>36</v>
      </c>
      <c r="S304" s="16">
        <f t="shared" si="288"/>
        <v>819749.67999999993</v>
      </c>
      <c r="T304" s="16">
        <v>661056.71</v>
      </c>
      <c r="U304" s="16">
        <v>158692.97</v>
      </c>
      <c r="V304" s="16">
        <f t="shared" si="289"/>
        <v>156330.31</v>
      </c>
      <c r="W304" s="16">
        <v>116657.06</v>
      </c>
      <c r="X304" s="16">
        <v>39673.25</v>
      </c>
      <c r="Y304" s="16">
        <f t="shared" si="294"/>
        <v>0</v>
      </c>
      <c r="Z304" s="16"/>
      <c r="AA304" s="16"/>
      <c r="AB304" s="16">
        <f t="shared" si="296"/>
        <v>19920.010000000002</v>
      </c>
      <c r="AC304" s="16">
        <v>15871.7</v>
      </c>
      <c r="AD304" s="16">
        <v>4048.31</v>
      </c>
      <c r="AE304" s="16">
        <f t="shared" si="292"/>
        <v>996000</v>
      </c>
      <c r="AF304" s="16"/>
      <c r="AG304" s="16">
        <f t="shared" si="293"/>
        <v>996000</v>
      </c>
      <c r="AH304" s="63" t="s">
        <v>901</v>
      </c>
      <c r="AI304" s="21"/>
      <c r="AJ304" s="23">
        <f>11711.89+112463.33+73006.84</f>
        <v>197182.06</v>
      </c>
      <c r="AK304" s="23">
        <f>2233.51+2453.09+13922.77</f>
        <v>18609.370000000003</v>
      </c>
    </row>
    <row r="305" spans="1:37" s="165" customFormat="1" ht="141.75" x14ac:dyDescent="0.25">
      <c r="A305" s="7">
        <v>299</v>
      </c>
      <c r="B305" s="7">
        <v>112982</v>
      </c>
      <c r="C305" s="11">
        <v>297</v>
      </c>
      <c r="D305" s="7" t="s">
        <v>1104</v>
      </c>
      <c r="E305" s="11" t="s">
        <v>165</v>
      </c>
      <c r="F305" s="9" t="s">
        <v>352</v>
      </c>
      <c r="G305" s="47" t="s">
        <v>914</v>
      </c>
      <c r="H305" s="24" t="s">
        <v>915</v>
      </c>
      <c r="I305" s="11" t="s">
        <v>916</v>
      </c>
      <c r="J305" s="138" t="s">
        <v>917</v>
      </c>
      <c r="K305" s="13">
        <v>43318</v>
      </c>
      <c r="L305" s="26">
        <v>43682</v>
      </c>
      <c r="M305" s="14">
        <f t="shared" si="295"/>
        <v>82.304142421748935</v>
      </c>
      <c r="N305" s="7" t="s">
        <v>354</v>
      </c>
      <c r="O305" s="7" t="s">
        <v>883</v>
      </c>
      <c r="P305" s="7" t="s">
        <v>918</v>
      </c>
      <c r="Q305" s="15" t="s">
        <v>356</v>
      </c>
      <c r="R305" s="7" t="s">
        <v>36</v>
      </c>
      <c r="S305" s="16">
        <f t="shared" si="288"/>
        <v>819220.94</v>
      </c>
      <c r="T305" s="16">
        <f>660630.63-0.29</f>
        <v>660630.34</v>
      </c>
      <c r="U305" s="16">
        <f>158590.68-0.08</f>
        <v>158590.6</v>
      </c>
      <c r="V305" s="16">
        <f t="shared" si="289"/>
        <v>156229.57</v>
      </c>
      <c r="W305" s="16">
        <f>116581.9-0.05</f>
        <v>116581.84999999999</v>
      </c>
      <c r="X305" s="16">
        <f>39647.73-0.01</f>
        <v>39647.72</v>
      </c>
      <c r="Y305" s="16">
        <f t="shared" si="294"/>
        <v>0</v>
      </c>
      <c r="Z305" s="16"/>
      <c r="AA305" s="16"/>
      <c r="AB305" s="16">
        <f t="shared" si="296"/>
        <v>19907.580000000002</v>
      </c>
      <c r="AC305" s="16">
        <f>15861.49+0.34</f>
        <v>15861.83</v>
      </c>
      <c r="AD305" s="16">
        <f>4045.66+0.09</f>
        <v>4045.75</v>
      </c>
      <c r="AE305" s="16">
        <f t="shared" si="292"/>
        <v>995358.09</v>
      </c>
      <c r="AF305" s="16"/>
      <c r="AG305" s="16">
        <f t="shared" si="293"/>
        <v>995358.09</v>
      </c>
      <c r="AH305" s="63" t="s">
        <v>901</v>
      </c>
      <c r="AI305" s="21"/>
      <c r="AJ305" s="23">
        <f>165765.11+56722.24+28008.96+69100.38-9760.15+61890.51+86983.18+50044.51</f>
        <v>508754.73999999993</v>
      </c>
      <c r="AK305" s="23">
        <f>14377.08+10817.21+22576.59+11316.48+16588.12+13157.91</f>
        <v>88833.39</v>
      </c>
    </row>
    <row r="306" spans="1:37" s="165" customFormat="1" ht="141.75" x14ac:dyDescent="0.25">
      <c r="A306" s="7">
        <v>300</v>
      </c>
      <c r="B306" s="7">
        <v>110476</v>
      </c>
      <c r="C306" s="11">
        <v>203</v>
      </c>
      <c r="D306" s="7" t="s">
        <v>172</v>
      </c>
      <c r="E306" s="11" t="s">
        <v>165</v>
      </c>
      <c r="F306" s="9" t="s">
        <v>352</v>
      </c>
      <c r="G306" s="47" t="s">
        <v>933</v>
      </c>
      <c r="H306" s="24" t="s">
        <v>932</v>
      </c>
      <c r="I306" s="11" t="s">
        <v>934</v>
      </c>
      <c r="J306" s="138" t="s">
        <v>935</v>
      </c>
      <c r="K306" s="13">
        <v>43321</v>
      </c>
      <c r="L306" s="26">
        <v>43808</v>
      </c>
      <c r="M306" s="14">
        <f t="shared" si="295"/>
        <v>82.304181989191633</v>
      </c>
      <c r="N306" s="7" t="s">
        <v>354</v>
      </c>
      <c r="O306" s="7" t="s">
        <v>376</v>
      </c>
      <c r="P306" s="7" t="s">
        <v>376</v>
      </c>
      <c r="Q306" s="15" t="s">
        <v>356</v>
      </c>
      <c r="R306" s="7" t="s">
        <v>36</v>
      </c>
      <c r="S306" s="16">
        <f t="shared" si="288"/>
        <v>792472.45</v>
      </c>
      <c r="T306" s="16">
        <v>639059.98</v>
      </c>
      <c r="U306" s="16">
        <v>153412.47</v>
      </c>
      <c r="V306" s="16">
        <f t="shared" si="289"/>
        <v>151128.43</v>
      </c>
      <c r="W306" s="16">
        <v>112775.29</v>
      </c>
      <c r="X306" s="16">
        <v>38353.14</v>
      </c>
      <c r="Y306" s="16">
        <f t="shared" si="294"/>
        <v>0</v>
      </c>
      <c r="Z306" s="16">
        <v>0</v>
      </c>
      <c r="AA306" s="16">
        <v>0</v>
      </c>
      <c r="AB306" s="16">
        <f t="shared" si="296"/>
        <v>19257.18</v>
      </c>
      <c r="AC306" s="16">
        <v>15343.62</v>
      </c>
      <c r="AD306" s="16">
        <v>3913.56</v>
      </c>
      <c r="AE306" s="16">
        <f t="shared" si="292"/>
        <v>962858.05999999994</v>
      </c>
      <c r="AF306" s="16"/>
      <c r="AG306" s="16">
        <f t="shared" si="293"/>
        <v>962858.05999999994</v>
      </c>
      <c r="AH306" s="63" t="s">
        <v>901</v>
      </c>
      <c r="AI306" s="21"/>
      <c r="AJ306" s="23">
        <f>96285.8+47700.86+109022.07</f>
        <v>253008.73</v>
      </c>
      <c r="AK306" s="23">
        <f>23108.4+6779.44</f>
        <v>29887.84</v>
      </c>
    </row>
    <row r="307" spans="1:37" s="165" customFormat="1" ht="141.75" x14ac:dyDescent="0.25">
      <c r="A307" s="7">
        <v>301</v>
      </c>
      <c r="B307" s="7">
        <v>111413</v>
      </c>
      <c r="C307" s="11">
        <v>245</v>
      </c>
      <c r="D307" s="7" t="s">
        <v>170</v>
      </c>
      <c r="E307" s="11" t="s">
        <v>165</v>
      </c>
      <c r="F307" s="9" t="s">
        <v>352</v>
      </c>
      <c r="G307" s="47" t="s">
        <v>940</v>
      </c>
      <c r="H307" s="24" t="s">
        <v>941</v>
      </c>
      <c r="I307" s="11" t="s">
        <v>942</v>
      </c>
      <c r="J307" s="138" t="s">
        <v>943</v>
      </c>
      <c r="K307" s="13">
        <v>43325</v>
      </c>
      <c r="L307" s="26">
        <v>43812</v>
      </c>
      <c r="M307" s="14">
        <f t="shared" si="295"/>
        <v>82.510189524515496</v>
      </c>
      <c r="N307" s="7" t="s">
        <v>354</v>
      </c>
      <c r="O307" s="7" t="s">
        <v>342</v>
      </c>
      <c r="P307" s="7" t="s">
        <v>342</v>
      </c>
      <c r="Q307" s="15" t="s">
        <v>356</v>
      </c>
      <c r="R307" s="7" t="s">
        <v>36</v>
      </c>
      <c r="S307" s="16">
        <f t="shared" si="288"/>
        <v>805149.57</v>
      </c>
      <c r="T307" s="16">
        <v>649282.97</v>
      </c>
      <c r="U307" s="16">
        <v>155866.6</v>
      </c>
      <c r="V307" s="16">
        <f t="shared" si="289"/>
        <v>134378</v>
      </c>
      <c r="W307" s="16">
        <v>100275.78</v>
      </c>
      <c r="X307" s="16">
        <v>34102.22</v>
      </c>
      <c r="Y307" s="16">
        <f t="shared" si="294"/>
        <v>19168</v>
      </c>
      <c r="Z307" s="16">
        <v>14303.59</v>
      </c>
      <c r="AA307" s="16">
        <v>4864.41</v>
      </c>
      <c r="AB307" s="16">
        <f t="shared" si="296"/>
        <v>17122.78</v>
      </c>
      <c r="AC307" s="16">
        <v>13642.95</v>
      </c>
      <c r="AD307" s="16">
        <v>3479.83</v>
      </c>
      <c r="AE307" s="16">
        <f t="shared" si="292"/>
        <v>975818.35</v>
      </c>
      <c r="AF307" s="16">
        <v>0</v>
      </c>
      <c r="AG307" s="16">
        <f t="shared" si="293"/>
        <v>975818.35</v>
      </c>
      <c r="AH307" s="63" t="s">
        <v>901</v>
      </c>
      <c r="AI307" s="21" t="s">
        <v>380</v>
      </c>
      <c r="AJ307" s="23">
        <f>85600-10278.92+91440.93+64880.29+85600</f>
        <v>317242.30000000005</v>
      </c>
      <c r="AK307" s="23">
        <f>10278.92+5199.07+27998.08</f>
        <v>43476.07</v>
      </c>
    </row>
    <row r="308" spans="1:37" s="165" customFormat="1" ht="288.60000000000002" customHeight="1" x14ac:dyDescent="0.25">
      <c r="A308" s="7">
        <v>302</v>
      </c>
      <c r="B308" s="7">
        <v>112299</v>
      </c>
      <c r="C308" s="11">
        <v>370</v>
      </c>
      <c r="D308" s="7" t="s">
        <v>168</v>
      </c>
      <c r="E308" s="7" t="s">
        <v>1113</v>
      </c>
      <c r="F308" s="9" t="s">
        <v>665</v>
      </c>
      <c r="G308" s="47" t="s">
        <v>950</v>
      </c>
      <c r="H308" s="24" t="s">
        <v>951</v>
      </c>
      <c r="I308" s="11" t="s">
        <v>185</v>
      </c>
      <c r="J308" s="47" t="s">
        <v>952</v>
      </c>
      <c r="K308" s="13">
        <v>43322</v>
      </c>
      <c r="L308" s="26">
        <v>43809</v>
      </c>
      <c r="M308" s="14">
        <f t="shared" si="295"/>
        <v>82.304185282751305</v>
      </c>
      <c r="N308" s="7" t="s">
        <v>354</v>
      </c>
      <c r="O308" s="7" t="s">
        <v>342</v>
      </c>
      <c r="P308" s="7" t="s">
        <v>342</v>
      </c>
      <c r="Q308" s="15" t="s">
        <v>356</v>
      </c>
      <c r="R308" s="7" t="s">
        <v>36</v>
      </c>
      <c r="S308" s="16">
        <f t="shared" si="288"/>
        <v>5950616.5299999993</v>
      </c>
      <c r="T308" s="16">
        <v>4798653.8099999996</v>
      </c>
      <c r="U308" s="16">
        <v>1151962.72</v>
      </c>
      <c r="V308" s="16">
        <f t="shared" si="289"/>
        <v>1134811.99</v>
      </c>
      <c r="W308" s="16">
        <v>846821.28</v>
      </c>
      <c r="X308" s="16">
        <v>287990.71000000002</v>
      </c>
      <c r="Y308" s="16">
        <f t="shared" si="294"/>
        <v>0</v>
      </c>
      <c r="Z308" s="16">
        <v>0</v>
      </c>
      <c r="AA308" s="16">
        <v>0</v>
      </c>
      <c r="AB308" s="16">
        <f t="shared" si="296"/>
        <v>144600.56</v>
      </c>
      <c r="AC308" s="16">
        <v>115213.74</v>
      </c>
      <c r="AD308" s="16">
        <v>29386.82</v>
      </c>
      <c r="AE308" s="16">
        <f t="shared" si="292"/>
        <v>7230029.0799999991</v>
      </c>
      <c r="AF308" s="16">
        <v>138667.75</v>
      </c>
      <c r="AG308" s="16">
        <f t="shared" si="293"/>
        <v>7368696.8299999991</v>
      </c>
      <c r="AH308" s="63" t="s">
        <v>901</v>
      </c>
      <c r="AI308" s="21"/>
      <c r="AJ308" s="23">
        <f>282756.47-22704+3451.47+697697.8</f>
        <v>961201.74</v>
      </c>
      <c r="AK308" s="23">
        <f>22703.99+27547.51</f>
        <v>50251.5</v>
      </c>
    </row>
    <row r="309" spans="1:37" s="165" customFormat="1" ht="119.25" customHeight="1" x14ac:dyDescent="0.25">
      <c r="A309" s="7">
        <v>303</v>
      </c>
      <c r="B309" s="7">
        <v>112241</v>
      </c>
      <c r="C309" s="11">
        <v>291</v>
      </c>
      <c r="D309" s="7" t="s">
        <v>1351</v>
      </c>
      <c r="E309" s="11" t="s">
        <v>165</v>
      </c>
      <c r="F309" s="9" t="s">
        <v>352</v>
      </c>
      <c r="G309" s="47" t="s">
        <v>964</v>
      </c>
      <c r="H309" s="24" t="s">
        <v>965</v>
      </c>
      <c r="I309" s="11" t="s">
        <v>966</v>
      </c>
      <c r="J309" s="138" t="s">
        <v>967</v>
      </c>
      <c r="K309" s="13">
        <v>43332</v>
      </c>
      <c r="L309" s="26">
        <v>43818</v>
      </c>
      <c r="M309" s="14">
        <f t="shared" si="295"/>
        <v>82.583882850083839</v>
      </c>
      <c r="N309" s="168" t="s">
        <v>155</v>
      </c>
      <c r="O309" s="7" t="s">
        <v>749</v>
      </c>
      <c r="P309" s="7" t="s">
        <v>737</v>
      </c>
      <c r="Q309" s="15" t="s">
        <v>356</v>
      </c>
      <c r="R309" s="191" t="s">
        <v>36</v>
      </c>
      <c r="S309" s="16">
        <f t="shared" si="288"/>
        <v>824427.28</v>
      </c>
      <c r="T309" s="16">
        <v>664828.78</v>
      </c>
      <c r="U309" s="16">
        <v>159598.5</v>
      </c>
      <c r="V309" s="16">
        <f t="shared" si="289"/>
        <v>130597.97</v>
      </c>
      <c r="W309" s="16">
        <v>97455.03</v>
      </c>
      <c r="X309" s="16">
        <v>33142.94</v>
      </c>
      <c r="Y309" s="16">
        <f t="shared" si="294"/>
        <v>26624.399999999998</v>
      </c>
      <c r="Z309" s="16">
        <v>19867.71</v>
      </c>
      <c r="AA309" s="16">
        <v>6756.69</v>
      </c>
      <c r="AB309" s="16">
        <f t="shared" si="296"/>
        <v>16641.12</v>
      </c>
      <c r="AC309" s="16">
        <v>13259.17</v>
      </c>
      <c r="AD309" s="16">
        <v>3381.95</v>
      </c>
      <c r="AE309" s="16">
        <f t="shared" si="292"/>
        <v>998290.77</v>
      </c>
      <c r="AF309" s="16"/>
      <c r="AG309" s="16">
        <f t="shared" si="293"/>
        <v>998290.77</v>
      </c>
      <c r="AH309" s="63" t="s">
        <v>901</v>
      </c>
      <c r="AI309" s="21"/>
      <c r="AJ309" s="23">
        <f>81541.49+87388.02+13666.61+117720.04+28127.79</f>
        <v>328443.94999999995</v>
      </c>
      <c r="AK309" s="23">
        <f>16166.91+2606.29+16916.51+3786.15</f>
        <v>39475.86</v>
      </c>
    </row>
    <row r="310" spans="1:37" s="165" customFormat="1" ht="270" customHeight="1" x14ac:dyDescent="0.25">
      <c r="A310" s="7">
        <v>304</v>
      </c>
      <c r="B310" s="7">
        <v>111881</v>
      </c>
      <c r="C310" s="11">
        <v>222</v>
      </c>
      <c r="D310" s="7" t="s">
        <v>172</v>
      </c>
      <c r="E310" s="11" t="s">
        <v>165</v>
      </c>
      <c r="F310" s="9" t="s">
        <v>352</v>
      </c>
      <c r="G310" s="201" t="s">
        <v>968</v>
      </c>
      <c r="H310" s="141" t="s">
        <v>969</v>
      </c>
      <c r="I310" s="11" t="s">
        <v>970</v>
      </c>
      <c r="J310" s="12" t="s">
        <v>971</v>
      </c>
      <c r="K310" s="13">
        <v>43332</v>
      </c>
      <c r="L310" s="26">
        <v>43819</v>
      </c>
      <c r="M310" s="14">
        <f t="shared" si="295"/>
        <v>82.304191094798739</v>
      </c>
      <c r="N310" s="168" t="s">
        <v>155</v>
      </c>
      <c r="O310" s="7" t="s">
        <v>342</v>
      </c>
      <c r="P310" s="7" t="s">
        <v>342</v>
      </c>
      <c r="Q310" s="15" t="s">
        <v>356</v>
      </c>
      <c r="R310" s="7" t="s">
        <v>36</v>
      </c>
      <c r="S310" s="16">
        <f t="shared" si="288"/>
        <v>817219.90999999992</v>
      </c>
      <c r="T310" s="16">
        <v>659016.69999999995</v>
      </c>
      <c r="U310" s="16">
        <v>158203.21</v>
      </c>
      <c r="V310" s="16">
        <f t="shared" si="289"/>
        <v>155847.81</v>
      </c>
      <c r="W310" s="16">
        <v>116297.02</v>
      </c>
      <c r="X310" s="16">
        <v>39550.79</v>
      </c>
      <c r="Y310" s="16">
        <f t="shared" si="294"/>
        <v>19858.52</v>
      </c>
      <c r="Z310" s="16">
        <v>15822.67</v>
      </c>
      <c r="AA310" s="16">
        <v>4035.85</v>
      </c>
      <c r="AB310" s="16">
        <f t="shared" si="296"/>
        <v>0</v>
      </c>
      <c r="AC310" s="16">
        <v>0</v>
      </c>
      <c r="AD310" s="16">
        <v>0</v>
      </c>
      <c r="AE310" s="16">
        <f t="shared" si="292"/>
        <v>992926.24</v>
      </c>
      <c r="AF310" s="16"/>
      <c r="AG310" s="16">
        <f t="shared" si="293"/>
        <v>992926.24</v>
      </c>
      <c r="AH310" s="63" t="s">
        <v>901</v>
      </c>
      <c r="AI310" s="21" t="s">
        <v>1256</v>
      </c>
      <c r="AJ310" s="23">
        <f>99292.62-14519.17+90653.42-15093.22+94237.53</f>
        <v>254571.18</v>
      </c>
      <c r="AK310" s="23">
        <f>14519.17+15093.22</f>
        <v>29612.39</v>
      </c>
    </row>
    <row r="311" spans="1:37" s="165" customFormat="1" ht="252" x14ac:dyDescent="0.25">
      <c r="A311" s="7">
        <v>305</v>
      </c>
      <c r="B311" s="7">
        <v>111434</v>
      </c>
      <c r="C311" s="11">
        <v>141</v>
      </c>
      <c r="D311" s="7" t="s">
        <v>1104</v>
      </c>
      <c r="E311" s="11" t="s">
        <v>165</v>
      </c>
      <c r="F311" s="9" t="s">
        <v>352</v>
      </c>
      <c r="G311" s="47" t="s">
        <v>976</v>
      </c>
      <c r="H311" s="24" t="s">
        <v>977</v>
      </c>
      <c r="I311" s="11" t="s">
        <v>978</v>
      </c>
      <c r="J311" s="138" t="s">
        <v>1045</v>
      </c>
      <c r="K311" s="13">
        <v>43332</v>
      </c>
      <c r="L311" s="26">
        <v>43819</v>
      </c>
      <c r="M311" s="14">
        <f t="shared" si="295"/>
        <v>82.30418537074344</v>
      </c>
      <c r="N311" s="7" t="s">
        <v>354</v>
      </c>
      <c r="O311" s="7" t="s">
        <v>156</v>
      </c>
      <c r="P311" s="7" t="s">
        <v>156</v>
      </c>
      <c r="Q311" s="15" t="s">
        <v>356</v>
      </c>
      <c r="R311" s="191" t="s">
        <v>36</v>
      </c>
      <c r="S311" s="16">
        <f t="shared" si="288"/>
        <v>822576.44</v>
      </c>
      <c r="T311" s="16">
        <v>663336.19999999995</v>
      </c>
      <c r="U311" s="16">
        <v>159240.24</v>
      </c>
      <c r="V311" s="16">
        <f t="shared" si="289"/>
        <v>156869.40000000002</v>
      </c>
      <c r="W311" s="16">
        <v>117059.35</v>
      </c>
      <c r="X311" s="16">
        <v>39810.050000000003</v>
      </c>
      <c r="Y311" s="16">
        <f t="shared" si="294"/>
        <v>19988.68</v>
      </c>
      <c r="Z311" s="16">
        <v>15926.46</v>
      </c>
      <c r="AA311" s="16">
        <v>4062.22</v>
      </c>
      <c r="AB311" s="16">
        <f t="shared" si="296"/>
        <v>0</v>
      </c>
      <c r="AC311" s="16"/>
      <c r="AD311" s="16"/>
      <c r="AE311" s="16">
        <f t="shared" si="292"/>
        <v>999434.52</v>
      </c>
      <c r="AF311" s="16"/>
      <c r="AG311" s="16">
        <f t="shared" si="293"/>
        <v>999434.52</v>
      </c>
      <c r="AH311" s="63" t="s">
        <v>901</v>
      </c>
      <c r="AI311" s="21" t="s">
        <v>970</v>
      </c>
      <c r="AJ311" s="23">
        <f>49971.72+83543.84+96913+21111.43+81377.76</f>
        <v>332917.75</v>
      </c>
      <c r="AK311" s="23">
        <f>24884.17+21127.4</f>
        <v>46011.57</v>
      </c>
    </row>
    <row r="312" spans="1:37" s="165" customFormat="1" ht="174" customHeight="1" thickBot="1" x14ac:dyDescent="0.3">
      <c r="A312" s="7">
        <v>306</v>
      </c>
      <c r="B312" s="7">
        <v>112374</v>
      </c>
      <c r="C312" s="11">
        <v>142</v>
      </c>
      <c r="D312" s="7" t="s">
        <v>1351</v>
      </c>
      <c r="E312" s="11" t="s">
        <v>165</v>
      </c>
      <c r="F312" s="9" t="s">
        <v>352</v>
      </c>
      <c r="G312" s="47" t="s">
        <v>981</v>
      </c>
      <c r="H312" s="24" t="s">
        <v>982</v>
      </c>
      <c r="I312" s="11" t="s">
        <v>384</v>
      </c>
      <c r="J312" s="138" t="s">
        <v>983</v>
      </c>
      <c r="K312" s="13">
        <v>43333</v>
      </c>
      <c r="L312" s="26">
        <v>43819</v>
      </c>
      <c r="M312" s="14">
        <f t="shared" si="295"/>
        <v>82.304182898535288</v>
      </c>
      <c r="N312" s="7" t="s">
        <v>354</v>
      </c>
      <c r="O312" s="7" t="s">
        <v>156</v>
      </c>
      <c r="P312" s="7" t="s">
        <v>156</v>
      </c>
      <c r="Q312" s="15" t="s">
        <v>356</v>
      </c>
      <c r="R312" s="7" t="s">
        <v>36</v>
      </c>
      <c r="S312" s="16">
        <f t="shared" si="288"/>
        <v>776266.51</v>
      </c>
      <c r="T312" s="16">
        <v>625991.30000000005</v>
      </c>
      <c r="U312" s="16">
        <v>150275.21</v>
      </c>
      <c r="V312" s="16">
        <f t="shared" si="289"/>
        <v>148037.87</v>
      </c>
      <c r="W312" s="16">
        <v>110469.08</v>
      </c>
      <c r="X312" s="16">
        <v>37568.79</v>
      </c>
      <c r="Y312" s="16">
        <f t="shared" si="294"/>
        <v>0</v>
      </c>
      <c r="Z312" s="16"/>
      <c r="AA312" s="16"/>
      <c r="AB312" s="16">
        <f t="shared" si="296"/>
        <v>18863.37</v>
      </c>
      <c r="AC312" s="16">
        <v>15029.81</v>
      </c>
      <c r="AD312" s="16">
        <v>3833.56</v>
      </c>
      <c r="AE312" s="142">
        <f t="shared" si="292"/>
        <v>943167.75</v>
      </c>
      <c r="AF312" s="16"/>
      <c r="AG312" s="16">
        <f t="shared" si="293"/>
        <v>943167.75</v>
      </c>
      <c r="AH312" s="63" t="s">
        <v>901</v>
      </c>
      <c r="AI312" s="21"/>
      <c r="AJ312" s="23">
        <f>94316.78+88365.15+32352.46+93883.38</f>
        <v>308917.77</v>
      </c>
      <c r="AK312" s="23">
        <f>21755.69+19252.4+433.4</f>
        <v>41441.49</v>
      </c>
    </row>
    <row r="313" spans="1:37" s="165" customFormat="1" ht="174.75" thickTop="1" x14ac:dyDescent="0.3">
      <c r="A313" s="7">
        <v>307</v>
      </c>
      <c r="B313" s="7">
        <v>111379</v>
      </c>
      <c r="C313" s="11">
        <v>228</v>
      </c>
      <c r="D313" s="7" t="s">
        <v>172</v>
      </c>
      <c r="E313" s="11" t="s">
        <v>165</v>
      </c>
      <c r="F313" s="9" t="s">
        <v>352</v>
      </c>
      <c r="G313" s="192" t="s">
        <v>984</v>
      </c>
      <c r="H313" s="200" t="s">
        <v>985</v>
      </c>
      <c r="I313" s="11" t="s">
        <v>986</v>
      </c>
      <c r="J313" s="138" t="s">
        <v>987</v>
      </c>
      <c r="K313" s="13">
        <v>43333</v>
      </c>
      <c r="L313" s="26">
        <v>43820</v>
      </c>
      <c r="M313" s="14">
        <f t="shared" si="295"/>
        <v>82.452371972946708</v>
      </c>
      <c r="N313" s="7" t="s">
        <v>354</v>
      </c>
      <c r="O313" s="7" t="s">
        <v>156</v>
      </c>
      <c r="P313" s="7" t="s">
        <v>156</v>
      </c>
      <c r="Q313" s="15" t="s">
        <v>356</v>
      </c>
      <c r="R313" s="7" t="s">
        <v>36</v>
      </c>
      <c r="S313" s="16">
        <f t="shared" si="288"/>
        <v>823001.55</v>
      </c>
      <c r="T313" s="16">
        <v>663679.05000000005</v>
      </c>
      <c r="U313" s="16">
        <v>159322.5</v>
      </c>
      <c r="V313" s="16">
        <f t="shared" si="289"/>
        <v>142846.60999999999</v>
      </c>
      <c r="W313" s="16">
        <v>106595.2</v>
      </c>
      <c r="X313" s="16">
        <v>36251.410000000003</v>
      </c>
      <c r="Y313" s="16">
        <f t="shared" si="294"/>
        <v>32305.72</v>
      </c>
      <c r="Z313" s="16">
        <v>25027.37</v>
      </c>
      <c r="AA313" s="16">
        <v>7278.35</v>
      </c>
      <c r="AB313" s="16">
        <f t="shared" si="296"/>
        <v>0</v>
      </c>
      <c r="AC313" s="16"/>
      <c r="AD313" s="16"/>
      <c r="AE313" s="16">
        <f t="shared" si="292"/>
        <v>998153.88</v>
      </c>
      <c r="AF313" s="16"/>
      <c r="AG313" s="16">
        <f t="shared" si="293"/>
        <v>998153.88</v>
      </c>
      <c r="AH313" s="63" t="s">
        <v>901</v>
      </c>
      <c r="AI313" s="21" t="s">
        <v>970</v>
      </c>
      <c r="AJ313" s="23">
        <f>91009.38-9270.26+57880.76-12678.05+33855.88</f>
        <v>160797.71</v>
      </c>
      <c r="AK313" s="23">
        <f>9270.26+12678.05+8716.65</f>
        <v>30664.959999999999</v>
      </c>
    </row>
    <row r="314" spans="1:37" s="165" customFormat="1" ht="236.25" x14ac:dyDescent="0.25">
      <c r="A314" s="7">
        <v>308</v>
      </c>
      <c r="B314" s="7">
        <v>112711</v>
      </c>
      <c r="C314" s="11">
        <v>209</v>
      </c>
      <c r="D314" s="7" t="s">
        <v>172</v>
      </c>
      <c r="E314" s="94" t="s">
        <v>165</v>
      </c>
      <c r="F314" s="9" t="s">
        <v>352</v>
      </c>
      <c r="G314" s="47" t="s">
        <v>993</v>
      </c>
      <c r="H314" s="24" t="s">
        <v>994</v>
      </c>
      <c r="I314" s="94" t="s">
        <v>995</v>
      </c>
      <c r="J314" s="12" t="s">
        <v>996</v>
      </c>
      <c r="K314" s="13">
        <v>43335</v>
      </c>
      <c r="L314" s="26">
        <v>43822</v>
      </c>
      <c r="M314" s="14">
        <f t="shared" si="295"/>
        <v>82.640124999999998</v>
      </c>
      <c r="N314" s="7" t="s">
        <v>354</v>
      </c>
      <c r="O314" s="7" t="s">
        <v>156</v>
      </c>
      <c r="P314" s="7" t="s">
        <v>156</v>
      </c>
      <c r="Q314" s="15" t="s">
        <v>356</v>
      </c>
      <c r="R314" s="7" t="s">
        <v>36</v>
      </c>
      <c r="S314" s="16">
        <f t="shared" si="288"/>
        <v>826401.25</v>
      </c>
      <c r="T314" s="16">
        <v>666420.59</v>
      </c>
      <c r="U314" s="16">
        <v>159980.66</v>
      </c>
      <c r="V314" s="16">
        <f t="shared" si="289"/>
        <v>153598.75</v>
      </c>
      <c r="W314" s="16">
        <v>114416.53</v>
      </c>
      <c r="X314" s="16">
        <v>39182.22</v>
      </c>
      <c r="Y314" s="16">
        <f t="shared" si="294"/>
        <v>20000</v>
      </c>
      <c r="Z314" s="16">
        <v>15935.46</v>
      </c>
      <c r="AA314" s="16">
        <v>4064.54</v>
      </c>
      <c r="AB314" s="16">
        <f t="shared" si="296"/>
        <v>0</v>
      </c>
      <c r="AC314" s="16"/>
      <c r="AD314" s="16"/>
      <c r="AE314" s="16">
        <f t="shared" si="292"/>
        <v>1000000</v>
      </c>
      <c r="AF314" s="16"/>
      <c r="AG314" s="16">
        <f t="shared" si="293"/>
        <v>1000000</v>
      </c>
      <c r="AH314" s="63" t="s">
        <v>901</v>
      </c>
      <c r="AI314" s="21" t="s">
        <v>970</v>
      </c>
      <c r="AJ314" s="23">
        <f>98952.8+38728.19+96005.78+68225.96+103165.27</f>
        <v>405078</v>
      </c>
      <c r="AK314" s="23">
        <f>24992.94+30773.35+1365.53</f>
        <v>57131.819999999992</v>
      </c>
    </row>
    <row r="315" spans="1:37" s="165" customFormat="1" ht="146.25" customHeight="1" x14ac:dyDescent="0.25">
      <c r="A315" s="7">
        <v>309</v>
      </c>
      <c r="B315" s="7">
        <v>112827</v>
      </c>
      <c r="C315" s="11">
        <v>305</v>
      </c>
      <c r="D315" s="7" t="s">
        <v>168</v>
      </c>
      <c r="E315" s="11" t="s">
        <v>165</v>
      </c>
      <c r="F315" s="9" t="s">
        <v>352</v>
      </c>
      <c r="G315" s="47" t="s">
        <v>1003</v>
      </c>
      <c r="H315" s="47" t="s">
        <v>1002</v>
      </c>
      <c r="I315" s="11" t="s">
        <v>1004</v>
      </c>
      <c r="J315" s="138" t="s">
        <v>1005</v>
      </c>
      <c r="K315" s="13">
        <v>43325</v>
      </c>
      <c r="L315" s="26">
        <v>43750</v>
      </c>
      <c r="M315" s="14">
        <f t="shared" si="295"/>
        <v>82.30418490460022</v>
      </c>
      <c r="N315" s="7" t="s">
        <v>354</v>
      </c>
      <c r="O315" s="7" t="s">
        <v>345</v>
      </c>
      <c r="P315" s="7" t="s">
        <v>1006</v>
      </c>
      <c r="Q315" s="15" t="s">
        <v>356</v>
      </c>
      <c r="R315" s="7" t="s">
        <v>36</v>
      </c>
      <c r="S315" s="16">
        <f t="shared" si="288"/>
        <v>819344.35</v>
      </c>
      <c r="T315" s="16">
        <v>660729.84</v>
      </c>
      <c r="U315" s="16">
        <v>158614.51</v>
      </c>
      <c r="V315" s="16">
        <f t="shared" si="289"/>
        <v>156253.01</v>
      </c>
      <c r="W315" s="16">
        <v>116599.39</v>
      </c>
      <c r="X315" s="16">
        <v>39653.620000000003</v>
      </c>
      <c r="Y315" s="16">
        <f t="shared" si="294"/>
        <v>0</v>
      </c>
      <c r="Z315" s="16"/>
      <c r="AA315" s="16"/>
      <c r="AB315" s="16">
        <f t="shared" si="296"/>
        <v>19910.16</v>
      </c>
      <c r="AC315" s="16">
        <v>15863.85</v>
      </c>
      <c r="AD315" s="16">
        <v>4046.31</v>
      </c>
      <c r="AE315" s="16">
        <f t="shared" si="292"/>
        <v>995507.52</v>
      </c>
      <c r="AF315" s="16"/>
      <c r="AG315" s="16">
        <f t="shared" si="293"/>
        <v>995507.52</v>
      </c>
      <c r="AH315" s="63" t="s">
        <v>901</v>
      </c>
      <c r="AI315" s="21" t="s">
        <v>970</v>
      </c>
      <c r="AJ315" s="23">
        <f>99347-2141.53-5209.28+78190.23</f>
        <v>170186.41999999998</v>
      </c>
      <c r="AK315" s="23">
        <f>2141.53+5209.28+6119.81</f>
        <v>13470.619999999999</v>
      </c>
    </row>
    <row r="316" spans="1:37" s="165" customFormat="1" ht="141.75" x14ac:dyDescent="0.25">
      <c r="A316" s="7">
        <v>310</v>
      </c>
      <c r="B316" s="7">
        <v>112220</v>
      </c>
      <c r="C316" s="11">
        <v>239</v>
      </c>
      <c r="D316" s="7" t="s">
        <v>170</v>
      </c>
      <c r="E316" s="94" t="s">
        <v>165</v>
      </c>
      <c r="F316" s="9" t="s">
        <v>352</v>
      </c>
      <c r="G316" s="47" t="s">
        <v>1016</v>
      </c>
      <c r="H316" s="24" t="s">
        <v>1017</v>
      </c>
      <c r="I316" s="11" t="s">
        <v>1018</v>
      </c>
      <c r="J316" s="138" t="s">
        <v>1020</v>
      </c>
      <c r="K316" s="13">
        <v>43346</v>
      </c>
      <c r="L316" s="26">
        <v>43771</v>
      </c>
      <c r="M316" s="14">
        <f t="shared" si="295"/>
        <v>82.53761528755669</v>
      </c>
      <c r="N316" s="7" t="s">
        <v>354</v>
      </c>
      <c r="O316" s="7" t="s">
        <v>223</v>
      </c>
      <c r="P316" s="7" t="s">
        <v>1019</v>
      </c>
      <c r="Q316" s="15" t="s">
        <v>356</v>
      </c>
      <c r="R316" s="7" t="s">
        <v>36</v>
      </c>
      <c r="S316" s="16">
        <f t="shared" si="288"/>
        <v>770988.47</v>
      </c>
      <c r="T316" s="16">
        <v>621735</v>
      </c>
      <c r="U316" s="16">
        <v>149253.47</v>
      </c>
      <c r="V316" s="16">
        <f t="shared" si="289"/>
        <v>126240.19</v>
      </c>
      <c r="W316" s="16">
        <v>94203.17</v>
      </c>
      <c r="X316" s="16">
        <v>32037.02</v>
      </c>
      <c r="Y316" s="16">
        <f t="shared" si="294"/>
        <v>20791.07</v>
      </c>
      <c r="Z316" s="16">
        <v>15514.77</v>
      </c>
      <c r="AA316" s="16">
        <v>5276.3</v>
      </c>
      <c r="AB316" s="16">
        <f t="shared" si="296"/>
        <v>16085.85</v>
      </c>
      <c r="AC316" s="16">
        <v>12816.75</v>
      </c>
      <c r="AD316" s="16">
        <v>3269.1</v>
      </c>
      <c r="AE316" s="16">
        <f t="shared" si="292"/>
        <v>934105.57999999984</v>
      </c>
      <c r="AF316" s="16"/>
      <c r="AG316" s="16">
        <f t="shared" si="293"/>
        <v>934105.57999999984</v>
      </c>
      <c r="AH316" s="63" t="s">
        <v>615</v>
      </c>
      <c r="AI316" s="21" t="s">
        <v>380</v>
      </c>
      <c r="AJ316" s="23">
        <f>80429.21-9330.69+58258.04-10837.66+67667.13</f>
        <v>186186.03</v>
      </c>
      <c r="AK316" s="23">
        <f>9330.69+10837.66</f>
        <v>20168.349999999999</v>
      </c>
    </row>
    <row r="317" spans="1:37" s="165" customFormat="1" ht="141.75" x14ac:dyDescent="0.25">
      <c r="A317" s="7">
        <v>311</v>
      </c>
      <c r="B317" s="7">
        <v>111775</v>
      </c>
      <c r="C317" s="11">
        <v>364</v>
      </c>
      <c r="D317" s="7" t="s">
        <v>1351</v>
      </c>
      <c r="E317" s="94" t="s">
        <v>165</v>
      </c>
      <c r="F317" s="9" t="s">
        <v>352</v>
      </c>
      <c r="G317" s="84" t="s">
        <v>1021</v>
      </c>
      <c r="H317" s="193" t="s">
        <v>1022</v>
      </c>
      <c r="I317" s="11" t="s">
        <v>1023</v>
      </c>
      <c r="J317" s="138" t="s">
        <v>1024</v>
      </c>
      <c r="K317" s="13">
        <v>43346</v>
      </c>
      <c r="L317" s="26">
        <v>43832</v>
      </c>
      <c r="M317" s="14">
        <f t="shared" si="295"/>
        <v>82.30418188922819</v>
      </c>
      <c r="N317" s="7" t="s">
        <v>354</v>
      </c>
      <c r="O317" s="7" t="s">
        <v>223</v>
      </c>
      <c r="P317" s="7" t="s">
        <v>502</v>
      </c>
      <c r="Q317" s="15" t="s">
        <v>356</v>
      </c>
      <c r="R317" s="7" t="s">
        <v>36</v>
      </c>
      <c r="S317" s="16">
        <f t="shared" si="288"/>
        <v>779789.21</v>
      </c>
      <c r="T317" s="16">
        <v>628832.06999999995</v>
      </c>
      <c r="U317" s="16">
        <v>150957.14000000001</v>
      </c>
      <c r="V317" s="16">
        <f t="shared" si="289"/>
        <v>148709.68</v>
      </c>
      <c r="W317" s="16">
        <v>110970.39</v>
      </c>
      <c r="X317" s="16">
        <v>37739.29</v>
      </c>
      <c r="Y317" s="16">
        <f t="shared" si="294"/>
        <v>0</v>
      </c>
      <c r="Z317" s="16"/>
      <c r="AA317" s="16"/>
      <c r="AB317" s="16">
        <f t="shared" si="296"/>
        <v>18948.97</v>
      </c>
      <c r="AC317" s="16">
        <v>15098.01</v>
      </c>
      <c r="AD317" s="16">
        <v>3850.96</v>
      </c>
      <c r="AE317" s="16">
        <f t="shared" si="292"/>
        <v>947447.85999999987</v>
      </c>
      <c r="AF317" s="16">
        <v>0</v>
      </c>
      <c r="AG317" s="16">
        <f t="shared" si="293"/>
        <v>947447.85999999987</v>
      </c>
      <c r="AH317" s="63" t="s">
        <v>615</v>
      </c>
      <c r="AI317" s="21" t="s">
        <v>380</v>
      </c>
      <c r="AJ317" s="23">
        <f>94744.78+10125.98+94121.04</f>
        <v>198991.8</v>
      </c>
      <c r="AK317" s="23">
        <f>7252.41+12628.02</f>
        <v>19880.43</v>
      </c>
    </row>
    <row r="318" spans="1:37" s="165" customFormat="1" ht="141.75" x14ac:dyDescent="0.25">
      <c r="A318" s="7">
        <v>312</v>
      </c>
      <c r="B318" s="7">
        <v>112027</v>
      </c>
      <c r="C318" s="11">
        <v>290</v>
      </c>
      <c r="D318" s="7" t="s">
        <v>1351</v>
      </c>
      <c r="E318" s="94" t="s">
        <v>165</v>
      </c>
      <c r="F318" s="9" t="s">
        <v>352</v>
      </c>
      <c r="G318" s="84" t="s">
        <v>1028</v>
      </c>
      <c r="H318" s="24" t="s">
        <v>1029</v>
      </c>
      <c r="I318" s="11" t="s">
        <v>384</v>
      </c>
      <c r="J318" s="138" t="s">
        <v>1030</v>
      </c>
      <c r="K318" s="13">
        <v>43346</v>
      </c>
      <c r="L318" s="26">
        <v>43832</v>
      </c>
      <c r="M318" s="14">
        <f t="shared" si="295"/>
        <v>82.30418483269878</v>
      </c>
      <c r="N318" s="7" t="s">
        <v>354</v>
      </c>
      <c r="O318" s="7" t="s">
        <v>156</v>
      </c>
      <c r="P318" s="7" t="s">
        <v>156</v>
      </c>
      <c r="Q318" s="15" t="s">
        <v>356</v>
      </c>
      <c r="R318" s="7" t="s">
        <v>36</v>
      </c>
      <c r="S318" s="16">
        <f t="shared" si="288"/>
        <v>765927.6</v>
      </c>
      <c r="T318" s="16">
        <v>617653.87</v>
      </c>
      <c r="U318" s="16">
        <v>148273.73000000001</v>
      </c>
      <c r="V318" s="16">
        <f t="shared" si="289"/>
        <v>146066.19</v>
      </c>
      <c r="W318" s="16">
        <v>108997.75999999999</v>
      </c>
      <c r="X318" s="16">
        <v>37068.43</v>
      </c>
      <c r="Y318" s="16">
        <f t="shared" si="294"/>
        <v>0</v>
      </c>
      <c r="Z318" s="16"/>
      <c r="AA318" s="16"/>
      <c r="AB318" s="16">
        <f t="shared" si="296"/>
        <v>18612.11</v>
      </c>
      <c r="AC318" s="16">
        <v>14829.62</v>
      </c>
      <c r="AD318" s="16">
        <v>3782.49</v>
      </c>
      <c r="AE318" s="16">
        <f t="shared" si="292"/>
        <v>930605.9</v>
      </c>
      <c r="AF318" s="16"/>
      <c r="AG318" s="16">
        <f t="shared" si="293"/>
        <v>930605.9</v>
      </c>
      <c r="AH318" s="63" t="s">
        <v>615</v>
      </c>
      <c r="AI318" s="21" t="s">
        <v>380</v>
      </c>
      <c r="AJ318" s="23">
        <f>93000-10796.98+67413.16+54893.4+46914.21-9130.88</f>
        <v>242292.90999999997</v>
      </c>
      <c r="AK318" s="23">
        <f>10796.98+10468.44+8946.77+9130.88</f>
        <v>39343.07</v>
      </c>
    </row>
    <row r="319" spans="1:37" s="165" customFormat="1" ht="141.75" x14ac:dyDescent="0.25">
      <c r="A319" s="7">
        <v>313</v>
      </c>
      <c r="B319" s="7">
        <v>112733</v>
      </c>
      <c r="C319" s="11">
        <v>146</v>
      </c>
      <c r="D319" s="7" t="s">
        <v>1351</v>
      </c>
      <c r="E319" s="94" t="s">
        <v>165</v>
      </c>
      <c r="F319" s="9" t="s">
        <v>352</v>
      </c>
      <c r="G319" s="170" t="s">
        <v>1034</v>
      </c>
      <c r="H319" s="24" t="s">
        <v>1035</v>
      </c>
      <c r="I319" s="11" t="s">
        <v>1036</v>
      </c>
      <c r="J319" s="138" t="s">
        <v>1037</v>
      </c>
      <c r="K319" s="13">
        <v>43349</v>
      </c>
      <c r="L319" s="26">
        <v>43835</v>
      </c>
      <c r="M319" s="14">
        <f t="shared" si="295"/>
        <v>82.53318349196968</v>
      </c>
      <c r="N319" s="7" t="s">
        <v>354</v>
      </c>
      <c r="O319" s="7" t="s">
        <v>156</v>
      </c>
      <c r="P319" s="7" t="s">
        <v>156</v>
      </c>
      <c r="Q319" s="15" t="s">
        <v>356</v>
      </c>
      <c r="R319" s="7" t="s">
        <v>36</v>
      </c>
      <c r="S319" s="16">
        <f t="shared" si="288"/>
        <v>819750.19</v>
      </c>
      <c r="T319" s="16">
        <v>661057.13</v>
      </c>
      <c r="U319" s="16">
        <v>158693.06</v>
      </c>
      <c r="V319" s="16">
        <f t="shared" si="289"/>
        <v>134642.41999999998</v>
      </c>
      <c r="W319" s="16">
        <v>100473.09</v>
      </c>
      <c r="X319" s="16">
        <v>34169.33</v>
      </c>
      <c r="Y319" s="16">
        <f t="shared" si="294"/>
        <v>21688.010000000002</v>
      </c>
      <c r="Z319" s="16">
        <v>16184.04</v>
      </c>
      <c r="AA319" s="16">
        <v>5503.97</v>
      </c>
      <c r="AB319" s="16">
        <f t="shared" si="296"/>
        <v>17156.47</v>
      </c>
      <c r="AC319" s="16">
        <v>13669.8</v>
      </c>
      <c r="AD319" s="16">
        <v>3486.67</v>
      </c>
      <c r="AE319" s="16">
        <f t="shared" si="292"/>
        <v>993237.08999999985</v>
      </c>
      <c r="AF319" s="16"/>
      <c r="AG319" s="16">
        <f t="shared" si="293"/>
        <v>993237.08999999985</v>
      </c>
      <c r="AH319" s="63" t="s">
        <v>615</v>
      </c>
      <c r="AI319" s="21" t="s">
        <v>380</v>
      </c>
      <c r="AJ319" s="23">
        <f>85782.36-3113.23+78199.1+6754.09+75351.32</f>
        <v>242973.64</v>
      </c>
      <c r="AK319" s="23">
        <f>12524.47+12068.37</f>
        <v>24592.84</v>
      </c>
    </row>
    <row r="320" spans="1:37" s="165" customFormat="1" ht="155.25" customHeight="1" x14ac:dyDescent="0.25">
      <c r="A320" s="7">
        <v>314</v>
      </c>
      <c r="B320" s="7">
        <v>111432</v>
      </c>
      <c r="C320" s="11">
        <v>277</v>
      </c>
      <c r="D320" s="7" t="s">
        <v>1104</v>
      </c>
      <c r="E320" s="94" t="s">
        <v>165</v>
      </c>
      <c r="F320" s="9" t="s">
        <v>352</v>
      </c>
      <c r="G320" s="126" t="s">
        <v>1039</v>
      </c>
      <c r="H320" s="24" t="s">
        <v>1038</v>
      </c>
      <c r="I320" s="11" t="s">
        <v>1040</v>
      </c>
      <c r="J320" s="12" t="s">
        <v>1041</v>
      </c>
      <c r="K320" s="13">
        <v>43349</v>
      </c>
      <c r="L320" s="26">
        <v>43836</v>
      </c>
      <c r="M320" s="14">
        <f t="shared" si="295"/>
        <v>82.304185577346573</v>
      </c>
      <c r="N320" s="7" t="s">
        <v>354</v>
      </c>
      <c r="O320" s="7" t="s">
        <v>156</v>
      </c>
      <c r="P320" s="7" t="s">
        <v>156</v>
      </c>
      <c r="Q320" s="15" t="s">
        <v>356</v>
      </c>
      <c r="R320" s="7" t="s">
        <v>36</v>
      </c>
      <c r="S320" s="16">
        <f t="shared" si="288"/>
        <v>811369.97</v>
      </c>
      <c r="T320" s="16">
        <v>654299.21</v>
      </c>
      <c r="U320" s="16">
        <v>157070.76</v>
      </c>
      <c r="V320" s="16">
        <f t="shared" si="289"/>
        <v>154732.26</v>
      </c>
      <c r="W320" s="16">
        <v>115464.56</v>
      </c>
      <c r="X320" s="16">
        <v>39267.699999999997</v>
      </c>
      <c r="Y320" s="16">
        <f t="shared" si="294"/>
        <v>0</v>
      </c>
      <c r="Z320" s="16"/>
      <c r="AA320" s="16"/>
      <c r="AB320" s="16">
        <f t="shared" si="296"/>
        <v>19716.37</v>
      </c>
      <c r="AC320" s="16">
        <v>15709.44</v>
      </c>
      <c r="AD320" s="16">
        <v>4006.93</v>
      </c>
      <c r="AE320" s="16">
        <f t="shared" si="292"/>
        <v>985818.6</v>
      </c>
      <c r="AF320" s="16">
        <v>0</v>
      </c>
      <c r="AG320" s="16">
        <f t="shared" si="293"/>
        <v>985818.6</v>
      </c>
      <c r="AH320" s="20" t="s">
        <v>615</v>
      </c>
      <c r="AI320" s="21" t="s">
        <v>185</v>
      </c>
      <c r="AJ320" s="23">
        <f>98500+28477.95</f>
        <v>126977.95</v>
      </c>
      <c r="AK320" s="23">
        <v>23037.95</v>
      </c>
    </row>
    <row r="321" spans="1:37" s="165" customFormat="1" ht="330.75" x14ac:dyDescent="0.25">
      <c r="A321" s="7">
        <v>315</v>
      </c>
      <c r="B321" s="7">
        <v>112592</v>
      </c>
      <c r="C321" s="11">
        <v>144</v>
      </c>
      <c r="D321" s="7" t="s">
        <v>1104</v>
      </c>
      <c r="E321" s="11" t="s">
        <v>165</v>
      </c>
      <c r="F321" s="9" t="s">
        <v>352</v>
      </c>
      <c r="G321" s="126" t="s">
        <v>1042</v>
      </c>
      <c r="H321" s="24" t="s">
        <v>1043</v>
      </c>
      <c r="I321" s="11" t="s">
        <v>380</v>
      </c>
      <c r="J321" s="138" t="s">
        <v>1044</v>
      </c>
      <c r="K321" s="13">
        <v>43349</v>
      </c>
      <c r="L321" s="26">
        <v>43835</v>
      </c>
      <c r="M321" s="14">
        <f t="shared" si="295"/>
        <v>82.304195666897996</v>
      </c>
      <c r="N321" s="7" t="s">
        <v>354</v>
      </c>
      <c r="O321" s="7" t="s">
        <v>342</v>
      </c>
      <c r="P321" s="7" t="s">
        <v>342</v>
      </c>
      <c r="Q321" s="15" t="s">
        <v>356</v>
      </c>
      <c r="R321" s="191" t="s">
        <v>36</v>
      </c>
      <c r="S321" s="16">
        <f>T321+U321</f>
        <v>809057.98</v>
      </c>
      <c r="T321" s="16">
        <v>652434.75</v>
      </c>
      <c r="U321" s="16">
        <v>156623.23000000001</v>
      </c>
      <c r="V321" s="16">
        <f t="shared" si="289"/>
        <v>154291.24</v>
      </c>
      <c r="W321" s="16">
        <v>115135.49</v>
      </c>
      <c r="X321" s="16">
        <v>39155.75</v>
      </c>
      <c r="Y321" s="16">
        <f t="shared" si="294"/>
        <v>0</v>
      </c>
      <c r="Z321" s="16"/>
      <c r="AA321" s="16"/>
      <c r="AB321" s="16">
        <f t="shared" si="296"/>
        <v>19660.18</v>
      </c>
      <c r="AC321" s="16">
        <v>15664.68</v>
      </c>
      <c r="AD321" s="16">
        <v>3995.5</v>
      </c>
      <c r="AE321" s="16">
        <f t="shared" si="292"/>
        <v>983009.4</v>
      </c>
      <c r="AF321" s="16">
        <v>0</v>
      </c>
      <c r="AG321" s="16">
        <f t="shared" si="293"/>
        <v>983009.4</v>
      </c>
      <c r="AH321" s="63" t="s">
        <v>615</v>
      </c>
      <c r="AI321" s="21" t="s">
        <v>185</v>
      </c>
      <c r="AJ321" s="23">
        <f>98300-13757.23+85896.02</f>
        <v>170438.79</v>
      </c>
      <c r="AK321" s="23">
        <v>13757.23</v>
      </c>
    </row>
    <row r="322" spans="1:37" s="165" customFormat="1" ht="267.75" x14ac:dyDescent="0.25">
      <c r="A322" s="7">
        <v>316</v>
      </c>
      <c r="B322" s="7">
        <v>111141</v>
      </c>
      <c r="C322" s="11">
        <v>312</v>
      </c>
      <c r="D322" s="7" t="s">
        <v>168</v>
      </c>
      <c r="E322" s="11" t="s">
        <v>165</v>
      </c>
      <c r="F322" s="9" t="s">
        <v>352</v>
      </c>
      <c r="G322" s="126" t="s">
        <v>1052</v>
      </c>
      <c r="H322" s="24" t="s">
        <v>1053</v>
      </c>
      <c r="I322" s="11" t="s">
        <v>1054</v>
      </c>
      <c r="J322" s="138" t="s">
        <v>1055</v>
      </c>
      <c r="K322" s="13">
        <v>43349</v>
      </c>
      <c r="L322" s="26">
        <v>43835</v>
      </c>
      <c r="M322" s="14">
        <f t="shared" si="295"/>
        <v>82.850667341734948</v>
      </c>
      <c r="N322" s="7" t="s">
        <v>354</v>
      </c>
      <c r="O322" s="7" t="s">
        <v>342</v>
      </c>
      <c r="P322" s="7" t="s">
        <v>342</v>
      </c>
      <c r="Q322" s="15" t="s">
        <v>356</v>
      </c>
      <c r="R322" s="191" t="s">
        <v>36</v>
      </c>
      <c r="S322" s="16">
        <f t="shared" si="288"/>
        <v>826770.14</v>
      </c>
      <c r="T322" s="16">
        <v>666718.05000000005</v>
      </c>
      <c r="U322" s="16">
        <v>160052.09</v>
      </c>
      <c r="V322" s="16">
        <f t="shared" si="289"/>
        <v>151175.81</v>
      </c>
      <c r="W322" s="16">
        <v>112482.44</v>
      </c>
      <c r="X322" s="16">
        <v>38693.370000000003</v>
      </c>
      <c r="Y322" s="16">
        <f t="shared" si="294"/>
        <v>0</v>
      </c>
      <c r="Z322" s="16"/>
      <c r="AA322" s="16"/>
      <c r="AB322" s="16">
        <f t="shared" si="296"/>
        <v>19958.07</v>
      </c>
      <c r="AC322" s="16">
        <v>15902.06</v>
      </c>
      <c r="AD322" s="16">
        <v>4056.01</v>
      </c>
      <c r="AE322" s="16">
        <f t="shared" si="292"/>
        <v>997904.0199999999</v>
      </c>
      <c r="AF322" s="16">
        <v>0</v>
      </c>
      <c r="AG322" s="16">
        <f t="shared" si="293"/>
        <v>997904.0199999999</v>
      </c>
      <c r="AH322" s="63" t="s">
        <v>615</v>
      </c>
      <c r="AI322" s="21"/>
      <c r="AJ322" s="23">
        <f>99790.4-11343.79+72694.94+14258.38+9077.47+175834.51</f>
        <v>360311.91000000003</v>
      </c>
      <c r="AK322" s="23">
        <f>11343.79+2719.14+19935.24+14501.99</f>
        <v>48500.159999999996</v>
      </c>
    </row>
    <row r="323" spans="1:37" s="165" customFormat="1" ht="330.75" x14ac:dyDescent="0.25">
      <c r="A323" s="7">
        <v>317</v>
      </c>
      <c r="B323" s="7">
        <v>110676</v>
      </c>
      <c r="C323" s="11">
        <v>129</v>
      </c>
      <c r="D323" s="7" t="s">
        <v>1104</v>
      </c>
      <c r="E323" s="11" t="s">
        <v>165</v>
      </c>
      <c r="F323" s="9" t="s">
        <v>352</v>
      </c>
      <c r="G323" s="24" t="s">
        <v>1056</v>
      </c>
      <c r="H323" s="24" t="s">
        <v>1057</v>
      </c>
      <c r="I323" s="11"/>
      <c r="J323" s="138" t="s">
        <v>1058</v>
      </c>
      <c r="K323" s="13">
        <v>43350</v>
      </c>
      <c r="L323" s="26">
        <v>43714</v>
      </c>
      <c r="M323" s="14">
        <f t="shared" si="295"/>
        <v>82.304187429349568</v>
      </c>
      <c r="N323" s="7" t="s">
        <v>354</v>
      </c>
      <c r="O323" s="7" t="s">
        <v>342</v>
      </c>
      <c r="P323" s="7" t="s">
        <v>342</v>
      </c>
      <c r="Q323" s="15" t="s">
        <v>356</v>
      </c>
      <c r="R323" s="191" t="s">
        <v>36</v>
      </c>
      <c r="S323" s="16">
        <f t="shared" si="288"/>
        <v>815129.66</v>
      </c>
      <c r="T323" s="16">
        <v>657331.02</v>
      </c>
      <c r="U323" s="16">
        <v>157798.64000000001</v>
      </c>
      <c r="V323" s="16">
        <f t="shared" si="289"/>
        <v>155449.26</v>
      </c>
      <c r="W323" s="16">
        <v>115999.61</v>
      </c>
      <c r="X323" s="16">
        <v>39449.65</v>
      </c>
      <c r="Y323" s="16">
        <f t="shared" si="294"/>
        <v>0</v>
      </c>
      <c r="Z323" s="16"/>
      <c r="AA323" s="16"/>
      <c r="AB323" s="16">
        <f t="shared" si="296"/>
        <v>19807.7</v>
      </c>
      <c r="AC323" s="16">
        <v>15782.26</v>
      </c>
      <c r="AD323" s="16">
        <v>4025.44</v>
      </c>
      <c r="AE323" s="16">
        <f t="shared" si="292"/>
        <v>990386.62</v>
      </c>
      <c r="AF323" s="16">
        <v>0</v>
      </c>
      <c r="AG323" s="16">
        <f t="shared" si="293"/>
        <v>990386.62</v>
      </c>
      <c r="AH323" s="63" t="s">
        <v>615</v>
      </c>
      <c r="AI323" s="21" t="s">
        <v>1290</v>
      </c>
      <c r="AJ323" s="23">
        <f>97000+74075.05+62367.67+44580.06+31686.87+94967.28</f>
        <v>404676.92999999993</v>
      </c>
      <c r="AK323" s="23">
        <f>14126.47+15038.55+8501.64+20997.93</f>
        <v>58664.59</v>
      </c>
    </row>
    <row r="324" spans="1:37" s="165" customFormat="1" ht="173.25" x14ac:dyDescent="0.25">
      <c r="A324" s="7">
        <v>318</v>
      </c>
      <c r="B324" s="7">
        <v>111475</v>
      </c>
      <c r="C324" s="11">
        <v>168</v>
      </c>
      <c r="D324" s="7" t="s">
        <v>1104</v>
      </c>
      <c r="E324" s="11" t="s">
        <v>165</v>
      </c>
      <c r="F324" s="9" t="s">
        <v>352</v>
      </c>
      <c r="G324" s="126" t="s">
        <v>1067</v>
      </c>
      <c r="H324" s="24" t="s">
        <v>1068</v>
      </c>
      <c r="I324" s="11"/>
      <c r="J324" s="138" t="s">
        <v>1069</v>
      </c>
      <c r="K324" s="13">
        <v>43353</v>
      </c>
      <c r="L324" s="26">
        <v>43839</v>
      </c>
      <c r="M324" s="14">
        <f t="shared" si="295"/>
        <v>82.304180618407059</v>
      </c>
      <c r="N324" s="7" t="s">
        <v>354</v>
      </c>
      <c r="O324" s="7" t="s">
        <v>342</v>
      </c>
      <c r="P324" s="7" t="s">
        <v>342</v>
      </c>
      <c r="Q324" s="15" t="s">
        <v>356</v>
      </c>
      <c r="R324" s="191" t="s">
        <v>36</v>
      </c>
      <c r="S324" s="16">
        <f>T324+U324</f>
        <v>791535.7</v>
      </c>
      <c r="T324" s="16">
        <v>638304.56999999995</v>
      </c>
      <c r="U324" s="16">
        <v>153231.13</v>
      </c>
      <c r="V324" s="16">
        <f t="shared" si="289"/>
        <v>150949.82</v>
      </c>
      <c r="W324" s="16">
        <v>112642</v>
      </c>
      <c r="X324" s="16">
        <v>38307.82</v>
      </c>
      <c r="Y324" s="16">
        <f t="shared" si="294"/>
        <v>0</v>
      </c>
      <c r="Z324" s="16"/>
      <c r="AA324" s="16"/>
      <c r="AB324" s="16">
        <f t="shared" si="296"/>
        <v>19234.400000000001</v>
      </c>
      <c r="AC324" s="16">
        <v>15325.48</v>
      </c>
      <c r="AD324" s="16">
        <v>3908.92</v>
      </c>
      <c r="AE324" s="16">
        <f t="shared" si="292"/>
        <v>961719.92</v>
      </c>
      <c r="AF324" s="16">
        <v>0</v>
      </c>
      <c r="AG324" s="16">
        <f t="shared" si="293"/>
        <v>961719.92</v>
      </c>
      <c r="AH324" s="63" t="s">
        <v>615</v>
      </c>
      <c r="AI324" s="21"/>
      <c r="AJ324" s="23">
        <f>96171.99-8232+51398.18</f>
        <v>139338.17000000001</v>
      </c>
      <c r="AK324" s="23">
        <v>8232</v>
      </c>
    </row>
    <row r="325" spans="1:37" s="165" customFormat="1" ht="150" x14ac:dyDescent="0.25">
      <c r="A325" s="7">
        <v>319</v>
      </c>
      <c r="B325" s="175">
        <v>118813</v>
      </c>
      <c r="C325" s="194">
        <v>449</v>
      </c>
      <c r="D325" s="7" t="s">
        <v>168</v>
      </c>
      <c r="E325" s="11" t="s">
        <v>1112</v>
      </c>
      <c r="F325" s="51" t="s">
        <v>660</v>
      </c>
      <c r="G325" s="168" t="s">
        <v>1062</v>
      </c>
      <c r="H325" s="175" t="s">
        <v>1063</v>
      </c>
      <c r="I325" s="175" t="s">
        <v>1064</v>
      </c>
      <c r="J325" s="195" t="s">
        <v>1066</v>
      </c>
      <c r="K325" s="196">
        <v>43350</v>
      </c>
      <c r="L325" s="26">
        <v>43867</v>
      </c>
      <c r="M325" s="14">
        <f>S325/AE325*100</f>
        <v>83.98386629387646</v>
      </c>
      <c r="N325" s="7" t="s">
        <v>354</v>
      </c>
      <c r="O325" s="7" t="s">
        <v>342</v>
      </c>
      <c r="P325" s="7" t="s">
        <v>342</v>
      </c>
      <c r="Q325" s="15" t="s">
        <v>157</v>
      </c>
      <c r="R325" s="191" t="s">
        <v>36</v>
      </c>
      <c r="S325" s="16">
        <f t="shared" si="288"/>
        <v>4865899.59</v>
      </c>
      <c r="T325" s="16">
        <v>3923924.02</v>
      </c>
      <c r="U325" s="16">
        <v>941975.57</v>
      </c>
      <c r="V325" s="16">
        <f t="shared" si="289"/>
        <v>0</v>
      </c>
      <c r="W325" s="16">
        <v>0</v>
      </c>
      <c r="X325" s="16">
        <v>0</v>
      </c>
      <c r="Y325" s="16">
        <f t="shared" si="294"/>
        <v>927950.83000000007</v>
      </c>
      <c r="Z325" s="16">
        <v>692457.06</v>
      </c>
      <c r="AA325" s="16">
        <v>235493.77</v>
      </c>
      <c r="AB325" s="16">
        <f t="shared" si="296"/>
        <v>0</v>
      </c>
      <c r="AC325" s="16"/>
      <c r="AD325" s="16"/>
      <c r="AE325" s="16">
        <f t="shared" si="292"/>
        <v>5793850.4199999999</v>
      </c>
      <c r="AF325" s="16">
        <v>0</v>
      </c>
      <c r="AG325" s="16">
        <f t="shared" si="293"/>
        <v>5793850.4199999999</v>
      </c>
      <c r="AH325" s="63" t="s">
        <v>615</v>
      </c>
      <c r="AI325" s="21"/>
      <c r="AJ325" s="23">
        <v>15282.4</v>
      </c>
      <c r="AK325" s="23">
        <v>0</v>
      </c>
    </row>
    <row r="326" spans="1:37" s="165" customFormat="1" ht="120" x14ac:dyDescent="0.25">
      <c r="A326" s="7">
        <v>320</v>
      </c>
      <c r="B326" s="7">
        <v>110215</v>
      </c>
      <c r="C326" s="11">
        <v>139</v>
      </c>
      <c r="D326" s="7" t="s">
        <v>170</v>
      </c>
      <c r="E326" s="11" t="s">
        <v>165</v>
      </c>
      <c r="F326" s="9" t="s">
        <v>352</v>
      </c>
      <c r="G326" s="168" t="s">
        <v>1073</v>
      </c>
      <c r="H326" s="168" t="s">
        <v>1074</v>
      </c>
      <c r="I326" s="11" t="s">
        <v>380</v>
      </c>
      <c r="J326" s="138" t="s">
        <v>1075</v>
      </c>
      <c r="K326" s="13">
        <v>43357</v>
      </c>
      <c r="L326" s="26">
        <v>43722</v>
      </c>
      <c r="M326" s="14">
        <f t="shared" si="295"/>
        <v>82.304183894733001</v>
      </c>
      <c r="N326" s="7" t="s">
        <v>354</v>
      </c>
      <c r="O326" s="7" t="s">
        <v>1076</v>
      </c>
      <c r="P326" s="7" t="s">
        <v>1076</v>
      </c>
      <c r="Q326" s="15" t="s">
        <v>356</v>
      </c>
      <c r="R326" s="191" t="s">
        <v>36</v>
      </c>
      <c r="S326" s="16">
        <f t="shared" si="288"/>
        <v>799287.37</v>
      </c>
      <c r="T326" s="16">
        <v>644555.61</v>
      </c>
      <c r="U326" s="16">
        <v>154731.76</v>
      </c>
      <c r="V326" s="16">
        <f t="shared" si="289"/>
        <v>152428.06</v>
      </c>
      <c r="W326" s="16">
        <v>113745.12</v>
      </c>
      <c r="X326" s="16">
        <v>38682.94</v>
      </c>
      <c r="Y326" s="16">
        <f>Z326+AA326</f>
        <v>0</v>
      </c>
      <c r="Z326" s="16"/>
      <c r="AA326" s="16"/>
      <c r="AB326" s="16">
        <f>AC326+AD326</f>
        <v>19422.77</v>
      </c>
      <c r="AC326" s="16">
        <v>15475.55</v>
      </c>
      <c r="AD326" s="16">
        <v>3947.22</v>
      </c>
      <c r="AE326" s="16">
        <f t="shared" si="292"/>
        <v>971138.2</v>
      </c>
      <c r="AF326" s="16">
        <v>0</v>
      </c>
      <c r="AG326" s="16">
        <f t="shared" si="293"/>
        <v>971138.2</v>
      </c>
      <c r="AH326" s="63" t="s">
        <v>615</v>
      </c>
      <c r="AI326" s="21" t="s">
        <v>380</v>
      </c>
      <c r="AJ326" s="23">
        <f>97000-12225.11+76329.94+54447.72</f>
        <v>215552.55000000002</v>
      </c>
      <c r="AK326" s="23">
        <f>12225.11+10383.44</f>
        <v>22608.550000000003</v>
      </c>
    </row>
    <row r="327" spans="1:37" s="165" customFormat="1" ht="189" x14ac:dyDescent="0.25">
      <c r="A327" s="7">
        <v>321</v>
      </c>
      <c r="B327" s="7">
        <v>112820</v>
      </c>
      <c r="C327" s="11">
        <v>158</v>
      </c>
      <c r="D327" s="7" t="s">
        <v>1104</v>
      </c>
      <c r="E327" s="11" t="s">
        <v>165</v>
      </c>
      <c r="F327" s="9" t="s">
        <v>352</v>
      </c>
      <c r="G327" s="168" t="s">
        <v>1077</v>
      </c>
      <c r="H327" s="168" t="s">
        <v>1078</v>
      </c>
      <c r="I327" s="11" t="s">
        <v>380</v>
      </c>
      <c r="J327" s="138" t="s">
        <v>1079</v>
      </c>
      <c r="K327" s="13">
        <v>43361</v>
      </c>
      <c r="L327" s="26">
        <v>43847</v>
      </c>
      <c r="M327" s="14">
        <f t="shared" si="295"/>
        <v>82.304190832413511</v>
      </c>
      <c r="N327" s="7" t="s">
        <v>354</v>
      </c>
      <c r="O327" s="7" t="s">
        <v>260</v>
      </c>
      <c r="P327" s="7" t="s">
        <v>1080</v>
      </c>
      <c r="Q327" s="15" t="s">
        <v>356</v>
      </c>
      <c r="R327" s="191" t="s">
        <v>36</v>
      </c>
      <c r="S327" s="16">
        <f t="shared" si="288"/>
        <v>812316.52</v>
      </c>
      <c r="T327" s="16">
        <v>655062.47</v>
      </c>
      <c r="U327" s="16">
        <v>157254.04999999999</v>
      </c>
      <c r="V327" s="16">
        <f t="shared" si="289"/>
        <v>154912.70000000001</v>
      </c>
      <c r="W327" s="16">
        <v>115599.23</v>
      </c>
      <c r="X327" s="16">
        <v>39313.47</v>
      </c>
      <c r="Y327" s="16">
        <f t="shared" si="294"/>
        <v>0</v>
      </c>
      <c r="Z327" s="16"/>
      <c r="AA327" s="16"/>
      <c r="AB327" s="16">
        <f t="shared" si="296"/>
        <v>19739.379999999997</v>
      </c>
      <c r="AC327" s="16">
        <v>15727.8</v>
      </c>
      <c r="AD327" s="16">
        <v>4011.58</v>
      </c>
      <c r="AE327" s="16">
        <f t="shared" si="292"/>
        <v>986968.6</v>
      </c>
      <c r="AF327" s="16"/>
      <c r="AG327" s="16">
        <f t="shared" si="293"/>
        <v>986968.6</v>
      </c>
      <c r="AH327" s="63" t="s">
        <v>615</v>
      </c>
      <c r="AI327" s="21"/>
      <c r="AJ327" s="23">
        <f>98696.6-13570.14+70361.48+98696.6</f>
        <v>254184.54</v>
      </c>
      <c r="AK327" s="23">
        <f>13570.14+16082.18+1255.12</f>
        <v>30907.439999999999</v>
      </c>
    </row>
    <row r="328" spans="1:37" s="165" customFormat="1" ht="204.75" x14ac:dyDescent="0.25">
      <c r="A328" s="7">
        <v>322</v>
      </c>
      <c r="B328" s="7">
        <v>111916</v>
      </c>
      <c r="C328" s="11">
        <v>145</v>
      </c>
      <c r="D328" s="7" t="s">
        <v>1104</v>
      </c>
      <c r="E328" s="11" t="s">
        <v>165</v>
      </c>
      <c r="F328" s="9" t="s">
        <v>352</v>
      </c>
      <c r="G328" s="168" t="s">
        <v>1081</v>
      </c>
      <c r="H328" s="168" t="s">
        <v>1082</v>
      </c>
      <c r="I328" s="11" t="s">
        <v>380</v>
      </c>
      <c r="J328" s="138" t="s">
        <v>1083</v>
      </c>
      <c r="K328" s="13">
        <v>43361</v>
      </c>
      <c r="L328" s="26">
        <v>43847</v>
      </c>
      <c r="M328" s="14">
        <f t="shared" si="295"/>
        <v>82.304185955094169</v>
      </c>
      <c r="N328" s="7" t="s">
        <v>354</v>
      </c>
      <c r="O328" s="7" t="s">
        <v>974</v>
      </c>
      <c r="P328" s="7" t="s">
        <v>974</v>
      </c>
      <c r="Q328" s="15" t="s">
        <v>356</v>
      </c>
      <c r="R328" s="191" t="s">
        <v>36</v>
      </c>
      <c r="S328" s="16">
        <f t="shared" si="288"/>
        <v>810699.03</v>
      </c>
      <c r="T328" s="16">
        <v>653758.11</v>
      </c>
      <c r="U328" s="16">
        <v>156940.92000000001</v>
      </c>
      <c r="V328" s="16">
        <f t="shared" si="289"/>
        <v>154604.29</v>
      </c>
      <c r="W328" s="16">
        <v>115369.07</v>
      </c>
      <c r="X328" s="16">
        <v>39235.22</v>
      </c>
      <c r="Y328" s="16">
        <f t="shared" si="294"/>
        <v>0</v>
      </c>
      <c r="Z328" s="16"/>
      <c r="AA328" s="16"/>
      <c r="AB328" s="16">
        <f t="shared" si="296"/>
        <v>19700.080000000002</v>
      </c>
      <c r="AC328" s="16">
        <v>15696.51</v>
      </c>
      <c r="AD328" s="16">
        <v>4003.57</v>
      </c>
      <c r="AE328" s="16">
        <f t="shared" si="292"/>
        <v>985003.4</v>
      </c>
      <c r="AF328" s="16"/>
      <c r="AG328" s="16">
        <f t="shared" si="293"/>
        <v>985003.4</v>
      </c>
      <c r="AH328" s="63" t="s">
        <v>615</v>
      </c>
      <c r="AI328" s="21"/>
      <c r="AJ328" s="23">
        <f>98000+15936.3+98000+14229.11</f>
        <v>226165.40999999997</v>
      </c>
      <c r="AK328" s="23">
        <f>21728.22+21402.65</f>
        <v>43130.87</v>
      </c>
    </row>
    <row r="329" spans="1:37" s="165" customFormat="1" ht="96" customHeight="1" x14ac:dyDescent="0.25">
      <c r="A329" s="7">
        <v>323</v>
      </c>
      <c r="B329" s="7"/>
      <c r="C329" s="11">
        <v>392</v>
      </c>
      <c r="D329" s="7" t="s">
        <v>168</v>
      </c>
      <c r="E329" s="11" t="s">
        <v>165</v>
      </c>
      <c r="F329" s="9" t="s">
        <v>476</v>
      </c>
      <c r="G329" s="48" t="s">
        <v>1084</v>
      </c>
      <c r="H329" s="59" t="s">
        <v>1085</v>
      </c>
      <c r="I329" s="11" t="s">
        <v>1086</v>
      </c>
      <c r="J329" s="10" t="s">
        <v>1087</v>
      </c>
      <c r="K329" s="13">
        <v>43356</v>
      </c>
      <c r="L329" s="26">
        <v>44012</v>
      </c>
      <c r="M329" s="14">
        <f t="shared" si="295"/>
        <v>83.98386240618575</v>
      </c>
      <c r="N329" s="7" t="s">
        <v>354</v>
      </c>
      <c r="O329" s="7" t="s">
        <v>342</v>
      </c>
      <c r="P329" s="7" t="s">
        <v>342</v>
      </c>
      <c r="Q329" s="15" t="s">
        <v>157</v>
      </c>
      <c r="R329" s="7" t="s">
        <v>36</v>
      </c>
      <c r="S329" s="16">
        <f>T329+U329</f>
        <v>2443303.91</v>
      </c>
      <c r="T329" s="16">
        <v>1970311.71</v>
      </c>
      <c r="U329" s="16">
        <v>472992.2</v>
      </c>
      <c r="V329" s="16">
        <f t="shared" si="289"/>
        <v>0</v>
      </c>
      <c r="W329" s="16">
        <v>0</v>
      </c>
      <c r="X329" s="16">
        <v>0</v>
      </c>
      <c r="Y329" s="16">
        <f>Z329+AA329</f>
        <v>465950.13</v>
      </c>
      <c r="Z329" s="16">
        <v>347702.1</v>
      </c>
      <c r="AA329" s="16">
        <v>118248.03</v>
      </c>
      <c r="AB329" s="16">
        <f t="shared" si="296"/>
        <v>0</v>
      </c>
      <c r="AC329" s="16">
        <v>0</v>
      </c>
      <c r="AD329" s="16">
        <v>0</v>
      </c>
      <c r="AE329" s="16">
        <f t="shared" si="292"/>
        <v>2909254.04</v>
      </c>
      <c r="AF329" s="16"/>
      <c r="AG329" s="16">
        <f t="shared" si="293"/>
        <v>2909254.04</v>
      </c>
      <c r="AH329" s="63" t="s">
        <v>615</v>
      </c>
      <c r="AI329" s="21"/>
      <c r="AJ329" s="23">
        <v>23394.54</v>
      </c>
      <c r="AK329" s="23">
        <v>0</v>
      </c>
    </row>
    <row r="330" spans="1:37" s="165" customFormat="1" ht="141.75" x14ac:dyDescent="0.25">
      <c r="A330" s="7">
        <v>324</v>
      </c>
      <c r="B330" s="7">
        <v>109770</v>
      </c>
      <c r="C330" s="11">
        <v>300</v>
      </c>
      <c r="D330" s="7" t="s">
        <v>1351</v>
      </c>
      <c r="E330" s="11" t="s">
        <v>165</v>
      </c>
      <c r="F330" s="9" t="s">
        <v>352</v>
      </c>
      <c r="G330" s="48" t="s">
        <v>1088</v>
      </c>
      <c r="H330" s="24" t="s">
        <v>1089</v>
      </c>
      <c r="I330" s="11" t="s">
        <v>380</v>
      </c>
      <c r="J330" s="138" t="s">
        <v>1090</v>
      </c>
      <c r="K330" s="13">
        <v>43362</v>
      </c>
      <c r="L330" s="26">
        <v>43848</v>
      </c>
      <c r="M330" s="14">
        <f t="shared" si="295"/>
        <v>82.304184197970017</v>
      </c>
      <c r="N330" s="7" t="s">
        <v>354</v>
      </c>
      <c r="O330" s="7" t="s">
        <v>342</v>
      </c>
      <c r="P330" s="7" t="s">
        <v>342</v>
      </c>
      <c r="Q330" s="15" t="s">
        <v>356</v>
      </c>
      <c r="R330" s="7" t="s">
        <v>36</v>
      </c>
      <c r="S330" s="16">
        <f t="shared" si="288"/>
        <v>786369.83000000007</v>
      </c>
      <c r="T330" s="16">
        <v>634138.80000000005</v>
      </c>
      <c r="U330" s="16">
        <v>152231.03</v>
      </c>
      <c r="V330" s="16">
        <f t="shared" si="289"/>
        <v>149964.62</v>
      </c>
      <c r="W330" s="16">
        <v>111906.86</v>
      </c>
      <c r="X330" s="16">
        <v>38057.760000000002</v>
      </c>
      <c r="Y330" s="16">
        <f t="shared" si="294"/>
        <v>0</v>
      </c>
      <c r="Z330" s="16"/>
      <c r="AA330" s="16"/>
      <c r="AB330" s="16">
        <f t="shared" si="296"/>
        <v>19108.870000000003</v>
      </c>
      <c r="AC330" s="16">
        <v>15225.37</v>
      </c>
      <c r="AD330" s="16">
        <v>3883.5</v>
      </c>
      <c r="AE330" s="16">
        <f t="shared" si="292"/>
        <v>955443.32000000007</v>
      </c>
      <c r="AF330" s="16"/>
      <c r="AG330" s="16">
        <f t="shared" si="293"/>
        <v>955443.32000000007</v>
      </c>
      <c r="AH330" s="63" t="s">
        <v>615</v>
      </c>
      <c r="AI330" s="21"/>
      <c r="AJ330" s="23">
        <f>95544.32-8902.54+79756.49+100684.35-11646.04</f>
        <v>255436.58</v>
      </c>
      <c r="AK330" s="23">
        <f>13512.19+19201.01+11646.04</f>
        <v>44359.24</v>
      </c>
    </row>
    <row r="331" spans="1:37" s="165" customFormat="1" ht="141.75" x14ac:dyDescent="0.25">
      <c r="A331" s="7">
        <v>325</v>
      </c>
      <c r="B331" s="7">
        <v>112155</v>
      </c>
      <c r="C331" s="11">
        <v>224</v>
      </c>
      <c r="D331" s="7" t="s">
        <v>172</v>
      </c>
      <c r="E331" s="11" t="s">
        <v>165</v>
      </c>
      <c r="F331" s="9" t="s">
        <v>352</v>
      </c>
      <c r="G331" s="48" t="s">
        <v>1091</v>
      </c>
      <c r="H331" s="24" t="s">
        <v>1092</v>
      </c>
      <c r="I331" s="11" t="s">
        <v>1093</v>
      </c>
      <c r="J331" s="138" t="s">
        <v>1094</v>
      </c>
      <c r="K331" s="13">
        <v>43362</v>
      </c>
      <c r="L331" s="26">
        <v>43848</v>
      </c>
      <c r="M331" s="14">
        <f t="shared" si="295"/>
        <v>82.838169366221436</v>
      </c>
      <c r="N331" s="7" t="s">
        <v>354</v>
      </c>
      <c r="O331" s="7" t="s">
        <v>974</v>
      </c>
      <c r="P331" s="7" t="s">
        <v>974</v>
      </c>
      <c r="Q331" s="15" t="s">
        <v>356</v>
      </c>
      <c r="R331" s="7" t="s">
        <v>36</v>
      </c>
      <c r="S331" s="16">
        <f t="shared" si="288"/>
        <v>821979.66999999993</v>
      </c>
      <c r="T331" s="16">
        <v>662854.99</v>
      </c>
      <c r="U331" s="16">
        <v>159124.68</v>
      </c>
      <c r="V331" s="16">
        <f t="shared" si="289"/>
        <v>150446.51999999999</v>
      </c>
      <c r="W331" s="16">
        <v>111947.54</v>
      </c>
      <c r="X331" s="16">
        <v>38498.980000000003</v>
      </c>
      <c r="Y331" s="16">
        <f t="shared" si="294"/>
        <v>6308.99</v>
      </c>
      <c r="Z331" s="16">
        <v>5026.83</v>
      </c>
      <c r="AA331" s="16">
        <v>1282.1600000000001</v>
      </c>
      <c r="AB331" s="16">
        <f t="shared" si="296"/>
        <v>13536.47</v>
      </c>
      <c r="AC331" s="16">
        <v>10785.47</v>
      </c>
      <c r="AD331" s="16">
        <v>2751</v>
      </c>
      <c r="AE331" s="16">
        <f t="shared" si="292"/>
        <v>992271.64999999991</v>
      </c>
      <c r="AF331" s="16"/>
      <c r="AG331" s="16">
        <f t="shared" si="293"/>
        <v>992271.64999999991</v>
      </c>
      <c r="AH331" s="63" t="s">
        <v>615</v>
      </c>
      <c r="AI331" s="21"/>
      <c r="AJ331" s="23">
        <v>99227.15</v>
      </c>
      <c r="AK331" s="23">
        <v>0</v>
      </c>
    </row>
    <row r="332" spans="1:37" s="165" customFormat="1" ht="252" x14ac:dyDescent="0.25">
      <c r="A332" s="7">
        <v>326</v>
      </c>
      <c r="B332" s="7">
        <v>111612</v>
      </c>
      <c r="C332" s="11">
        <v>153</v>
      </c>
      <c r="D332" s="7" t="s">
        <v>1104</v>
      </c>
      <c r="E332" s="11" t="s">
        <v>165</v>
      </c>
      <c r="F332" s="9" t="s">
        <v>352</v>
      </c>
      <c r="G332" s="24" t="s">
        <v>1099</v>
      </c>
      <c r="H332" s="24" t="s">
        <v>1100</v>
      </c>
      <c r="I332" s="11" t="s">
        <v>1101</v>
      </c>
      <c r="J332" s="138" t="s">
        <v>1102</v>
      </c>
      <c r="K332" s="13">
        <v>43371</v>
      </c>
      <c r="L332" s="26">
        <v>43796</v>
      </c>
      <c r="M332" s="14">
        <f>S332/AE332*100</f>
        <v>82.304183068176116</v>
      </c>
      <c r="N332" s="7" t="s">
        <v>354</v>
      </c>
      <c r="O332" s="7" t="s">
        <v>342</v>
      </c>
      <c r="P332" s="7" t="s">
        <v>342</v>
      </c>
      <c r="Q332" s="15" t="s">
        <v>356</v>
      </c>
      <c r="R332" s="7" t="s">
        <v>36</v>
      </c>
      <c r="S332" s="16">
        <f t="shared" ref="S332:S346" si="303">T332+U332</f>
        <v>719578.88</v>
      </c>
      <c r="T332" s="16">
        <v>580277.67000000004</v>
      </c>
      <c r="U332" s="16">
        <v>139301.21</v>
      </c>
      <c r="V332" s="16">
        <f t="shared" ref="V332:V346" si="304">W332+X332</f>
        <v>137227.27000000002</v>
      </c>
      <c r="W332" s="16">
        <v>102401.97</v>
      </c>
      <c r="X332" s="16">
        <v>34825.300000000003</v>
      </c>
      <c r="Y332" s="16">
        <f t="shared" ref="Y332:Y346" si="305">Z332+AA332</f>
        <v>0</v>
      </c>
      <c r="Z332" s="16">
        <v>0</v>
      </c>
      <c r="AA332" s="16">
        <v>0</v>
      </c>
      <c r="AB332" s="16">
        <f t="shared" ref="AB332:AB346" si="306">AC332+AD332</f>
        <v>17485.84</v>
      </c>
      <c r="AC332" s="16">
        <v>13932.24</v>
      </c>
      <c r="AD332" s="16">
        <v>3553.6</v>
      </c>
      <c r="AE332" s="16">
        <f t="shared" ref="AE332:AE346" si="307">S332+V332+Y332+AB332</f>
        <v>874291.99</v>
      </c>
      <c r="AF332" s="16"/>
      <c r="AG332" s="16">
        <f t="shared" ref="AG332:AG346" si="308">AE332+AF332</f>
        <v>874291.99</v>
      </c>
      <c r="AH332" s="63" t="s">
        <v>615</v>
      </c>
      <c r="AI332" s="21"/>
      <c r="AJ332" s="23">
        <f>87429.19-11092.62+65731.05+20127.08</f>
        <v>162194.70000000001</v>
      </c>
      <c r="AK332" s="23">
        <f>11092.62+3838.33</f>
        <v>14930.95</v>
      </c>
    </row>
    <row r="333" spans="1:37" s="165" customFormat="1" ht="390" customHeight="1" x14ac:dyDescent="0.25">
      <c r="A333" s="7">
        <v>327</v>
      </c>
      <c r="B333" s="7">
        <v>110058</v>
      </c>
      <c r="C333" s="11">
        <v>302</v>
      </c>
      <c r="D333" s="7" t="s">
        <v>1104</v>
      </c>
      <c r="E333" s="11" t="s">
        <v>165</v>
      </c>
      <c r="F333" s="9" t="s">
        <v>352</v>
      </c>
      <c r="G333" s="48" t="s">
        <v>1105</v>
      </c>
      <c r="H333" s="24" t="s">
        <v>1106</v>
      </c>
      <c r="I333" s="11" t="s">
        <v>1107</v>
      </c>
      <c r="J333" s="12" t="s">
        <v>1108</v>
      </c>
      <c r="K333" s="13">
        <v>43370</v>
      </c>
      <c r="L333" s="26">
        <v>43857</v>
      </c>
      <c r="M333" s="14">
        <f>S333/AE333*100</f>
        <v>82.767157561916832</v>
      </c>
      <c r="N333" s="7" t="s">
        <v>354</v>
      </c>
      <c r="O333" s="7" t="s">
        <v>342</v>
      </c>
      <c r="P333" s="7" t="s">
        <v>342</v>
      </c>
      <c r="Q333" s="15" t="s">
        <v>356</v>
      </c>
      <c r="R333" s="7" t="s">
        <v>36</v>
      </c>
      <c r="S333" s="16">
        <f t="shared" si="303"/>
        <v>803873.75</v>
      </c>
      <c r="T333" s="16">
        <v>648254.14</v>
      </c>
      <c r="U333" s="16">
        <v>155619.60999999999</v>
      </c>
      <c r="V333" s="16">
        <f t="shared" si="304"/>
        <v>147948.57</v>
      </c>
      <c r="W333" s="16">
        <v>110131.78</v>
      </c>
      <c r="X333" s="16">
        <v>37816.79</v>
      </c>
      <c r="Y333" s="16">
        <f t="shared" si="305"/>
        <v>0</v>
      </c>
      <c r="Z333" s="16"/>
      <c r="AA333" s="16"/>
      <c r="AB333" s="16">
        <f t="shared" si="306"/>
        <v>19424.939999999999</v>
      </c>
      <c r="AC333" s="16">
        <v>15477.26</v>
      </c>
      <c r="AD333" s="16">
        <v>3947.68</v>
      </c>
      <c r="AE333" s="16">
        <f t="shared" si="307"/>
        <v>971247.26</v>
      </c>
      <c r="AF333" s="27"/>
      <c r="AG333" s="16">
        <f t="shared" si="308"/>
        <v>971247.26</v>
      </c>
      <c r="AH333" s="63" t="s">
        <v>615</v>
      </c>
      <c r="AI333" s="21"/>
      <c r="AJ333" s="23">
        <f>97124.72-2315.04+144614.75+20673.18</f>
        <v>260097.61</v>
      </c>
      <c r="AK333" s="23">
        <f>2315.04+24491.87+3942.46</f>
        <v>30749.37</v>
      </c>
    </row>
    <row r="334" spans="1:37" s="165" customFormat="1" ht="390" customHeight="1" x14ac:dyDescent="0.25">
      <c r="A334" s="7">
        <v>328</v>
      </c>
      <c r="B334" s="7">
        <v>111482</v>
      </c>
      <c r="C334" s="11">
        <v>133</v>
      </c>
      <c r="D334" s="7" t="s">
        <v>1104</v>
      </c>
      <c r="E334" s="11" t="s">
        <v>165</v>
      </c>
      <c r="F334" s="9" t="s">
        <v>352</v>
      </c>
      <c r="G334" s="24" t="s">
        <v>1115</v>
      </c>
      <c r="H334" s="24" t="s">
        <v>1114</v>
      </c>
      <c r="I334" s="11" t="s">
        <v>1116</v>
      </c>
      <c r="J334" s="12" t="s">
        <v>1117</v>
      </c>
      <c r="K334" s="13">
        <v>43376</v>
      </c>
      <c r="L334" s="26">
        <v>43864</v>
      </c>
      <c r="M334" s="14">
        <f t="shared" ref="M334:M346" si="309">S334/AE334*100</f>
        <v>82.928005929547282</v>
      </c>
      <c r="N334" s="7" t="s">
        <v>354</v>
      </c>
      <c r="O334" s="7" t="s">
        <v>333</v>
      </c>
      <c r="P334" s="7" t="s">
        <v>1118</v>
      </c>
      <c r="Q334" s="15" t="s">
        <v>356</v>
      </c>
      <c r="R334" s="7" t="s">
        <v>36</v>
      </c>
      <c r="S334" s="16">
        <f t="shared" si="303"/>
        <v>795878.74</v>
      </c>
      <c r="T334" s="16">
        <v>641806.86</v>
      </c>
      <c r="U334" s="16">
        <v>154071.88</v>
      </c>
      <c r="V334" s="16">
        <f t="shared" si="304"/>
        <v>144649.33000000002</v>
      </c>
      <c r="W334" s="16">
        <v>107580.1</v>
      </c>
      <c r="X334" s="16">
        <v>37069.230000000003</v>
      </c>
      <c r="Y334" s="16">
        <f t="shared" si="305"/>
        <v>0</v>
      </c>
      <c r="Z334" s="16"/>
      <c r="AA334" s="16"/>
      <c r="AB334" s="16">
        <f t="shared" si="306"/>
        <v>19194.440000000002</v>
      </c>
      <c r="AC334" s="16">
        <v>15293.61</v>
      </c>
      <c r="AD334" s="16">
        <v>3900.83</v>
      </c>
      <c r="AE334" s="16">
        <f t="shared" si="307"/>
        <v>959722.51</v>
      </c>
      <c r="AF334" s="27"/>
      <c r="AG334" s="16">
        <f t="shared" si="308"/>
        <v>959722.51</v>
      </c>
      <c r="AH334" s="63" t="s">
        <v>901</v>
      </c>
      <c r="AI334" s="21"/>
      <c r="AJ334" s="23">
        <f>94052.8+22014.67+75007.09-1587.76</f>
        <v>189486.8</v>
      </c>
      <c r="AK334" s="23">
        <f>7963.77+14304.23+1587.76</f>
        <v>23855.759999999998</v>
      </c>
    </row>
    <row r="335" spans="1:37" s="165" customFormat="1" ht="390" customHeight="1" x14ac:dyDescent="0.25">
      <c r="A335" s="7">
        <v>329</v>
      </c>
      <c r="B335" s="7">
        <v>112266</v>
      </c>
      <c r="C335" s="11">
        <v>310</v>
      </c>
      <c r="D335" s="7" t="s">
        <v>168</v>
      </c>
      <c r="E335" s="11" t="s">
        <v>165</v>
      </c>
      <c r="F335" s="9" t="s">
        <v>352</v>
      </c>
      <c r="G335" s="24" t="s">
        <v>1119</v>
      </c>
      <c r="H335" s="24" t="s">
        <v>1120</v>
      </c>
      <c r="I335" s="11" t="s">
        <v>1121</v>
      </c>
      <c r="J335" s="12" t="s">
        <v>1122</v>
      </c>
      <c r="K335" s="13">
        <v>43376</v>
      </c>
      <c r="L335" s="26">
        <v>43801</v>
      </c>
      <c r="M335" s="14">
        <f t="shared" si="309"/>
        <v>83.010839519489394</v>
      </c>
      <c r="N335" s="7" t="s">
        <v>354</v>
      </c>
      <c r="O335" s="7" t="s">
        <v>342</v>
      </c>
      <c r="P335" s="7" t="s">
        <v>342</v>
      </c>
      <c r="Q335" s="15" t="s">
        <v>157</v>
      </c>
      <c r="R335" s="7" t="s">
        <v>36</v>
      </c>
      <c r="S335" s="16">
        <f t="shared" si="303"/>
        <v>830076.27</v>
      </c>
      <c r="T335" s="16">
        <v>669384.21</v>
      </c>
      <c r="U335" s="16">
        <v>160692.06</v>
      </c>
      <c r="V335" s="16">
        <f t="shared" si="304"/>
        <v>149885.79999999999</v>
      </c>
      <c r="W335" s="16">
        <v>111422.7</v>
      </c>
      <c r="X335" s="16">
        <v>38463.1</v>
      </c>
      <c r="Y335" s="16">
        <f t="shared" si="305"/>
        <v>0</v>
      </c>
      <c r="Z335" s="16"/>
      <c r="AA335" s="16"/>
      <c r="AB335" s="16">
        <f t="shared" si="306"/>
        <v>19999.23</v>
      </c>
      <c r="AC335" s="16">
        <v>15934.82</v>
      </c>
      <c r="AD335" s="16">
        <v>4064.41</v>
      </c>
      <c r="AE335" s="16">
        <f t="shared" si="307"/>
        <v>999961.3</v>
      </c>
      <c r="AF335" s="27"/>
      <c r="AG335" s="16">
        <f t="shared" si="308"/>
        <v>999961.3</v>
      </c>
      <c r="AH335" s="63" t="s">
        <v>901</v>
      </c>
      <c r="AI335" s="21"/>
      <c r="AJ335" s="23">
        <f>99996.13-6665.57+73099.14-794.96+84527.06</f>
        <v>250161.80000000002</v>
      </c>
      <c r="AK335" s="23">
        <f>11707.76+14823.26</f>
        <v>26531.02</v>
      </c>
    </row>
    <row r="336" spans="1:37" s="165" customFormat="1" ht="390" customHeight="1" x14ac:dyDescent="0.25">
      <c r="A336" s="7">
        <v>330</v>
      </c>
      <c r="B336" s="7">
        <v>118704</v>
      </c>
      <c r="C336" s="11">
        <v>434</v>
      </c>
      <c r="D336" s="7" t="s">
        <v>172</v>
      </c>
      <c r="E336" s="11" t="s">
        <v>1112</v>
      </c>
      <c r="F336" s="51" t="s">
        <v>660</v>
      </c>
      <c r="G336" s="48" t="s">
        <v>1123</v>
      </c>
      <c r="H336" s="24" t="s">
        <v>1124</v>
      </c>
      <c r="I336" s="11" t="s">
        <v>384</v>
      </c>
      <c r="J336" s="12" t="s">
        <v>1125</v>
      </c>
      <c r="K336" s="13">
        <v>43389</v>
      </c>
      <c r="L336" s="26">
        <v>43846</v>
      </c>
      <c r="M336" s="14">
        <f t="shared" si="309"/>
        <v>83.983864465105967</v>
      </c>
      <c r="N336" s="7" t="s">
        <v>354</v>
      </c>
      <c r="O336" s="7" t="s">
        <v>342</v>
      </c>
      <c r="P336" s="7" t="s">
        <v>342</v>
      </c>
      <c r="Q336" s="15" t="s">
        <v>157</v>
      </c>
      <c r="R336" s="191" t="s">
        <v>36</v>
      </c>
      <c r="S336" s="16">
        <f t="shared" si="303"/>
        <v>1448623.93</v>
      </c>
      <c r="T336" s="16">
        <v>1168188.98</v>
      </c>
      <c r="U336" s="16">
        <v>280434.95</v>
      </c>
      <c r="V336" s="16">
        <f t="shared" si="304"/>
        <v>0</v>
      </c>
      <c r="W336" s="16">
        <v>0</v>
      </c>
      <c r="X336" s="16">
        <v>0</v>
      </c>
      <c r="Y336" s="16">
        <f>Z336+AA336</f>
        <v>0</v>
      </c>
      <c r="Z336" s="16">
        <v>0</v>
      </c>
      <c r="AA336" s="16">
        <v>0</v>
      </c>
      <c r="AB336" s="16">
        <f>AC336+AD336</f>
        <v>276259.7</v>
      </c>
      <c r="AC336" s="16">
        <v>206150.96</v>
      </c>
      <c r="AD336" s="16">
        <v>70108.740000000005</v>
      </c>
      <c r="AE336" s="16">
        <f t="shared" si="307"/>
        <v>1724883.63</v>
      </c>
      <c r="AF336" s="27">
        <v>458944.63</v>
      </c>
      <c r="AG336" s="16">
        <f t="shared" si="308"/>
        <v>2183828.2599999998</v>
      </c>
      <c r="AH336" s="63" t="s">
        <v>901</v>
      </c>
      <c r="AI336" s="21" t="s">
        <v>1323</v>
      </c>
      <c r="AJ336" s="23">
        <v>88271.18</v>
      </c>
      <c r="AK336" s="23">
        <v>0</v>
      </c>
    </row>
    <row r="337" spans="1:37" s="165" customFormat="1" ht="288.75" customHeight="1" x14ac:dyDescent="0.25">
      <c r="A337" s="7">
        <v>331</v>
      </c>
      <c r="B337" s="7">
        <v>111265</v>
      </c>
      <c r="C337" s="11">
        <v>156</v>
      </c>
      <c r="D337" s="7" t="s">
        <v>1104</v>
      </c>
      <c r="E337" s="11" t="s">
        <v>165</v>
      </c>
      <c r="F337" s="9" t="s">
        <v>352</v>
      </c>
      <c r="G337" s="48" t="s">
        <v>1131</v>
      </c>
      <c r="H337" s="24" t="s">
        <v>1160</v>
      </c>
      <c r="I337" s="11" t="s">
        <v>1132</v>
      </c>
      <c r="J337" s="12" t="s">
        <v>1133</v>
      </c>
      <c r="K337" s="13">
        <v>43390</v>
      </c>
      <c r="L337" s="26">
        <v>43877</v>
      </c>
      <c r="M337" s="14">
        <f t="shared" si="309"/>
        <v>82.30418508577705</v>
      </c>
      <c r="N337" s="7" t="s">
        <v>354</v>
      </c>
      <c r="O337" s="7" t="s">
        <v>300</v>
      </c>
      <c r="P337" s="7" t="s">
        <v>300</v>
      </c>
      <c r="Q337" s="15" t="s">
        <v>356</v>
      </c>
      <c r="R337" s="7" t="s">
        <v>36</v>
      </c>
      <c r="S337" s="16">
        <f t="shared" si="303"/>
        <v>800497.5</v>
      </c>
      <c r="T337" s="16">
        <v>645531.51</v>
      </c>
      <c r="U337" s="16">
        <v>154965.99</v>
      </c>
      <c r="V337" s="16">
        <f t="shared" si="304"/>
        <v>152658.83000000002</v>
      </c>
      <c r="W337" s="16">
        <v>113917.32</v>
      </c>
      <c r="X337" s="16">
        <v>38741.51</v>
      </c>
      <c r="Y337" s="16">
        <f t="shared" si="305"/>
        <v>0</v>
      </c>
      <c r="Z337" s="16"/>
      <c r="AA337" s="16"/>
      <c r="AB337" s="16">
        <f t="shared" si="306"/>
        <v>19452.170000000002</v>
      </c>
      <c r="AC337" s="16">
        <v>15498.95</v>
      </c>
      <c r="AD337" s="16">
        <v>3953.22</v>
      </c>
      <c r="AE337" s="16">
        <f t="shared" si="307"/>
        <v>972608.50000000012</v>
      </c>
      <c r="AF337" s="27"/>
      <c r="AG337" s="16">
        <f t="shared" si="308"/>
        <v>972608.50000000012</v>
      </c>
      <c r="AH337" s="63" t="s">
        <v>901</v>
      </c>
      <c r="AI337" s="21"/>
      <c r="AJ337" s="23">
        <f>65068.03-7463.91+95685.5</f>
        <v>153289.62</v>
      </c>
      <c r="AK337" s="23">
        <v>10985.39</v>
      </c>
    </row>
    <row r="338" spans="1:37" s="165" customFormat="1" ht="390" customHeight="1" x14ac:dyDescent="0.25">
      <c r="A338" s="7">
        <v>332</v>
      </c>
      <c r="B338" s="7">
        <v>112719</v>
      </c>
      <c r="C338" s="11">
        <v>287</v>
      </c>
      <c r="D338" s="7" t="s">
        <v>1351</v>
      </c>
      <c r="E338" s="11" t="s">
        <v>165</v>
      </c>
      <c r="F338" s="9" t="s">
        <v>352</v>
      </c>
      <c r="G338" s="207" t="s">
        <v>1144</v>
      </c>
      <c r="H338" s="24" t="s">
        <v>1145</v>
      </c>
      <c r="I338" s="11" t="s">
        <v>1146</v>
      </c>
      <c r="J338" s="12" t="s">
        <v>1147</v>
      </c>
      <c r="K338" s="13">
        <v>43399</v>
      </c>
      <c r="L338" s="26">
        <v>43886</v>
      </c>
      <c r="M338" s="14">
        <f t="shared" si="309"/>
        <v>82.304184463081299</v>
      </c>
      <c r="N338" s="7" t="s">
        <v>354</v>
      </c>
      <c r="O338" s="7" t="s">
        <v>156</v>
      </c>
      <c r="P338" s="7" t="s">
        <v>156</v>
      </c>
      <c r="Q338" s="15" t="s">
        <v>356</v>
      </c>
      <c r="R338" s="7" t="s">
        <v>36</v>
      </c>
      <c r="S338" s="16">
        <f t="shared" si="303"/>
        <v>780735</v>
      </c>
      <c r="T338" s="16">
        <v>629594.75</v>
      </c>
      <c r="U338" s="16">
        <v>151140.25</v>
      </c>
      <c r="V338" s="16">
        <f t="shared" si="304"/>
        <v>148890.03999999998</v>
      </c>
      <c r="W338" s="16">
        <v>111105.01</v>
      </c>
      <c r="X338" s="16">
        <v>37785.03</v>
      </c>
      <c r="Y338" s="16">
        <f>Z338+AA338</f>
        <v>0</v>
      </c>
      <c r="Z338" s="16"/>
      <c r="AA338" s="16"/>
      <c r="AB338" s="16">
        <f>AC338+AD338</f>
        <v>18971.93</v>
      </c>
      <c r="AC338" s="16">
        <v>15116.28</v>
      </c>
      <c r="AD338" s="16">
        <v>3855.65</v>
      </c>
      <c r="AE338" s="16">
        <f t="shared" si="307"/>
        <v>948596.97000000009</v>
      </c>
      <c r="AF338" s="27"/>
      <c r="AG338" s="16">
        <f t="shared" si="308"/>
        <v>948596.97000000009</v>
      </c>
      <c r="AH338" s="63" t="s">
        <v>901</v>
      </c>
      <c r="AI338" s="21"/>
      <c r="AJ338" s="23">
        <f>60847.25+46274.32+74884.92+83101.32</f>
        <v>265107.81</v>
      </c>
      <c r="AK338" s="23">
        <f>12128.97+6500.12+15847.83</f>
        <v>34476.92</v>
      </c>
    </row>
    <row r="339" spans="1:37" s="165" customFormat="1" ht="390" customHeight="1" x14ac:dyDescent="0.25">
      <c r="A339" s="7">
        <v>333</v>
      </c>
      <c r="B339" s="7">
        <v>112591</v>
      </c>
      <c r="C339" s="11">
        <v>205</v>
      </c>
      <c r="D339" s="7" t="s">
        <v>172</v>
      </c>
      <c r="E339" s="11" t="s">
        <v>165</v>
      </c>
      <c r="F339" s="9" t="s">
        <v>352</v>
      </c>
      <c r="G339" s="207" t="s">
        <v>1148</v>
      </c>
      <c r="H339" s="24" t="s">
        <v>1149</v>
      </c>
      <c r="I339" s="11" t="s">
        <v>1151</v>
      </c>
      <c r="J339" s="12" t="s">
        <v>1150</v>
      </c>
      <c r="K339" s="13">
        <v>43404</v>
      </c>
      <c r="L339" s="26">
        <v>43890</v>
      </c>
      <c r="M339" s="14">
        <f t="shared" si="309"/>
        <v>82.304184626261033</v>
      </c>
      <c r="N339" s="7" t="s">
        <v>354</v>
      </c>
      <c r="O339" s="7" t="s">
        <v>342</v>
      </c>
      <c r="P339" s="7" t="s">
        <v>342</v>
      </c>
      <c r="Q339" s="15" t="s">
        <v>356</v>
      </c>
      <c r="R339" s="7" t="s">
        <v>36</v>
      </c>
      <c r="S339" s="16">
        <f t="shared" si="303"/>
        <v>767059.33000000007</v>
      </c>
      <c r="T339" s="16">
        <v>618566.51</v>
      </c>
      <c r="U339" s="16">
        <v>148492.82</v>
      </c>
      <c r="V339" s="16">
        <f t="shared" si="304"/>
        <v>146282.01</v>
      </c>
      <c r="W339" s="16">
        <v>109158.81</v>
      </c>
      <c r="X339" s="16">
        <v>37123.199999999997</v>
      </c>
      <c r="Y339" s="16">
        <f t="shared" si="305"/>
        <v>0</v>
      </c>
      <c r="Z339" s="16"/>
      <c r="AA339" s="16"/>
      <c r="AB339" s="16">
        <f t="shared" si="306"/>
        <v>18639.620000000003</v>
      </c>
      <c r="AC339" s="16">
        <v>14851.54</v>
      </c>
      <c r="AD339" s="16">
        <v>3788.08</v>
      </c>
      <c r="AE339" s="16">
        <f t="shared" si="307"/>
        <v>931980.96000000008</v>
      </c>
      <c r="AF339" s="27"/>
      <c r="AG339" s="16">
        <f t="shared" si="308"/>
        <v>931980.96000000008</v>
      </c>
      <c r="AH339" s="63" t="s">
        <v>901</v>
      </c>
      <c r="AI339" s="21" t="s">
        <v>1416</v>
      </c>
      <c r="AJ339" s="23">
        <v>91333</v>
      </c>
      <c r="AK339" s="23">
        <v>0</v>
      </c>
    </row>
    <row r="340" spans="1:37" s="165" customFormat="1" ht="390" customHeight="1" x14ac:dyDescent="0.25">
      <c r="A340" s="7">
        <v>334</v>
      </c>
      <c r="B340" s="7">
        <v>109897</v>
      </c>
      <c r="C340" s="11">
        <v>159</v>
      </c>
      <c r="D340" s="7" t="s">
        <v>1104</v>
      </c>
      <c r="E340" s="11" t="s">
        <v>165</v>
      </c>
      <c r="F340" s="9" t="s">
        <v>352</v>
      </c>
      <c r="G340" s="208" t="s">
        <v>1158</v>
      </c>
      <c r="H340" s="24" t="s">
        <v>1159</v>
      </c>
      <c r="I340" s="11" t="s">
        <v>380</v>
      </c>
      <c r="J340" s="68" t="s">
        <v>1425</v>
      </c>
      <c r="K340" s="13">
        <v>43418</v>
      </c>
      <c r="L340" s="13">
        <v>43903</v>
      </c>
      <c r="M340" s="14">
        <f t="shared" si="309"/>
        <v>82.304184553403289</v>
      </c>
      <c r="N340" s="7" t="s">
        <v>354</v>
      </c>
      <c r="O340" s="7" t="s">
        <v>342</v>
      </c>
      <c r="P340" s="7" t="s">
        <v>156</v>
      </c>
      <c r="Q340" s="15" t="s">
        <v>356</v>
      </c>
      <c r="R340" s="7" t="s">
        <v>36</v>
      </c>
      <c r="S340" s="16">
        <f t="shared" si="303"/>
        <v>763718.79999999993</v>
      </c>
      <c r="T340" s="16">
        <v>615872.68999999994</v>
      </c>
      <c r="U340" s="16">
        <v>147846.10999999999</v>
      </c>
      <c r="V340" s="16">
        <f t="shared" si="304"/>
        <v>145644.95000000001</v>
      </c>
      <c r="W340" s="16">
        <v>108683.4</v>
      </c>
      <c r="X340" s="16">
        <v>36961.550000000003</v>
      </c>
      <c r="Y340" s="16">
        <f t="shared" si="305"/>
        <v>0</v>
      </c>
      <c r="Z340" s="16"/>
      <c r="AA340" s="16"/>
      <c r="AB340" s="16">
        <f t="shared" si="306"/>
        <v>18558.45</v>
      </c>
      <c r="AC340" s="16">
        <v>14786.86</v>
      </c>
      <c r="AD340" s="16">
        <v>3771.59</v>
      </c>
      <c r="AE340" s="16">
        <f t="shared" si="307"/>
        <v>927922.2</v>
      </c>
      <c r="AF340" s="27"/>
      <c r="AG340" s="16">
        <f t="shared" si="308"/>
        <v>927922.2</v>
      </c>
      <c r="AH340" s="63" t="s">
        <v>901</v>
      </c>
      <c r="AI340" s="21"/>
      <c r="AJ340" s="23">
        <f>92792.22-7961.38+49708.54</f>
        <v>134539.38</v>
      </c>
      <c r="AK340" s="23">
        <v>7961.38</v>
      </c>
    </row>
    <row r="341" spans="1:37" s="165" customFormat="1" ht="141.75" x14ac:dyDescent="0.25">
      <c r="A341" s="7">
        <v>335</v>
      </c>
      <c r="B341" s="7">
        <v>127778</v>
      </c>
      <c r="C341" s="11">
        <v>580</v>
      </c>
      <c r="D341" s="7" t="s">
        <v>171</v>
      </c>
      <c r="E341" s="11" t="s">
        <v>165</v>
      </c>
      <c r="F341" s="9" t="s">
        <v>1291</v>
      </c>
      <c r="G341" s="208" t="s">
        <v>1212</v>
      </c>
      <c r="H341" s="24" t="s">
        <v>1213</v>
      </c>
      <c r="I341" s="11" t="s">
        <v>380</v>
      </c>
      <c r="J341" s="68" t="s">
        <v>1214</v>
      </c>
      <c r="K341" s="13">
        <v>43447</v>
      </c>
      <c r="L341" s="13">
        <v>44543</v>
      </c>
      <c r="M341" s="14">
        <f t="shared" si="309"/>
        <v>83.983863103096297</v>
      </c>
      <c r="N341" s="7" t="s">
        <v>354</v>
      </c>
      <c r="O341" s="7" t="s">
        <v>342</v>
      </c>
      <c r="P341" s="7" t="s">
        <v>342</v>
      </c>
      <c r="Q341" s="15" t="s">
        <v>157</v>
      </c>
      <c r="R341" s="7" t="s">
        <v>36</v>
      </c>
      <c r="S341" s="16">
        <f t="shared" si="303"/>
        <v>10837735.809999999</v>
      </c>
      <c r="T341" s="16">
        <v>8739689.6799999997</v>
      </c>
      <c r="U341" s="16">
        <v>2098046.13</v>
      </c>
      <c r="V341" s="16">
        <f t="shared" si="304"/>
        <v>0</v>
      </c>
      <c r="W341" s="16">
        <v>0</v>
      </c>
      <c r="X341" s="16">
        <v>0</v>
      </c>
      <c r="Y341" s="16">
        <f t="shared" si="305"/>
        <v>2066809.67</v>
      </c>
      <c r="Z341" s="16">
        <v>1542298.16</v>
      </c>
      <c r="AA341" s="16">
        <v>524511.51</v>
      </c>
      <c r="AB341" s="16">
        <f t="shared" si="306"/>
        <v>0</v>
      </c>
      <c r="AC341" s="16">
        <v>0</v>
      </c>
      <c r="AD341" s="16">
        <v>0</v>
      </c>
      <c r="AE341" s="16">
        <f t="shared" si="307"/>
        <v>12904545.479999999</v>
      </c>
      <c r="AF341" s="27">
        <v>0</v>
      </c>
      <c r="AG341" s="16">
        <f t="shared" si="308"/>
        <v>12904545.479999999</v>
      </c>
      <c r="AH341" s="63" t="s">
        <v>901</v>
      </c>
      <c r="AI341" s="21" t="s">
        <v>380</v>
      </c>
      <c r="AJ341" s="23">
        <v>4232165.5</v>
      </c>
      <c r="AK341" s="23">
        <v>0</v>
      </c>
    </row>
    <row r="342" spans="1:37" s="165" customFormat="1" ht="173.25" x14ac:dyDescent="0.25">
      <c r="A342" s="7">
        <v>336</v>
      </c>
      <c r="B342" s="7">
        <v>127575</v>
      </c>
      <c r="C342" s="11">
        <v>604</v>
      </c>
      <c r="D342" s="7" t="s">
        <v>163</v>
      </c>
      <c r="E342" s="11" t="s">
        <v>165</v>
      </c>
      <c r="F342" s="9" t="s">
        <v>1291</v>
      </c>
      <c r="G342" s="208" t="s">
        <v>1227</v>
      </c>
      <c r="H342" s="24" t="s">
        <v>1228</v>
      </c>
      <c r="I342" s="11" t="s">
        <v>380</v>
      </c>
      <c r="J342" s="68" t="s">
        <v>1231</v>
      </c>
      <c r="K342" s="13">
        <v>43448</v>
      </c>
      <c r="L342" s="13">
        <v>44179</v>
      </c>
      <c r="M342" s="14">
        <f t="shared" si="309"/>
        <v>83.983862830635374</v>
      </c>
      <c r="N342" s="7" t="s">
        <v>354</v>
      </c>
      <c r="O342" s="7" t="s">
        <v>342</v>
      </c>
      <c r="P342" s="7" t="s">
        <v>342</v>
      </c>
      <c r="Q342" s="15" t="s">
        <v>157</v>
      </c>
      <c r="R342" s="7" t="s">
        <v>36</v>
      </c>
      <c r="S342" s="16">
        <f t="shared" si="303"/>
        <v>71134346.120000005</v>
      </c>
      <c r="T342" s="16">
        <v>57363652.549999997</v>
      </c>
      <c r="U342" s="16">
        <v>13770693.57</v>
      </c>
      <c r="V342" s="16">
        <f t="shared" si="304"/>
        <v>0</v>
      </c>
      <c r="W342" s="16">
        <v>0</v>
      </c>
      <c r="X342" s="16">
        <v>0</v>
      </c>
      <c r="Y342" s="16">
        <f t="shared" si="305"/>
        <v>13565670.91</v>
      </c>
      <c r="Z342" s="16">
        <v>10122997.52</v>
      </c>
      <c r="AA342" s="16">
        <v>3442673.39</v>
      </c>
      <c r="AB342" s="16">
        <f t="shared" si="306"/>
        <v>0</v>
      </c>
      <c r="AC342" s="16">
        <v>0</v>
      </c>
      <c r="AD342" s="16">
        <v>0</v>
      </c>
      <c r="AE342" s="16">
        <f t="shared" si="307"/>
        <v>84700017.030000001</v>
      </c>
      <c r="AF342" s="27">
        <v>0</v>
      </c>
      <c r="AG342" s="16">
        <f t="shared" si="308"/>
        <v>84700017.030000001</v>
      </c>
      <c r="AH342" s="63" t="s">
        <v>901</v>
      </c>
      <c r="AI342" s="21"/>
      <c r="AJ342" s="23">
        <v>64794622.270000003</v>
      </c>
      <c r="AK342" s="23">
        <v>0</v>
      </c>
    </row>
    <row r="343" spans="1:37" s="165" customFormat="1" ht="141.75" x14ac:dyDescent="0.25">
      <c r="A343" s="7">
        <v>337</v>
      </c>
      <c r="B343" s="7">
        <v>116834</v>
      </c>
      <c r="C343" s="11">
        <v>397</v>
      </c>
      <c r="D343" s="7" t="s">
        <v>172</v>
      </c>
      <c r="E343" s="11" t="s">
        <v>165</v>
      </c>
      <c r="F343" s="9" t="s">
        <v>476</v>
      </c>
      <c r="G343" s="208" t="s">
        <v>1249</v>
      </c>
      <c r="H343" s="24" t="s">
        <v>124</v>
      </c>
      <c r="I343" s="11" t="s">
        <v>1250</v>
      </c>
      <c r="J343" s="49" t="s">
        <v>1251</v>
      </c>
      <c r="K343" s="13">
        <v>43462</v>
      </c>
      <c r="L343" s="13">
        <v>44255</v>
      </c>
      <c r="M343" s="14">
        <f t="shared" si="309"/>
        <v>83.410873102181938</v>
      </c>
      <c r="N343" s="7" t="s">
        <v>354</v>
      </c>
      <c r="O343" s="7" t="s">
        <v>342</v>
      </c>
      <c r="P343" s="7" t="s">
        <v>342</v>
      </c>
      <c r="Q343" s="15" t="s">
        <v>157</v>
      </c>
      <c r="R343" s="7" t="s">
        <v>36</v>
      </c>
      <c r="S343" s="16">
        <f t="shared" si="303"/>
        <v>3404514.47</v>
      </c>
      <c r="T343" s="16">
        <v>2745444.31</v>
      </c>
      <c r="U343" s="16">
        <v>659070.16</v>
      </c>
      <c r="V343" s="16">
        <f t="shared" si="304"/>
        <v>218543.18</v>
      </c>
      <c r="W343" s="16">
        <v>163081.66</v>
      </c>
      <c r="X343" s="16">
        <v>55461.51999999999</v>
      </c>
      <c r="Y343" s="16">
        <f t="shared" si="305"/>
        <v>430714.54000000004</v>
      </c>
      <c r="Z343" s="16">
        <v>321408.51</v>
      </c>
      <c r="AA343" s="16">
        <v>109306.03</v>
      </c>
      <c r="AB343" s="16">
        <f t="shared" si="306"/>
        <v>27847.32</v>
      </c>
      <c r="AC343" s="16">
        <v>22187.98</v>
      </c>
      <c r="AD343" s="16">
        <v>5659.34</v>
      </c>
      <c r="AE343" s="16">
        <f t="shared" si="307"/>
        <v>4081619.5100000002</v>
      </c>
      <c r="AF343" s="27">
        <v>0</v>
      </c>
      <c r="AG343" s="16">
        <f t="shared" si="308"/>
        <v>4081619.5100000002</v>
      </c>
      <c r="AH343" s="63" t="s">
        <v>901</v>
      </c>
      <c r="AI343" s="21"/>
      <c r="AJ343" s="23">
        <v>138999</v>
      </c>
      <c r="AK343" s="23">
        <v>0</v>
      </c>
    </row>
    <row r="344" spans="1:37" s="165" customFormat="1" ht="267.75" x14ac:dyDescent="0.25">
      <c r="A344" s="7">
        <v>338</v>
      </c>
      <c r="B344" s="7">
        <v>116793</v>
      </c>
      <c r="C344" s="11">
        <v>398</v>
      </c>
      <c r="D344" s="7" t="s">
        <v>172</v>
      </c>
      <c r="E344" s="11" t="s">
        <v>165</v>
      </c>
      <c r="F344" s="9" t="s">
        <v>476</v>
      </c>
      <c r="G344" s="208" t="s">
        <v>1252</v>
      </c>
      <c r="H344" s="24" t="s">
        <v>124</v>
      </c>
      <c r="I344" s="8" t="s">
        <v>1254</v>
      </c>
      <c r="J344" s="49" t="s">
        <v>1253</v>
      </c>
      <c r="K344" s="13">
        <v>43462</v>
      </c>
      <c r="L344" s="13">
        <v>44193</v>
      </c>
      <c r="M344" s="14">
        <f t="shared" si="309"/>
        <v>83.535949472559906</v>
      </c>
      <c r="N344" s="7" t="s">
        <v>354</v>
      </c>
      <c r="O344" s="7" t="s">
        <v>342</v>
      </c>
      <c r="P344" s="7" t="s">
        <v>342</v>
      </c>
      <c r="Q344" s="15" t="s">
        <v>157</v>
      </c>
      <c r="R344" s="7" t="s">
        <v>36</v>
      </c>
      <c r="S344" s="16">
        <f t="shared" si="303"/>
        <v>2506078.48</v>
      </c>
      <c r="T344" s="16">
        <v>2020933.92</v>
      </c>
      <c r="U344" s="16">
        <v>485144.56</v>
      </c>
      <c r="V344" s="16">
        <f t="shared" si="304"/>
        <v>219474.66</v>
      </c>
      <c r="W344" s="16">
        <v>163099.38</v>
      </c>
      <c r="X344" s="16">
        <v>56375.28</v>
      </c>
      <c r="Y344" s="16">
        <f t="shared" si="305"/>
        <v>258446.85499999998</v>
      </c>
      <c r="Z344" s="16">
        <v>193536.02499999999</v>
      </c>
      <c r="AA344" s="16">
        <v>64910.83</v>
      </c>
      <c r="AB344" s="16">
        <f t="shared" si="306"/>
        <v>16000</v>
      </c>
      <c r="AC344" s="16">
        <v>12748.37</v>
      </c>
      <c r="AD344" s="16">
        <v>3251.63</v>
      </c>
      <c r="AE344" s="16">
        <f t="shared" si="307"/>
        <v>2999999.9950000001</v>
      </c>
      <c r="AF344" s="27"/>
      <c r="AG344" s="16">
        <f t="shared" si="308"/>
        <v>2999999.9950000001</v>
      </c>
      <c r="AH344" s="63" t="s">
        <v>901</v>
      </c>
      <c r="AI344" s="21"/>
      <c r="AJ344" s="23">
        <v>147000</v>
      </c>
      <c r="AK344" s="23">
        <v>0</v>
      </c>
    </row>
    <row r="345" spans="1:37" s="165" customFormat="1" ht="267.75" x14ac:dyDescent="0.25">
      <c r="A345" s="7">
        <v>339</v>
      </c>
      <c r="B345" s="7">
        <v>116103</v>
      </c>
      <c r="C345" s="11">
        <v>393</v>
      </c>
      <c r="D345" s="7" t="s">
        <v>173</v>
      </c>
      <c r="E345" s="11" t="s">
        <v>165</v>
      </c>
      <c r="F345" s="9" t="s">
        <v>476</v>
      </c>
      <c r="G345" s="208" t="s">
        <v>1257</v>
      </c>
      <c r="H345" s="24" t="s">
        <v>1258</v>
      </c>
      <c r="I345" s="8" t="s">
        <v>1259</v>
      </c>
      <c r="J345" s="12" t="s">
        <v>1260</v>
      </c>
      <c r="K345" s="13">
        <v>43818</v>
      </c>
      <c r="L345" s="13">
        <v>44246</v>
      </c>
      <c r="M345" s="14">
        <f t="shared" si="309"/>
        <v>83.983862913229757</v>
      </c>
      <c r="N345" s="7" t="s">
        <v>354</v>
      </c>
      <c r="O345" s="7" t="s">
        <v>342</v>
      </c>
      <c r="P345" s="7" t="s">
        <v>342</v>
      </c>
      <c r="Q345" s="15" t="s">
        <v>157</v>
      </c>
      <c r="R345" s="7" t="s">
        <v>36</v>
      </c>
      <c r="S345" s="16">
        <f t="shared" si="303"/>
        <v>6662642.3300000001</v>
      </c>
      <c r="T345" s="16">
        <v>5372840.5599999996</v>
      </c>
      <c r="U345" s="16">
        <v>1289801.77</v>
      </c>
      <c r="V345" s="16">
        <f t="shared" si="304"/>
        <v>545363.38</v>
      </c>
      <c r="W345" s="16">
        <v>403028.12</v>
      </c>
      <c r="X345" s="16">
        <v>142335.26</v>
      </c>
      <c r="Y345" s="16">
        <f t="shared" si="305"/>
        <v>725235.3899999999</v>
      </c>
      <c r="Z345" s="16">
        <v>545120.19999999995</v>
      </c>
      <c r="AA345" s="16">
        <v>180115.19</v>
      </c>
      <c r="AB345" s="16">
        <f t="shared" si="306"/>
        <v>0</v>
      </c>
      <c r="AC345" s="16">
        <v>0</v>
      </c>
      <c r="AD345" s="16">
        <v>0</v>
      </c>
      <c r="AE345" s="16">
        <f t="shared" si="307"/>
        <v>7933241.0999999996</v>
      </c>
      <c r="AF345" s="27">
        <v>0</v>
      </c>
      <c r="AG345" s="16">
        <f t="shared" si="308"/>
        <v>7933241.0999999996</v>
      </c>
      <c r="AH345" s="63" t="s">
        <v>901</v>
      </c>
      <c r="AI345" s="21"/>
      <c r="AJ345" s="23">
        <v>389096.78</v>
      </c>
      <c r="AK345" s="23">
        <v>0</v>
      </c>
    </row>
    <row r="346" spans="1:37" s="165" customFormat="1" ht="172.5" customHeight="1" x14ac:dyDescent="0.25">
      <c r="A346" s="7">
        <v>340</v>
      </c>
      <c r="B346" s="7">
        <v>127534</v>
      </c>
      <c r="C346" s="11">
        <v>619</v>
      </c>
      <c r="D346" s="7" t="s">
        <v>676</v>
      </c>
      <c r="E346" s="11" t="s">
        <v>165</v>
      </c>
      <c r="F346" s="9" t="s">
        <v>1291</v>
      </c>
      <c r="G346" s="208" t="s">
        <v>1268</v>
      </c>
      <c r="H346" s="24" t="s">
        <v>1269</v>
      </c>
      <c r="I346" s="11" t="s">
        <v>451</v>
      </c>
      <c r="J346" s="12" t="s">
        <v>1270</v>
      </c>
      <c r="K346" s="13">
        <v>43490</v>
      </c>
      <c r="L346" s="13">
        <v>44372</v>
      </c>
      <c r="M346" s="14">
        <f t="shared" si="309"/>
        <v>83.983862775890657</v>
      </c>
      <c r="N346" s="7" t="s">
        <v>354</v>
      </c>
      <c r="O346" s="7" t="s">
        <v>342</v>
      </c>
      <c r="P346" s="7" t="s">
        <v>342</v>
      </c>
      <c r="Q346" s="15" t="s">
        <v>157</v>
      </c>
      <c r="R346" s="7" t="s">
        <v>36</v>
      </c>
      <c r="S346" s="16">
        <f t="shared" si="303"/>
        <v>8137225.3799999999</v>
      </c>
      <c r="T346" s="16">
        <v>6561963.3499999996</v>
      </c>
      <c r="U346" s="16">
        <v>1575262.03</v>
      </c>
      <c r="V346" s="16">
        <f t="shared" si="304"/>
        <v>0</v>
      </c>
      <c r="W346" s="16">
        <v>0</v>
      </c>
      <c r="X346" s="16">
        <v>0</v>
      </c>
      <c r="Y346" s="16">
        <f t="shared" si="305"/>
        <v>1551809.05</v>
      </c>
      <c r="Z346" s="16">
        <v>1157993.49</v>
      </c>
      <c r="AA346" s="16">
        <v>393815.56</v>
      </c>
      <c r="AB346" s="16">
        <f t="shared" si="306"/>
        <v>0</v>
      </c>
      <c r="AC346" s="16">
        <v>0</v>
      </c>
      <c r="AD346" s="16">
        <v>0</v>
      </c>
      <c r="AE346" s="16">
        <f t="shared" si="307"/>
        <v>9689034.4299999997</v>
      </c>
      <c r="AF346" s="27">
        <v>0</v>
      </c>
      <c r="AG346" s="16">
        <f t="shared" si="308"/>
        <v>9689034.4299999997</v>
      </c>
      <c r="AH346" s="63" t="s">
        <v>901</v>
      </c>
      <c r="AI346" s="21"/>
      <c r="AJ346" s="23">
        <v>0</v>
      </c>
      <c r="AK346" s="23">
        <v>0</v>
      </c>
    </row>
    <row r="347" spans="1:37" s="165" customFormat="1" ht="189" x14ac:dyDescent="0.25">
      <c r="A347" s="7">
        <v>341</v>
      </c>
      <c r="B347" s="7">
        <v>111384</v>
      </c>
      <c r="C347" s="11">
        <v>166</v>
      </c>
      <c r="D347" s="7" t="s">
        <v>1104</v>
      </c>
      <c r="E347" s="11" t="s">
        <v>165</v>
      </c>
      <c r="F347" s="51" t="s">
        <v>352</v>
      </c>
      <c r="G347" s="208" t="s">
        <v>1279</v>
      </c>
      <c r="H347" s="24" t="s">
        <v>1280</v>
      </c>
      <c r="I347" s="11" t="s">
        <v>451</v>
      </c>
      <c r="J347" s="12" t="s">
        <v>1281</v>
      </c>
      <c r="K347" s="13">
        <v>43497</v>
      </c>
      <c r="L347" s="13">
        <v>43922</v>
      </c>
      <c r="M347" s="14">
        <v>82.304190610000006</v>
      </c>
      <c r="N347" s="7" t="s">
        <v>354</v>
      </c>
      <c r="O347" s="7" t="s">
        <v>227</v>
      </c>
      <c r="P347" s="7" t="s">
        <v>227</v>
      </c>
      <c r="Q347" s="15" t="s">
        <v>356</v>
      </c>
      <c r="R347" s="7" t="s">
        <v>36</v>
      </c>
      <c r="S347" s="16">
        <f>T347+U347</f>
        <v>765704.55999999994</v>
      </c>
      <c r="T347" s="16">
        <v>617473.98</v>
      </c>
      <c r="U347" s="16">
        <v>148230.57999999999</v>
      </c>
      <c r="V347" s="16">
        <f>W347+X347</f>
        <v>146023.57999999999</v>
      </c>
      <c r="W347" s="16">
        <v>108965.98</v>
      </c>
      <c r="X347" s="16">
        <v>37057.599999999999</v>
      </c>
      <c r="Y347" s="16">
        <v>0</v>
      </c>
      <c r="Z347" s="16"/>
      <c r="AA347" s="16"/>
      <c r="AB347" s="16">
        <f>AC347+AD347</f>
        <v>18606.7</v>
      </c>
      <c r="AC347" s="16">
        <v>14825.33</v>
      </c>
      <c r="AD347" s="16">
        <v>3781.37</v>
      </c>
      <c r="AE347" s="16">
        <f>S347+V347+Y347+AB347</f>
        <v>930334.83999999985</v>
      </c>
      <c r="AF347" s="27"/>
      <c r="AG347" s="16">
        <f>AE347+AF347</f>
        <v>930334.83999999985</v>
      </c>
      <c r="AH347" s="63" t="s">
        <v>901</v>
      </c>
      <c r="AI347" s="21"/>
      <c r="AJ347" s="23">
        <v>0</v>
      </c>
      <c r="AK347" s="23">
        <v>0</v>
      </c>
    </row>
    <row r="348" spans="1:37" s="165" customFormat="1" ht="159.75" customHeight="1" x14ac:dyDescent="0.25">
      <c r="A348" s="7">
        <v>342</v>
      </c>
      <c r="B348" s="7">
        <v>118765</v>
      </c>
      <c r="C348" s="11">
        <v>454</v>
      </c>
      <c r="D348" s="7" t="s">
        <v>171</v>
      </c>
      <c r="E348" s="11" t="s">
        <v>1072</v>
      </c>
      <c r="F348" s="9" t="s">
        <v>537</v>
      </c>
      <c r="G348" s="208" t="s">
        <v>1031</v>
      </c>
      <c r="H348" s="24" t="s">
        <v>1032</v>
      </c>
      <c r="I348" s="11" t="s">
        <v>1289</v>
      </c>
      <c r="J348" s="34" t="s">
        <v>1033</v>
      </c>
      <c r="K348" s="196">
        <v>43348</v>
      </c>
      <c r="L348" s="26">
        <v>44079</v>
      </c>
      <c r="M348" s="14">
        <f t="shared" ref="M348:M351" si="310">S348/AE348*100</f>
        <v>83.983862746396113</v>
      </c>
      <c r="N348" s="168" t="s">
        <v>155</v>
      </c>
      <c r="O348" s="7" t="s">
        <v>342</v>
      </c>
      <c r="P348" s="7" t="s">
        <v>156</v>
      </c>
      <c r="Q348" s="175" t="s">
        <v>157</v>
      </c>
      <c r="R348" s="168" t="s">
        <v>36</v>
      </c>
      <c r="S348" s="16">
        <f>T348+U348</f>
        <v>24915549.670000002</v>
      </c>
      <c r="T348" s="16">
        <v>20092220.07</v>
      </c>
      <c r="U348" s="16">
        <v>4823329.5999999996</v>
      </c>
      <c r="V348" s="16">
        <f>W348+X348</f>
        <v>0</v>
      </c>
      <c r="W348" s="16"/>
      <c r="X348" s="16"/>
      <c r="Y348" s="16">
        <f>Z348+AA348</f>
        <v>4751518.33</v>
      </c>
      <c r="Z348" s="16">
        <v>3545685.88</v>
      </c>
      <c r="AA348" s="16">
        <v>1205832.45</v>
      </c>
      <c r="AB348" s="16">
        <f>AC348+AD348</f>
        <v>0</v>
      </c>
      <c r="AC348" s="16">
        <v>0</v>
      </c>
      <c r="AD348" s="16">
        <v>0</v>
      </c>
      <c r="AE348" s="16">
        <f>S348+V348+Y348+AB348</f>
        <v>29667068</v>
      </c>
      <c r="AF348" s="16"/>
      <c r="AG348" s="16">
        <f>AE348+AF348</f>
        <v>29667068</v>
      </c>
      <c r="AH348" s="63" t="s">
        <v>615</v>
      </c>
      <c r="AI348" s="110" t="s">
        <v>1397</v>
      </c>
      <c r="AJ348" s="23">
        <f>120031.42+149365.14</f>
        <v>269396.56</v>
      </c>
      <c r="AK348" s="23">
        <v>0</v>
      </c>
    </row>
    <row r="349" spans="1:37" s="165" customFormat="1" ht="161.25" customHeight="1" x14ac:dyDescent="0.25">
      <c r="A349" s="7">
        <v>343</v>
      </c>
      <c r="B349" s="7">
        <v>127403</v>
      </c>
      <c r="C349" s="11">
        <v>579</v>
      </c>
      <c r="D349" s="7" t="s">
        <v>171</v>
      </c>
      <c r="E349" s="11" t="s">
        <v>165</v>
      </c>
      <c r="F349" s="9" t="s">
        <v>1291</v>
      </c>
      <c r="G349" s="208" t="s">
        <v>1292</v>
      </c>
      <c r="H349" s="24" t="s">
        <v>1293</v>
      </c>
      <c r="I349" s="11" t="s">
        <v>451</v>
      </c>
      <c r="J349" s="12" t="s">
        <v>1294</v>
      </c>
      <c r="K349" s="13">
        <v>43514</v>
      </c>
      <c r="L349" s="13">
        <v>44245</v>
      </c>
      <c r="M349" s="14">
        <f t="shared" si="310"/>
        <v>83.983863067164137</v>
      </c>
      <c r="N349" s="168" t="s">
        <v>155</v>
      </c>
      <c r="O349" s="7" t="s">
        <v>342</v>
      </c>
      <c r="P349" s="7" t="s">
        <v>342</v>
      </c>
      <c r="Q349" s="175" t="s">
        <v>157</v>
      </c>
      <c r="R349" s="168" t="s">
        <v>36</v>
      </c>
      <c r="S349" s="16">
        <f>T349+U349</f>
        <v>5070433.51</v>
      </c>
      <c r="T349" s="16">
        <v>4088862.86</v>
      </c>
      <c r="U349" s="16">
        <v>981570.65</v>
      </c>
      <c r="V349" s="16">
        <f>W349+X349</f>
        <v>0</v>
      </c>
      <c r="W349" s="16">
        <v>0</v>
      </c>
      <c r="X349" s="16">
        <v>0</v>
      </c>
      <c r="Y349" s="16">
        <f>Z349+AA349</f>
        <v>966956.68</v>
      </c>
      <c r="Z349" s="16">
        <v>721564.03</v>
      </c>
      <c r="AA349" s="16">
        <v>245392.65</v>
      </c>
      <c r="AB349" s="16">
        <f>AC349+AD349</f>
        <v>0</v>
      </c>
      <c r="AC349" s="16">
        <v>0</v>
      </c>
      <c r="AD349" s="16">
        <v>0</v>
      </c>
      <c r="AE349" s="16">
        <f>S349+V349+Y349+AB349</f>
        <v>6037390.1899999995</v>
      </c>
      <c r="AF349" s="27">
        <v>0</v>
      </c>
      <c r="AG349" s="16">
        <f>AE349+AF349</f>
        <v>6037390.1899999995</v>
      </c>
      <c r="AH349" s="63" t="s">
        <v>901</v>
      </c>
      <c r="AI349" s="21" t="s">
        <v>451</v>
      </c>
      <c r="AJ349" s="23"/>
      <c r="AK349" s="23"/>
    </row>
    <row r="350" spans="1:37" s="165" customFormat="1" ht="120" x14ac:dyDescent="0.25">
      <c r="A350" s="7">
        <v>344</v>
      </c>
      <c r="B350" s="7">
        <v>127820</v>
      </c>
      <c r="C350" s="11">
        <v>605</v>
      </c>
      <c r="D350" s="7" t="s">
        <v>163</v>
      </c>
      <c r="E350" s="11" t="s">
        <v>165</v>
      </c>
      <c r="F350" s="9" t="s">
        <v>1291</v>
      </c>
      <c r="G350" s="208" t="s">
        <v>1320</v>
      </c>
      <c r="H350" s="24" t="s">
        <v>51</v>
      </c>
      <c r="I350" s="11" t="s">
        <v>185</v>
      </c>
      <c r="J350" s="12" t="s">
        <v>1321</v>
      </c>
      <c r="K350" s="13">
        <v>43528</v>
      </c>
      <c r="L350" s="13">
        <v>44808</v>
      </c>
      <c r="M350" s="14">
        <f t="shared" si="310"/>
        <v>83.983862642815609</v>
      </c>
      <c r="N350" s="168" t="s">
        <v>155</v>
      </c>
      <c r="O350" s="7" t="s">
        <v>342</v>
      </c>
      <c r="P350" s="7" t="s">
        <v>342</v>
      </c>
      <c r="Q350" s="175" t="s">
        <v>157</v>
      </c>
      <c r="R350" s="168" t="s">
        <v>36</v>
      </c>
      <c r="S350" s="16">
        <f t="shared" ref="S350:S351" si="311">T350+U350</f>
        <v>8804544.8300000001</v>
      </c>
      <c r="T350" s="16">
        <v>7100098.3100000005</v>
      </c>
      <c r="U350" s="16">
        <v>1704446.52</v>
      </c>
      <c r="V350" s="16">
        <f t="shared" ref="V350:V351" si="312">W350+X350</f>
        <v>0</v>
      </c>
      <c r="W350" s="16"/>
      <c r="X350" s="16"/>
      <c r="Y350" s="16">
        <f t="shared" ref="Y350:Y351" si="313">Z350+AA350</f>
        <v>1679070.1800000002</v>
      </c>
      <c r="Z350" s="16">
        <v>1252958.54</v>
      </c>
      <c r="AA350" s="16">
        <v>426111.64</v>
      </c>
      <c r="AB350" s="16">
        <f t="shared" ref="AB350:AB351" si="314">AC350+AD350</f>
        <v>0</v>
      </c>
      <c r="AC350" s="16"/>
      <c r="AD350" s="16"/>
      <c r="AE350" s="16">
        <f t="shared" ref="AE350:AE351" si="315">S350+V350+Y350+AB350</f>
        <v>10483615.01</v>
      </c>
      <c r="AF350" s="27">
        <v>0</v>
      </c>
      <c r="AG350" s="16">
        <f t="shared" ref="AG350:AG352" si="316">AE350+AF350</f>
        <v>10483615.01</v>
      </c>
      <c r="AH350" s="63" t="s">
        <v>901</v>
      </c>
      <c r="AI350" s="21" t="s">
        <v>1386</v>
      </c>
      <c r="AJ350" s="23"/>
      <c r="AK350" s="23"/>
    </row>
    <row r="351" spans="1:37" s="165" customFormat="1" ht="108" customHeight="1" x14ac:dyDescent="0.25">
      <c r="A351" s="7">
        <v>345</v>
      </c>
      <c r="B351" s="7">
        <v>127148</v>
      </c>
      <c r="C351" s="11">
        <v>576</v>
      </c>
      <c r="D351" s="7" t="s">
        <v>173</v>
      </c>
      <c r="E351" s="11" t="s">
        <v>1354</v>
      </c>
      <c r="F351" s="8" t="s">
        <v>1353</v>
      </c>
      <c r="G351" s="208" t="s">
        <v>1355</v>
      </c>
      <c r="H351" s="24" t="s">
        <v>124</v>
      </c>
      <c r="I351" s="11" t="s">
        <v>1356</v>
      </c>
      <c r="J351" s="12" t="s">
        <v>1357</v>
      </c>
      <c r="K351" s="13">
        <v>43552</v>
      </c>
      <c r="L351" s="13">
        <v>44102</v>
      </c>
      <c r="M351" s="14">
        <f t="shared" si="310"/>
        <v>83.791410330251352</v>
      </c>
      <c r="N351" s="168" t="s">
        <v>155</v>
      </c>
      <c r="O351" s="7" t="s">
        <v>342</v>
      </c>
      <c r="P351" s="7" t="s">
        <v>342</v>
      </c>
      <c r="Q351" s="175" t="s">
        <v>157</v>
      </c>
      <c r="R351" s="7" t="s">
        <v>36</v>
      </c>
      <c r="S351" s="16">
        <f t="shared" si="311"/>
        <v>4099805.0300000003</v>
      </c>
      <c r="T351" s="16">
        <v>3306135.56</v>
      </c>
      <c r="U351" s="16">
        <v>793669.47</v>
      </c>
      <c r="V351" s="16">
        <f t="shared" si="312"/>
        <v>87992.28</v>
      </c>
      <c r="W351" s="16">
        <v>65661.759999999995</v>
      </c>
      <c r="X351" s="16">
        <v>22330.52</v>
      </c>
      <c r="Y351" s="16">
        <f t="shared" si="313"/>
        <v>705072.99</v>
      </c>
      <c r="Z351" s="16">
        <v>526707.51</v>
      </c>
      <c r="AA351" s="16">
        <v>178365.48</v>
      </c>
      <c r="AB351" s="16">
        <f t="shared" si="314"/>
        <v>0</v>
      </c>
      <c r="AC351" s="16"/>
      <c r="AD351" s="16"/>
      <c r="AE351" s="16">
        <f t="shared" si="315"/>
        <v>4892870.3</v>
      </c>
      <c r="AF351" s="27"/>
      <c r="AG351" s="16">
        <f t="shared" si="316"/>
        <v>4892870.3</v>
      </c>
      <c r="AH351" s="63" t="s">
        <v>901</v>
      </c>
      <c r="AI351" s="21" t="s">
        <v>451</v>
      </c>
      <c r="AJ351" s="23"/>
      <c r="AK351" s="23"/>
    </row>
    <row r="352" spans="1:37" s="165" customFormat="1" ht="15.75" x14ac:dyDescent="0.25">
      <c r="C352" s="166"/>
      <c r="G352" s="197"/>
      <c r="H352" s="197"/>
      <c r="I352" s="198"/>
      <c r="K352" s="198"/>
      <c r="L352" s="198"/>
      <c r="M352" s="198"/>
      <c r="N352" s="198"/>
      <c r="O352" s="198"/>
      <c r="P352" s="198"/>
      <c r="Q352" s="198"/>
      <c r="R352" s="198"/>
      <c r="AE352" s="183">
        <f>SUM(AE7:AE351)</f>
        <v>1475512002.8047001</v>
      </c>
      <c r="AG352" s="146">
        <f t="shared" si="316"/>
        <v>1475512002.8047001</v>
      </c>
      <c r="AI352" s="178"/>
    </row>
    <row r="353" spans="3:35" s="165" customFormat="1" x14ac:dyDescent="0.25">
      <c r="C353" s="166"/>
      <c r="G353" s="197"/>
      <c r="H353" s="197"/>
      <c r="I353" s="198"/>
      <c r="K353" s="198"/>
      <c r="L353" s="198"/>
      <c r="M353" s="198"/>
      <c r="N353" s="198"/>
      <c r="O353" s="198"/>
      <c r="P353" s="198"/>
      <c r="Q353" s="198"/>
      <c r="R353" s="198"/>
      <c r="AI353" s="178"/>
    </row>
    <row r="354" spans="3:35" s="165" customFormat="1" x14ac:dyDescent="0.25">
      <c r="C354" s="166"/>
      <c r="G354" s="197"/>
      <c r="H354" s="197"/>
      <c r="I354" s="198"/>
      <c r="K354" s="198"/>
      <c r="L354" s="198"/>
      <c r="M354" s="198"/>
      <c r="N354" s="198"/>
      <c r="O354" s="198"/>
      <c r="P354" s="198"/>
      <c r="Q354" s="198"/>
      <c r="R354" s="198"/>
      <c r="AF354" s="165">
        <v>4.7516999999999996</v>
      </c>
      <c r="AG354" s="165" t="s">
        <v>1426</v>
      </c>
      <c r="AI354" s="178"/>
    </row>
    <row r="355" spans="3:35" s="165" customFormat="1" x14ac:dyDescent="0.25">
      <c r="C355" s="166"/>
      <c r="G355" s="197"/>
      <c r="H355" s="197"/>
      <c r="I355" s="198"/>
      <c r="K355" s="198"/>
      <c r="L355" s="198"/>
      <c r="M355" s="198"/>
      <c r="N355" s="198"/>
      <c r="O355" s="198"/>
      <c r="P355" s="198"/>
      <c r="Q355" s="198"/>
      <c r="R355" s="198"/>
      <c r="AI355" s="178"/>
    </row>
    <row r="356" spans="3:35" s="165" customFormat="1" x14ac:dyDescent="0.25">
      <c r="C356" s="166"/>
      <c r="G356" s="197"/>
      <c r="H356" s="197"/>
      <c r="I356" s="198"/>
      <c r="K356" s="198"/>
      <c r="L356" s="198"/>
      <c r="M356" s="198"/>
      <c r="N356" s="198"/>
      <c r="O356" s="198"/>
      <c r="P356" s="198"/>
      <c r="Q356" s="198"/>
      <c r="R356" s="198"/>
      <c r="AE356" s="165">
        <f>(AE352/AF354)/1000000</f>
        <v>310.52297131651835</v>
      </c>
      <c r="AI356" s="178"/>
    </row>
  </sheetData>
  <protectedRanges>
    <protectedRange sqref="A1:B4 I1:I2 AE1:AK4 AL1:XFD6 A6:R6 AI236:AK236 AF234:AF236 T234:U236 W234:X236 Z235:AA236 AC234:AD236 B10:D14 Z10:AA14 W10:X14 T10:U14 AF10:AF14 B19:D19 T18:U19 W18:X19 Z18:AA19 AC18:AD19 AF18:AF19 B23:D23 X23 AA23 AC23:AD23 G316:L324 C312:D324 AF23 AF312:AF331 T40:U42 W40:X42 T127:U127 T108 W108 Y108:Z108 AE6:AK6 F41:F42 B118:L118 N66:R67 W72:X77 AF79:AF82 AC91:AD93 B97:D100 I85:L86 T120:U121 AF97 X85:X86 AC97:AD97 T123:U125 AI36:XFD36 W127:X128 W54:AA54 P99 N108 AF55:AF57 AC55:AD57 W56:AA57 Z70:AA70 W70:X70 U85:U86 B84:D86 AF84:AF86 B58 M56:U57 G85:G86 W91:X93 AI10:XFD14 U91:U93 T84:U84 W84:X84 Z84:AA84 T97:U97 W97:X97 Z97:AA97 T100:U100 B103:D104 AF72:AF77 AC72:AD77 Z72:AA77 W103:AA106 AC70:AD70 C105:D105 C107 N70 AL40:XFD42 N100:P100 P70 AC110:AD111 AF110:AF111 T110:U111 W123:X125 B132:D134 W120:X121 W129:AA130 B137:L137 M142:R145 AF40:AF42 G40:G42 C1:H3 C4:I4 G234:L235 C234:D236 U238 AL234:XFD236 F236:L236 F238:L238 W238:X250 T239:U250 AF238:AF250 G239:L240 AC238:AD250 Z238:AA247 B25:D27 W26:X27 AC29:AD29 Z26:AA27 AC26:AD27 C250:L250 C243:L243 C238:D242 C244:D249 F244:L249 G251:L251 C251:D251 T251:AG251 AC253:AD255 Z123:AA125 AC120:AD121 X55:AA55 F262 Z259:AA261 W252:X261 T252:U261 AF252:AF261 C259:D261 AC257:AD261 F259:L261 AI253:AK254 N113 B18:C18 B9:C9 E263:L266 N263:P267 F267:L270 C142:D142 AI265:AK265 N268:N270 AL72:XFD74 E271:L272 C138:D138 G273:L273 B88:B90 N91:N93 E274:L275 R276 F276:L277 C265:C294 D263:D294 F35:G35 R263:R272 S49:U49 W50:AA50 X49:AA49 G107:L107 AF108 AC108:AD108 AL107:XFD107 F97:L97 S23:U23 N240:P261 R243:R261 G120 AL120:XFD120 F23:L23 W31:X33 AC31:AD33 AF31:AF33 Z31:AA33 F279:L293 I294:L294 AI278:AK278 AC54:AG54 X131:AA131 L131:L134 AL131:XFD134 F131:J134 G103:L104 P103:P104 B29:D29 J29:L29 N23:Q23 N29:Q29 F29:H29 AF106 AI105 AL105:XFD105 G49:L50 AI113:XFD116 P40:P42 F128:Q128 T72:U77 AF91:AF93 F100:L100 F70:H70 N131:Q134 F105:L105 N18:N19 AF26:AF27 F15:F16 AI31:XFD33 M50:U50 Z127:AA128 AF70 N97:Q97 N103:N104 B70:D70 N114:O114 N123:R123 F104 I113:L114 Q113:R114 Z40:AA42 G9:L11 F18:L19 Q18:Q19 AI95:XFD95 AI18:AI19 AL18:XFD19 N271:P308 R279:R285 F349:F351 F295:L310 O309:P310 W330:X331 AF117 AC330:AD331 C117:D117 AL25:XFD29 F25:Q27 G312:L312 H315 B143:D143 G143:L143 G313:H314 R312:R331 C295:D310 AC263:AD310 Z264:AA310 AF263:AF310 W263:X310 T263:U310 G84:L84 B54:D55 S54:U55 AH316:AH317 AC44:AD50 T44:U48 Z44:AA48 B31:D33 F313:F320 AI320:AK320 F31:L33 G117:L117 B65:D65 F65:L65 C135:D135 B139:D141 E268:E270 C144:D144 F144:L145 F142:L142 F123:L123 F113:G114 F241:L242 C252:L258 E348 C326:D331 W117:X117 T117:U117 AC117:AD117 Z117:AA117 F324:F331 G326:L331 N117:P117 B40:D42 S128:U128 B72:D77 F91:L93 Z91:AA93 AJ238:XFD238 G57:L57 AI162:XFD162 AJ84:XFD86 AI54:XFD57 AI93:XFD93 B66:L68 AI81:XFD82 B106:L106 AJ79:XFD80 AJ70:XFD70 AI97:XFD97 AI103:XFD104 W79:X82 AJ35:XFD35 AJ161:XFD161 AI106:XFD106 AI108:XFD108 B108:L108 AJ98:XFD100 F135:U135 B125:L125 AI123:XFD130 AI241:XFD241 AI137:XFD147 AI135:XFD135 T137:U147 M49:Q49 AI44:XFD52 M31:Q31 T31:U33 T26:U27 G54:Q55 W132:AA135 F44:R45 AF137:AF147 F138:R138 J1:R4 E303 D325:E325 E278:L278 E294:G294 N65:Q65 F140:R140 F139:Q139 R289:R308 F333:F335 B56:L56 S1:AD6 AF116:AG116 N116:AD116 B116:L116 N312:P331 Z312:AA331 AC312:AD328 T312:U331 W312:X328 I313:L315 M32:R32 C126:D126 B145:D147 B123:D124 I124:L124 F124:G124 B44:D50 B51:U51 W44:X48 B52:D52 F52:U52 G46:R48 AC40:AD42 AH312:XFD315 AI75:XFD77 N75:R76 AC84:AD86 AC79:AD82 N79:N81 Q81 P91:Q93 B91:D93 AC95:AD95 AA85:AA86 Z100:AA100 AC100:AD100 Z79:AA82 T79:U82 N84:N86 T103:U106 AF103:AF104 W113:X115 AF121 J127:L127 F98:G99 I98:L99 T98 W98 Z98 N98:O99 B127:G127 N137 P137:Q137 B120:D121 F121:H121 J120:L121 R120 AC103:AD106 N105:Q106 B113:D115 F115:L115 F129:U130 C129:D131 F146:R147 AC10:AD14 W51:AD51 W52:AA52 AC52:AD52 AC152:AD152 AI240 AL239:XFD240 AI242 AL242:XFD242 AI244:AI248 AL244:XFD248 AL251:XFD310 AI251:AI252 AI258:AK258 AI255:AI257 AI259:AI261 AI263:AI264 AI267:AK267 AI266 AI269:AK270 AI268 AI271:AI272 AI274:AI277 AI281:AK281 AI279:AI280 AI287:AK287 AI282:AI286 AI288:AI292 AI296:AI297 AI298:AK302 AH303:AK310 AH318:AI319 AJ316:AK319 AH321:AK331 AI332:AK332 O24 Q24 B79:D82 F79:L82 N82:Q82 O127 F12:L14 M33:Q33 AC35:AD36 E36:G36 AI121:XFD121 J35:L36 B35:D36 W126:AA126 Z35:AA36 F152:F154 AF35:AF36 W100:X100 W35:X36 B57:D57 T35:U36 G126:U126 AL316:XFD351 F337:F346 B155:D158 AC155:AD158 AF155:AF158 I40:L42 W110:AA111 W155:AA158 N110:R111 F155:U158 F72:L77 N77:Q77 AF161:AF162 B110:D111 F110:L111 AH51:AH52 AF44:AF52 S131:U134 AC123:AD135 AF123:AF135 W137:X147 Z137:AA147 AC137:AD147 G161:H162 B161:D162 S161:U162 W161:AA162 AC161:AD162 J161:P162 N118:AD118 AF118:AG118 E141:R141 B128:D128 Z120:AA121 AF65:AF68 AC65:AD68 T65:U68 W65:AA68 M68:R68 AI65:XFD68 T70:U70 J70:L70 AC113:AD115 T113:U115 Z113:AA115 AF113:AF115 N115:R115 A352:XFD1048576 AI155:XFD158 AI293:AK295 AI23:XFD23 AI118:XFD118 AJ91:XFD92 AI110:XFD111 AJ117:XFD117 AI249:XFD250 AI243:XFD243" name="maria" securityDescriptor="O:WDG:WDD:(A;;CC;;;S-1-5-21-3048853270-2157241324-869001692-3245)(A;;CC;;;S-1-5-21-3048853270-2157241324-869001692-1007)"/>
    <protectedRange sqref="Q236 S268 Q240:Q261 Q263:Q310 Q117 Q312:Q331" name="maria_1" securityDescriptor="O:WDG:WDD:(A;;CC;;;S-1-5-21-3048853270-2157241324-869001692-3245)(A;;CC;;;S-1-5-21-3048853270-2157241324-869001692-1007)"/>
    <protectedRange sqref="E8 E17 E53 E28 E30 E34 E37:E38 E43:E44 E69 E71 E78 E83 E87:E88 E94:E96 E101:E102 E107 E109 E112 E119 E122 E136 E148:E150 E214:E216 E273 E117 A7:P7 E47 G15:P16 E57:E64 E20:E21 AJ15:XFD16 AJ7:XFD7 A351 A9:A10 A12:A13 A15:E16 A18:A19 A21:A22 A24:A25 A27:A28 A30:A31 A33:A34 A36:A37 A39:A40 A42:A43 A45:A46 A48:A49 A51:A52 A54:A55 A57:A58 A60:A61 A63:A64 A66:A67 A69:A70 A72:A73 A75:A76 A78:A79 A81:A82 A84:A85 A87:A88 A90:A91 A93:A94 A96:A97 A99:A100 A102:A103 A105:A106 A108:A109 A111:A112 A114:A115 A117:A118 A120:A121 A123:A124 A126:A127 A129:A130 A132:A133 A135:A136 A138:A139 A141:A142 A144:A145 A147:A148 A150:A151 A153:A154 A156:A157 A159:A160 A162:A163 A165:A166 A168:A169 A171:A172 A174:A175 A177:A178 A180:A181 A183:A184 A186:A187 A189:A190 A192:A193 A195:A196 A198:A199 A201:A202 A204:A205 A207:A208 A210:A211 A213:A214 A216:A217 A219:A220 A222:A223 A225:A226 A228:A229 A231:A232 A234:A235 A237:A238 A240:A241 A243:A244 A246:A247 A249:A250 A252:A253 A255:A256 A258:A259 A261:A262 A264:A265 A267:A268 A270:A271 A273:A274 A276:A277 A279:A280 A282:A283 A285:A286 A288:A289 A291:A292 A294:A295 A297:A298 A300:A301 A303:A304 A306:A307 A309:A310 A312:A313 A315:A316 A318:A319 A321:A322 A324:A325 A327:A328 A330:A331 A333:A334 A336:A337 A339:A340 A342:A343 A345:A346 A348:A349" name="maria_2" securityDescriptor="O:WDG:WDD:(A;;CC;;;S-1-5-21-3048853270-2157241324-869001692-3245)(A;;CC;;;S-1-5-21-3048853270-2157241324-869001692-1007)"/>
    <protectedRange sqref="Q7:R7 Q15:R16" name="maria_1_2" securityDescriptor="O:WDG:WDD:(A;;CC;;;S-1-5-21-3048853270-2157241324-869001692-3245)(A;;CC;;;S-1-5-21-3048853270-2157241324-869001692-1007)"/>
    <protectedRange sqref="S7:AI7 AH320 AH8:AH14 AB8:AB14 AH162 AH164:AH302 S15:AI16 AH53:AH158 AH17:AH50" name="maria_1_1_1" securityDescriptor="O:WDG:WDD:(A;;CC;;;S-1-5-21-3048853270-2157241324-869001692-3245)(A;;CC;;;S-1-5-21-3048853270-2157241324-869001692-1007)"/>
    <protectedRange sqref="AF8:AF9 T8:U9 W8:X9 Z8:AA9 A8:D8 AC8:AD9 M9 F117 AI117 F8:P8 AI316:AI317 N9:P14 AI8:XFD9 A11 A14 A17 A20 A23 A26 A29 A32 A35 A38 A41 A44 A47 A50 A53 A56 A59 A62 A65 A68 A71 A74 A77 A80 A83 A86 A89 A92 A95 A98 A101 A104 A107 A110 A113 A116 A119 A122 A125 A128 A131 A134 A137 A140 A143 A146 A149 A152 A155 A158 A161 A164 A167 A170 A173 A176 A179 A182 A185 A188 A191 A194 A197 A200 A203 A206 A209 A212 A215 A218 A221 A224 A227 A230 A233 A236 A239 A242 A245 A248 A251 A254 A257 A260 A263 A266 A269 A272 A275 A278 A281 A284 A287 A290 A293 A296 A299 A302 A305 A308 A311 A314 A317 A320 A323 A326 A329 A332 A335 A338 A341 A344 A347 A350" name="maria_3" securityDescriptor="O:WDG:WDD:(A;;CC;;;S-1-5-21-3048853270-2157241324-869001692-3245)(A;;CC;;;S-1-5-21-3048853270-2157241324-869001692-1007)"/>
    <protectedRange sqref="Q8:R9 R117 R39 R65 R89:R90 R139 R228 R286:R288 R310 Q10:Q14 R132:R134" name="maria_1_3" securityDescriptor="O:WDG:WDD:(A;;CC;;;S-1-5-21-3048853270-2157241324-869001692-3245)(A;;CC;;;S-1-5-21-3048853270-2157241324-869001692-1007)"/>
    <protectedRange sqref="AE23 S8:S14 V8:V14 Y8:Y14 AE8:AE14 AG8:AG14" name="maria_1_1_2" securityDescriptor="O:WDG:WDD:(A;;CC;;;S-1-5-21-3048853270-2157241324-869001692-3245)(A;;CC;;;S-1-5-21-3048853270-2157241324-869001692-1007)"/>
    <protectedRange sqref="AL17:XFD17 AF17 T17:U17 W17:X17 Z17:AD17 B17:D17 AB18:AB19 D9 D18 M18:M19 O18:P19 AJ18:AK19 F9 F17:P17 AL20:XFD20 AF20 T20:U20 W20:X20 Z20:AD20 B20:D20 F20:P20" name="maria_4" securityDescriptor="O:WDG:WDD:(A;;CC;;;S-1-5-21-3048853270-2157241324-869001692-3245)(A;;CC;;;S-1-5-21-3048853270-2157241324-869001692-1007)"/>
    <protectedRange sqref="Q17:R17 R29 R18:R19 Q20:R20 R10:R14 R23:R27" name="maria_1_4" securityDescriptor="O:WDG:WDD:(A;;CC;;;S-1-5-21-3048853270-2157241324-869001692-3245)(A;;CC;;;S-1-5-21-3048853270-2157241324-869001692-1007)"/>
    <protectedRange sqref="AI17 S17:S20 V17:V20 Y17:Y20 AE17:AE20 AG17:AG20 AI20" name="maria_1_1_3" securityDescriptor="O:WDG:WDD:(A;;CC;;;S-1-5-21-3048853270-2157241324-869001692-3245)(A;;CC;;;S-1-5-21-3048853270-2157241324-869001692-1007)"/>
    <protectedRange sqref="AF53 F21 T53:U53 W53:X53 Z53:AA53 AC53:AD53 AI53 U22 N53:P53 E19 E10:F11 E32 E45:E46 E54:E55 E65 E73 E103:E104 E140 E143:F143 B53:D53 F53:L53 E126 E124 E52 E97:E100 E120:E121 E114:E115 AL53:XFD53 E79:E82 M10:M14 E110:E111 N22:P22 AC22:AD22 Z22:AA22 W22:X22 B21 B22:L22 AF22 E91:E93 E128 E130:E131 E26:E27 E145:E147 E151:E158 E40:E42 E48:E50 E70 E75:E77 E84:E86 E133:E135 AJ22:XFD22" name="maria_5" securityDescriptor="O:WDG:WDD:(A;;CC;;;S-1-5-21-3048853270-2157241324-869001692-3245)(A;;CC;;;S-1-5-21-3048853270-2157241324-869001692-1007)"/>
    <protectedRange sqref="AE53 AE29 AE26:AE27 Q53:R53 Q22:R22 AE22" name="maria_1_5" securityDescriptor="O:WDG:WDD:(A;;CC;;;S-1-5-21-3048853270-2157241324-869001692-3245)(A;;CC;;;S-1-5-21-3048853270-2157241324-869001692-1007)"/>
    <protectedRange sqref="C21:D21 G21:H21 S53 V53 Y53 AB53 AG53 AB22:AB23 Y22:Y23 V22:V23 S22:T22 AB29 AG29 M22:M24 W23 Z23 S29:T29 V29:W29 Y29:Z29 J21:AG21 AG26:AG27 AB26:AB27 Y26:Y27 S26:S27 V26:V27 M53 AG22:AG23 AI21:XFD21" name="maria_1_1_4" securityDescriptor="O:WDG:WDD:(A;;CC;;;S-1-5-21-3048853270-2157241324-869001692-3245)(A;;CC;;;S-1-5-21-3048853270-2157241324-869001692-1007)"/>
    <protectedRange sqref="B30:D30 M29 I29 AJ29:AK29 AJ25:AK27 I127 I35:I36 B28:D28 F28:P28 F30:P30 AJ30:XFD30" name="maria_6" securityDescriptor="O:WDG:WDD:(A;;CC;;;S-1-5-21-3048853270-2157241324-869001692-3245)(A;;CC;;;S-1-5-21-3048853270-2157241324-869001692-1007)"/>
    <protectedRange sqref="Q30:R30 Q28:R28 R31 R33" name="maria_1_6" securityDescriptor="O:WDG:WDD:(A;;CC;;;S-1-5-21-3048853270-2157241324-869001692-3245)(A;;CC;;;S-1-5-21-3048853270-2157241324-869001692-1007)"/>
    <protectedRange sqref="S30:AG30 X29 AA29 AF29 S25:AG25 S32:S33 V32:V33 AG32:AG33 AE32:AE33 AB32:AB33 Y32:Y33 U29 S28:AG28 AI22 AI25:AI30" name="maria_1_1_5" securityDescriptor="O:WDG:WDD:(A;;CC;;;S-1-5-21-3048853270-2157241324-869001692-3245)(A;;CC;;;S-1-5-21-3048853270-2157241324-869001692-1007)"/>
    <protectedRange sqref="AL37:XFD37 B37:D37 F37:P37 O38:O42 M38:M42" name="maria_8" securityDescriptor="O:WDG:WDD:(A;;CC;;;S-1-5-21-3048853270-2157241324-869001692-3245)(A;;CC;;;S-1-5-21-3048853270-2157241324-869001692-1007)"/>
    <protectedRange sqref="Q37:R37" name="maria_1_8" securityDescriptor="O:WDG:WDD:(A;;CC;;;S-1-5-21-3048853270-2157241324-869001692-3245)(A;;CC;;;S-1-5-21-3048853270-2157241324-869001692-1007)"/>
    <protectedRange sqref="S37:U37 W37:AA37 AC37:AG37 AG164:AG250 AI37 AG117 AG252:AG310 AG350:AG351 AG312:AG331 AG161:AG162 AG119:AG126 AG333:AG347 AG38:AG52 AG55:AG94 AG96:AG115 AG128:AG158" name="maria_1_1_7" securityDescriptor="O:WDG:WDD:(A;;CC;;;S-1-5-21-3048853270-2157241324-869001692-3245)(A;;CC;;;S-1-5-21-3048853270-2157241324-869001692-1007)"/>
    <protectedRange sqref="AF38:AF39 T38:U39 W38:X39 Z38:AA39 AC38:AD39 P38:P39 B38:D39 F38:L39 AI38 AL38:XFD39 N38:N42 H40:H42 AI39:AK42" name="maria_9" securityDescriptor="O:WDG:WDD:(A;;CC;;;S-1-5-21-3048853270-2157241324-869001692-3245)(A;;CC;;;S-1-5-21-3048853270-2157241324-869001692-1007)"/>
    <protectedRange sqref="Q38:R38 Q39:Q42" name="maria_1_9" securityDescriptor="O:WDG:WDD:(A;;CC;;;S-1-5-21-3048853270-2157241324-869001692-3245)(A;;CC;;;S-1-5-21-3048853270-2157241324-869001692-1007)"/>
    <protectedRange sqref="AE51:AE52 AE38:AE42 S38:S42 Y38:Y42" name="maria_1_1_8" securityDescriptor="O:WDG:WDD:(A;;CC;;;S-1-5-21-3048853270-2157241324-869001692-3245)(A;;CC;;;S-1-5-21-3048853270-2157241324-869001692-1007)"/>
    <protectedRange sqref="AI43 AF43 T43:U43 W43:X43 Z43:AA43 B43:D43 AC43:AD43 F43:P43 AL43:XFD43" name="maria_10" securityDescriptor="O:WDG:WDD:(A;;CC;;;S-1-5-21-3048853270-2157241324-869001692-3245)(A;;CC;;;S-1-5-21-3048853270-2157241324-869001692-1007)"/>
    <protectedRange sqref="Q43:R43 R40:R42" name="maria_1_10" securityDescriptor="O:WDG:WDD:(A;;CC;;;S-1-5-21-3048853270-2157241324-869001692-3245)(A;;CC;;;S-1-5-21-3048853270-2157241324-869001692-1007)"/>
    <protectedRange sqref="Y43:Y48 AE43:AE50 S43:S48 AE55:AE57" name="maria_1_1_9" securityDescriptor="O:WDG:WDD:(A;;CC;;;S-1-5-21-3048853270-2157241324-869001692-3245)(A;;CC;;;S-1-5-21-3048853270-2157241324-869001692-1007)"/>
    <protectedRange sqref="AI58 AF58 T58:U58 W58:X58 Z58:AA58 C58:D58 AC58:AD58 AL58:XFD58 F58:P58" name="maria_11" securityDescriptor="O:WDG:WDD:(A;;CC;;;S-1-5-21-3048853270-2157241324-869001692-3245)(A;;CC;;;S-1-5-21-3048853270-2157241324-869001692-1007)"/>
    <protectedRange sqref="Q58:R58 R49 R54:R55 R84:R86" name="maria_1_11" securityDescriptor="O:WDG:WDD:(A;;CC;;;S-1-5-21-3048853270-2157241324-869001692-3245)(A;;CC;;;S-1-5-21-3048853270-2157241324-869001692-1007)"/>
    <protectedRange sqref="AE58:AE63 Y58:Y59 S58:S63" name="maria_1_1_10" securityDescriptor="O:WDG:WDD:(A;;CC;;;S-1-5-21-3048853270-2157241324-869001692-3245)(A;;CC;;;S-1-5-21-3048853270-2157241324-869001692-1007)"/>
    <protectedRange sqref="B59:D59 W59:X59 AI59 AC59:AD59 T59:U59 Z59:AA59 AF59 AL59:XFD59 F59:R59 M60:M63" name="maria_12" securityDescriptor="O:WDG:WDD:(A;;CC;;;S-1-5-21-3048853270-2157241324-869001692-3245)(A;;CC;;;S-1-5-21-3048853270-2157241324-869001692-1007)"/>
    <protectedRange sqref="AF60 T60:U60 W60:X60 Z60:AA60 B60:D60 AC60:AD60 N60:P60 F60:L60 AI60:XFD60" name="maria_13" securityDescriptor="O:WDG:WDD:(A;;CC;;;S-1-5-21-3048853270-2157241324-869001692-3245)(A;;CC;;;S-1-5-21-3048853270-2157241324-869001692-1007)"/>
    <protectedRange sqref="Q60:R60" name="maria_1_12" securityDescriptor="O:WDG:WDD:(A;;CC;;;S-1-5-21-3048853270-2157241324-869001692-3245)(A;;CC;;;S-1-5-21-3048853270-2157241324-869001692-1007)"/>
    <protectedRange sqref="Y60" name="maria_1_1_11" securityDescriptor="O:WDG:WDD:(A;;CC;;;S-1-5-21-3048853270-2157241324-869001692-3245)(A;;CC;;;S-1-5-21-3048853270-2157241324-869001692-1007)"/>
    <protectedRange sqref="AF61:AF63 T61:U63 W61:X63 Z61:AA63 AC61:AD63 F57 N61:P63 AI61 AL61:XFD61 B61:D63 F61:L63 AI62:XFD63" name="maria_14" securityDescriptor="O:WDG:WDD:(A;;CC;;;S-1-5-21-3048853270-2157241324-869001692-3245)(A;;CC;;;S-1-5-21-3048853270-2157241324-869001692-1007)"/>
    <protectedRange sqref="Q61:R63" name="maria_1_13" securityDescriptor="O:WDG:WDD:(A;;CC;;;S-1-5-21-3048853270-2157241324-869001692-3245)(A;;CC;;;S-1-5-21-3048853270-2157241324-869001692-1007)"/>
    <protectedRange sqref="Y61:Y63" name="maria_1_1_12" securityDescriptor="O:WDG:WDD:(A;;CC;;;S-1-5-21-3048853270-2157241324-869001692-3245)(A;;CC;;;S-1-5-21-3048853270-2157241324-869001692-1007)"/>
    <protectedRange sqref="AI64 AF64 T64:U64 W64:X64 Z64:AA64 B64:D64 AC64:AD64 F64:P64 AL64:XFD64 M65:M67" name="maria_15" securityDescriptor="O:WDG:WDD:(A;;CC;;;S-1-5-21-3048853270-2157241324-869001692-3245)(A;;CC;;;S-1-5-21-3048853270-2157241324-869001692-1007)"/>
    <protectedRange sqref="Q64:R64" name="maria_1_14" securityDescriptor="O:WDG:WDD:(A;;CC;;;S-1-5-21-3048853270-2157241324-869001692-3245)(A;;CC;;;S-1-5-21-3048853270-2157241324-869001692-1007)"/>
    <protectedRange sqref="Y64 S64:S68 AE64:AE68" name="maria_1_1_13" securityDescriptor="O:WDG:WDD:(A;;CC;;;S-1-5-21-3048853270-2157241324-869001692-3245)(A;;CC;;;S-1-5-21-3048853270-2157241324-869001692-1007)"/>
    <protectedRange sqref="AF69 B69:D69 W69:AA69 AC69:AD69 O70 F69:U69 M70 L112 L148 AL69:XFD69 AI69:AI70 Q70:S70 Y70 I70" name="maria_16" securityDescriptor="O:WDG:WDD:(A;;CC;;;S-1-5-21-3048853270-2157241324-869001692-3245)(A;;CC;;;S-1-5-21-3048853270-2157241324-869001692-1007)"/>
    <protectedRange sqref="AE69:AE70" name="maria_1_15" securityDescriptor="O:WDG:WDD:(A;;CC;;;S-1-5-21-3048853270-2157241324-869001692-3245)(A;;CC;;;S-1-5-21-3048853270-2157241324-869001692-1007)"/>
    <protectedRange sqref="B78:D78 W78:AA78 AC78:AF78 Y79:Y82 AE164:AE250 AI78:XFD78 O79:S80 AE252:AE310 AE312:AE331 AI79:AI80 O81:P81 F78:U78 L168 AE333:AE347 AE161:AE162 AE350:AE351 M79:M82 R81:S82 AE79:AE126 AE128:AE158" name="maria_17" securityDescriptor="O:WDG:WDD:(A;;CC;;;S-1-5-21-3048853270-2157241324-869001692-3245)(A;;CC;;;S-1-5-21-3048853270-2157241324-869001692-1007)"/>
    <protectedRange sqref="AL71:XFD71 B71:D71 AJ72:AK74 N74:P74 F71:L71 M71:P73 M74:M77" name="maria_18" securityDescriptor="O:WDG:WDD:(A;;CC;;;S-1-5-21-3048853270-2157241324-869001692-3245)(A;;CC;;;S-1-5-21-3048853270-2157241324-869001692-1007)"/>
    <protectedRange sqref="Q71:R74" name="maria_1_16" securityDescriptor="O:WDG:WDD:(A;;CC;;;S-1-5-21-3048853270-2157241324-869001692-3245)(A;;CC;;;S-1-5-21-3048853270-2157241324-869001692-1007)"/>
    <protectedRange sqref="S71:U71 W71:AA71 AC71:AF71 AI71:AI74 AE72:AE77 Y72:Y77 S72:S77" name="maria_1_1_14" securityDescriptor="O:WDG:WDD:(A;;CC;;;S-1-5-21-3048853270-2157241324-869001692-3245)(A;;CC;;;S-1-5-21-3048853270-2157241324-869001692-1007)"/>
    <protectedRange sqref="AI87 AF87 T87:U87 W87:X87 Z87:AA87 C87:D87 AC87:AD87 O88:P90 F87:P87 AL87:XFD87 O91:O93" name="maria_19" securityDescriptor="O:WDG:WDD:(A;;CC;;;S-1-5-21-3048853270-2157241324-869001692-3245)(A;;CC;;;S-1-5-21-3048853270-2157241324-869001692-1007)"/>
    <protectedRange sqref="Q87:R87" name="maria_1_17" securityDescriptor="O:WDG:WDD:(A;;CC;;;S-1-5-21-3048853270-2157241324-869001692-3245)(A;;CC;;;S-1-5-21-3048853270-2157241324-869001692-1007)"/>
    <protectedRange sqref="S87:S93 T91:T93 Y87:Y93" name="maria_1_1_15" securityDescriptor="O:WDG:WDD:(A;;CC;;;S-1-5-21-3048853270-2157241324-869001692-3245)(A;;CC;;;S-1-5-21-3048853270-2157241324-869001692-1007)"/>
    <protectedRange sqref="AF83 T83:U83 W83:X83 Z83:AA83 B83:D83 AC83:AD83 B87 F83:P83 M84:M86 H85:H86 AI84:AI86 O84:P86 AI83:XFD83" name="maria_20" securityDescriptor="O:WDG:WDD:(A;;CC;;;S-1-5-21-3048853270-2157241324-869001692-3245)(A;;CC;;;S-1-5-21-3048853270-2157241324-869001692-1007)"/>
    <protectedRange sqref="Q83:R83 Q84:Q86" name="maria_1_18" securityDescriptor="O:WDG:WDD:(A;;CC;;;S-1-5-21-3048853270-2157241324-869001692-3245)(A;;CC;;;S-1-5-21-3048853270-2157241324-869001692-1007)"/>
    <protectedRange sqref="Y83:Y86 Z85:Z86 T85:T86 S83:S86" name="maria_1_1_16" securityDescriptor="O:WDG:WDD:(A;;CC;;;S-1-5-21-3048853270-2157241324-869001692-3245)(A;;CC;;;S-1-5-21-3048853270-2157241324-869001692-1007)"/>
    <protectedRange sqref="AL96:XFD96 B96:D96 M97:M99 B105 B107 B109 B101:B102 F96:P96 H98:H99 P98" name="maria_21" securityDescriptor="O:WDG:WDD:(A;;CC;;;S-1-5-21-3048853270-2157241324-869001692-3245)(A;;CC;;;S-1-5-21-3048853270-2157241324-869001692-1007)"/>
    <protectedRange sqref="Q96:R96 Q98:Q100" name="maria_1_19" securityDescriptor="O:WDG:WDD:(A;;CC;;;S-1-5-21-3048853270-2157241324-869001692-3245)(A;;CC;;;S-1-5-21-3048853270-2157241324-869001692-1007)"/>
    <protectedRange sqref="S96:U96 W96:AA96 AF96 AI96 AC96:AD96 Y97:Y98 X98 S97:S98 U98 AA98 S99:U99 W99:AA99 AC98:AD99 AF98:AF100 Y100 S100 AI98:AI100" name="maria_1_1_17" securityDescriptor="O:WDG:WDD:(A;;CC;;;S-1-5-21-3048853270-2157241324-869001692-3245)(A;;CC;;;S-1-5-21-3048853270-2157241324-869001692-1007)"/>
    <protectedRange sqref="B94:D94 P94 F94:N94 M95 M100 AJ94:XFD94" name="maria_22" securityDescriptor="O:WDG:WDD:(A;;CC;;;S-1-5-21-3048853270-2157241324-869001692-3245)(A;;CC;;;S-1-5-21-3048853270-2157241324-869001692-1007)"/>
    <protectedRange sqref="Q94:R94" name="maria_1_20" securityDescriptor="O:WDG:WDD:(A;;CC;;;S-1-5-21-3048853270-2157241324-869001692-3245)(A;;CC;;;S-1-5-21-3048853270-2157241324-869001692-1007)"/>
    <protectedRange sqref="S94:U94 W94:AA94 AC94:AD94 AI94 AF94:AF95 Y95 S95" name="maria_1_1_18" securityDescriptor="O:WDG:WDD:(A;;CC;;;S-1-5-21-3048853270-2157241324-869001692-3245)(A;;CC;;;S-1-5-21-3048853270-2157241324-869001692-1007)"/>
    <protectedRange sqref="AF101:AF102 U101:U102 W101:X102 Z101:AA102 AC101:AD102 F103 M103:M104 O103:O104 C101:D102 F101:P102 AI101:AI102 AL101:XFD102" name="maria_23" securityDescriptor="O:WDG:WDD:(A;;CC;;;S-1-5-21-3048853270-2157241324-869001692-3245)(A;;CC;;;S-1-5-21-3048853270-2157241324-869001692-1007)"/>
    <protectedRange sqref="Q101:R104" name="maria_1_21" securityDescriptor="O:WDG:WDD:(A;;CC;;;S-1-5-21-3048853270-2157241324-869001692-3245)(A;;CC;;;S-1-5-21-3048853270-2157241324-869001692-1007)"/>
    <protectedRange sqref="S103:S106 S101:T102 Y101:Y102 S108" name="maria_1_1_19" securityDescriptor="O:WDG:WDD:(A;;CC;;;S-1-5-21-3048853270-2157241324-869001692-3245)(A;;CC;;;S-1-5-21-3048853270-2157241324-869001692-1007)"/>
    <protectedRange sqref="AF109 T109:U109 W109:X109 Z109:AA109 C109:D109 AC109:AD109 D107 AI107 AF107 T107:U107 W107:X107 Z107:AA107 M107:P107 AC107:AD107 AJ105:AK105 AF105 AA108 M110:M111 F107 F109:P109 O108:P108 U108 X108 M105:M106 M108 M115 AI109:XFD109" name="maria_24" securityDescriptor="O:WDG:WDD:(A;;CC;;;S-1-5-21-3048853270-2157241324-869001692-3245)(A;;CC;;;S-1-5-21-3048853270-2157241324-869001692-1007)"/>
    <protectedRange sqref="R105:R106 Q107:R109" name="maria_1_22" securityDescriptor="O:WDG:WDD:(A;;CC;;;S-1-5-21-3048853270-2157241324-869001692-3245)(A;;CC;;;S-1-5-21-3048853270-2157241324-869001692-1007)"/>
    <protectedRange sqref="Y109 Y107 S107 S109:S111 S115" name="maria_1_1_20" securityDescriptor="O:WDG:WDD:(A;;CC;;;S-1-5-21-3048853270-2157241324-869001692-3245)(A;;CC;;;S-1-5-21-3048853270-2157241324-869001692-1007)"/>
    <protectedRange sqref="AI119 T119:U119 W119:X119 Z119:AA119 B119:D119 AC119:AD119 B122 B126 B135:B136 B138 B144 B142 H120 F120 AF119:AF120 AI120:AK120 F119:P119 F126 M120:P121 B129:B131 AL119:XFD119 I120:I121" name="maria_25" securityDescriptor="O:WDG:WDD:(A;;CC;;;S-1-5-21-3048853270-2157241324-869001692-3245)(A;;CC;;;S-1-5-21-3048853270-2157241324-869001692-1007)"/>
    <protectedRange sqref="Q119:R119 Q120:Q121 R121" name="maria_1_23" securityDescriptor="O:WDG:WDD:(A;;CC;;;S-1-5-21-3048853270-2157241324-869001692-3245)(A;;CC;;;S-1-5-21-3048853270-2157241324-869001692-1007)"/>
    <protectedRange sqref="S119:S121 Y119:Y121" name="maria_1_1_21" securityDescriptor="O:WDG:WDD:(A;;CC;;;S-1-5-21-3048853270-2157241324-869001692-3245)(A;;CC;;;S-1-5-21-3048853270-2157241324-869001692-1007)"/>
    <protectedRange sqref="AF34 T34:U34 W34:X34 Z34:AD34 B34:D34 AB164:AB172 AI34:AI35 AB31 M35:P36 F34:P34 H127 M127:N127 AB52 AL34:XFD34 R34:R36 H35:H36 P127 AB161:AB162 R127:R128 AB35:AB50 AB54:AB115 AB119:AB158" name="maria_26" securityDescriptor="O:WDG:WDD:(A;;CC;;;S-1-5-21-3048853270-2157241324-869001692-3245)(A;;CC;;;S-1-5-21-3048853270-2157241324-869001692-1007)"/>
    <protectedRange sqref="Q127 Q34:Q36" name="maria_1_24" securityDescriptor="O:WDG:WDD:(A;;CC;;;S-1-5-21-3048853270-2157241324-869001692-3245)(A;;CC;;;S-1-5-21-3048853270-2157241324-869001692-1007)"/>
    <protectedRange sqref="W85:W86 W49 S31 V31 AE31 AG31 Y31 W131 W55 V161:V162 S127 AE127 AG127 AG34:AG36 Y127:Y128 AE34:AE36 Y34:Y36 S34:S36 V34:V52 V54:V115 V119:V158" name="maria_1_1_22" securityDescriptor="O:WDG:WDD:(A;;CC;;;S-1-5-21-3048853270-2157241324-869001692-3245)(A;;CC;;;S-1-5-21-3048853270-2157241324-869001692-1007)"/>
    <protectedRange sqref="B148:D148 W148:AA148 AF148 AI148 AC148:AD148 M148:U148 AL148:XFD148 F273 F148:K148 S149:S154 Y149:Y154 M149:M154" name="maria_28" securityDescriptor="O:WDG:WDD:(A;;CC;;;S-1-5-21-3048853270-2157241324-869001692-3245)(A;;CC;;;S-1-5-21-3048853270-2157241324-869001692-1007)"/>
    <protectedRange sqref="T149:U154 W149:X154 Z149:AA154 F84:F86 AC149:AD151 F40 F46:F50 F54:F55 AC153:AD154 B149:D154 F149:L151 G152:L154 N149:P154 AI149:AI150 AL149:XFD150 AI151:XFD154 AF149:AF154" name="maria_29" securityDescriptor="O:WDG:WDD:(A;;CC;;;S-1-5-21-3048853270-2157241324-869001692-3245)(A;;CC;;;S-1-5-21-3048853270-2157241324-869001692-1007)"/>
    <protectedRange sqref="R91:R93 R97:R100 Q149:R154" name="maria_1_25" securityDescriptor="O:WDG:WDD:(A;;CC;;;S-1-5-21-3048853270-2157241324-869001692-3245)(A;;CC;;;S-1-5-21-3048853270-2157241324-869001692-1007)"/>
    <protectedRange sqref="AI136 AF136 T136:U136 W136:X136 Z136:AA136 C136:D136 AI131:AK134 F136:P136 O137 AL136:XFD136 K131:K134 M137 M131:M134" name="maria_30" securityDescriptor="O:WDG:WDD:(A;;CC;;;S-1-5-21-3048853270-2157241324-869001692-3245)(A;;CC;;;S-1-5-21-3048853270-2157241324-869001692-1007)"/>
    <protectedRange sqref="Q136:R136 R131 R137" name="maria_1_26" securityDescriptor="O:WDG:WDD:(A;;CC;;;S-1-5-21-3048853270-2157241324-869001692-3245)(A;;CC;;;S-1-5-21-3048853270-2157241324-869001692-1007)"/>
    <protectedRange sqref="Y136:Y147 S136:S147" name="maria_1_1_24" securityDescriptor="O:WDG:WDD:(A;;CC;;;S-1-5-21-3048853270-2157241324-869001692-3245)(A;;CC;;;S-1-5-21-3048853270-2157241324-869001692-1007)"/>
    <protectedRange sqref="AI122 AF122 T122:U122 W122:X122 Z122:AA122 C122:D122 AC122:AD122 M113:M114 M118 F122:P122 M116 H124 AL122:XFD122 N124:P125 M123:M125" name="maria_31" securityDescriptor="O:WDG:WDD:(A;;CC;;;S-1-5-21-3048853270-2157241324-869001692-3245)(A;;CC;;;S-1-5-21-3048853270-2157241324-869001692-1007)"/>
    <protectedRange sqref="Q122:R122 R77 Q124:R125" name="maria_1_27" securityDescriptor="O:WDG:WDD:(A;;CC;;;S-1-5-21-3048853270-2157241324-869001692-3245)(A;;CC;;;S-1-5-21-3048853270-2157241324-869001692-1007)"/>
    <protectedRange sqref="Y122:Y125 Y113 S113 S122:S125" name="maria_1_1_25" securityDescriptor="O:WDG:WDD:(A;;CC;;;S-1-5-21-3048853270-2157241324-869001692-3245)(A;;CC;;;S-1-5-21-3048853270-2157241324-869001692-1007)"/>
    <protectedRange sqref="B112 F112" name="maria_32" securityDescriptor="O:WDG:WDD:(A;;CC;;;S-1-5-21-3048853270-2157241324-869001692-3245)(A;;CC;;;S-1-5-21-3048853270-2157241324-869001692-1007)"/>
    <protectedRange sqref="C112:D112 G112:H112 W112:AA112 AF112 AI112 AC112:AD112 S114 O113:P113 H113:H114 P114 J112:K112 M112:U112 AL112:XFD112 Y114:Y115" name="maria_1_28" securityDescriptor="O:WDG:WDD:(A;;CC;;;S-1-5-21-3048853270-2157241324-869001692-3245)(A;;CC;;;S-1-5-21-3048853270-2157241324-869001692-1007)"/>
    <protectedRange sqref="C208:H208 C165:H200 C209:I212 J200:L200 T166:U212 W182:X212 Z182:AA212 I165:L167 AF164:AF212 AC164:AD212 W165:AA181 N166:R212 N165:U165 V165:V250 Y182:Y250 AB173:AB250 B165:B261 C263:C264 S166:S267 C201:L207 Y117 AB117 M117 M165:M310 S269:S310 AB252:AB310 Y253:Y310 V252:V310 B265:B310 B117 S117 V117 J208:L212 B326:B332 B164:AA164 V312:V331 S312:S331 B312:B324 M312:M331 AB312:AB331 Y312:Y331 AL164:XFD164 I169:L199 I168:K168 AI164 AB333:AB347 Y333:Y347 V333:V347 S333:S347 M333:M347 S349 Y349 S350:AD351 AI165:XFD212" name="maria_33" securityDescriptor="O:WDG:WDD:(A;;CC;;;S-1-5-21-3048853270-2157241324-869001692-3245)(A;;CC;;;S-1-5-21-3048853270-2157241324-869001692-1007)"/>
    <protectedRange sqref="AI213 AF213 T213:U213 W213:X213 Z213:AA213 C213:L213 AC213:AD213 N213:P213 E283:E286 AL213:XFD213" name="maria_34" securityDescriptor="O:WDG:WDD:(A;;CC;;;S-1-5-21-3048853270-2157241324-869001692-3245)(A;;CC;;;S-1-5-21-3048853270-2157241324-869001692-1007)"/>
    <protectedRange sqref="Q213:R213" name="maria_1_29" securityDescriptor="O:WDG:WDD:(A;;CC;;;S-1-5-21-3048853270-2157241324-869001692-3245)(A;;CC;;;S-1-5-21-3048853270-2157241324-869001692-1007)"/>
    <protectedRange sqref="O214:P214 R214:R216 O216:P216 AF214:AF216 T214:U216 W214:X216 Z214 AA214:AA215 Z216:AA216 AC214:AD216 N214:N216 AI273 R273:R275 R277:R278 C214:D216 F214:L216 AI214:AI216 AL214:XFD216" name="maria_35" securityDescriptor="O:WDG:WDD:(A;;CC;;;S-1-5-21-3048853270-2157241324-869001692-3245)(A;;CC;;;S-1-5-21-3048853270-2157241324-869001692-1007)"/>
    <protectedRange sqref="Q214:Q216" name="maria_1_30" securityDescriptor="O:WDG:WDD:(A;;CC;;;S-1-5-21-3048853270-2157241324-869001692-3245)(A;;CC;;;S-1-5-21-3048853270-2157241324-869001692-1007)"/>
    <protectedRange sqref="Z215" name="maria_1_1_27" securityDescriptor="O:WDG:WDD:(A;;CC;;;S-1-5-21-3048853270-2157241324-869001692-3245)(A;;CC;;;S-1-5-21-3048853270-2157241324-869001692-1007)"/>
    <protectedRange sqref="AF217:AF224 T217:U224 W217:X224 Z217:AA224 AC217:AD224 C217:L224 N217:P224 E228 E233:E235 E239:E240 E242 E244:E248 E251 E259:E261 E267 E276:E277 E279:E282 E295:E302 E309:E310 E313:E320 E287:E293 E144 E142 E138:E139 E132 E123 E113 E105 E89:E90 E74 E39 E35 E31 E29 E18 E9 E72 E324 E304:E307 E326:E331 E129 AI217:AI224 AL217:XFD224 E23:E25 E343:E344 E347:F347 E12:E14 E33" name="maria_36" securityDescriptor="O:WDG:WDD:(A;;CC;;;S-1-5-21-3048853270-2157241324-869001692-3245)(A;;CC;;;S-1-5-21-3048853270-2157241324-869001692-1007)"/>
    <protectedRange sqref="Q217:R224" name="maria_1_31" securityDescriptor="O:WDG:WDD:(A;;CC;;;S-1-5-21-3048853270-2157241324-869001692-3245)(A;;CC;;;S-1-5-21-3048853270-2157241324-869001692-1007)"/>
    <protectedRange sqref="AF225:AF226 T225:U226 W225:X226 Z226 AA225:AA226 C225:L226 AC225:AD226 N225:P226 AF237 T237:U237 W237:X237 AA237 C237:L237 AC237:AD237 E236 E238 N237:P238 AI238 E249 E241 AI226 AL226:XFD226 E345 AI225:XFD225 AI237:XFD237" name="maria_37" securityDescriptor="O:WDG:WDD:(A;;CC;;;S-1-5-21-3048853270-2157241324-869001692-3245)(A;;CC;;;S-1-5-21-3048853270-2157241324-869001692-1007)"/>
    <protectedRange sqref="Q225:R226 Q237:R238" name="maria_1_32" securityDescriptor="O:WDG:WDD:(A;;CC;;;S-1-5-21-3048853270-2157241324-869001692-3245)(A;;CC;;;S-1-5-21-3048853270-2157241324-869001692-1007)"/>
    <protectedRange sqref="Z225 Z237" name="maria_1_1_29" securityDescriptor="O:WDG:WDD:(A;;CC;;;S-1-5-21-3048853270-2157241324-869001692-3245)(A;;CC;;;S-1-5-21-3048853270-2157241324-869001692-1007)"/>
    <protectedRange sqref="AF227:AF228 T227:U228 W227:X228 Z228:AA228 AC227:AD228 C227:L227 N227:P228 C228:D228 F228:L228 AI227:AI228 AL227:XFD228" name="maria_38" securityDescriptor="O:WDG:WDD:(A;;CC;;;S-1-5-21-3048853270-2157241324-869001692-3245)(A;;CC;;;S-1-5-21-3048853270-2157241324-869001692-1007)"/>
    <protectedRange sqref="Q227:R227 Q228" name="maria_1_33" securityDescriptor="O:WDG:WDD:(A;;CC;;;S-1-5-21-3048853270-2157241324-869001692-3245)(A;;CC;;;S-1-5-21-3048853270-2157241324-869001692-1007)"/>
    <protectedRange sqref="H231:I231 G229:I230 AF229:AF231 C229:F231 T229:U231 W229:X231 Z229:AA231 J229:L231 AC229:AD231 N236:P236 N229:P231 AI229:AI230 AL229:XFD230 AI231:XFD231" name="maria_39" securityDescriptor="O:WDG:WDD:(A;;CC;;;S-1-5-21-3048853270-2157241324-869001692-3245)(A;;CC;;;S-1-5-21-3048853270-2157241324-869001692-1007)"/>
    <protectedRange sqref="Q229:R231 R236" name="maria_1_34" securityDescriptor="O:WDG:WDD:(A;;CC;;;S-1-5-21-3048853270-2157241324-869001692-3245)(A;;CC;;;S-1-5-21-3048853270-2157241324-869001692-1007)"/>
    <protectedRange sqref="AF232:AF233 T232:U233 W232:X233 C232:L232 AC232:AD233 Z232:AA234 AI234:AK234 N232:P235 AI239 N239:P239 C233:D233 F233:L233 F234:F235 F239:F240 F251 AI233 AL233:XFD233 AI235 AI232:XFD232" name="maria_40" securityDescriptor="O:WDG:WDD:(A;;CC;;;S-1-5-21-3048853270-2157241324-869001692-3245)(A;;CC;;;S-1-5-21-3048853270-2157241324-869001692-1007)"/>
    <protectedRange sqref="Q232:R235 Q239:R239 R240:R242" name="maria_1_35" securityDescriptor="O:WDG:WDD:(A;;CC;;;S-1-5-21-3048853270-2157241324-869001692-3245)(A;;CC;;;S-1-5-21-3048853270-2157241324-869001692-1007)"/>
    <protectedRange sqref="AF88:AF90 T88:U90 W88:X90 Z88:AA90 AC88:AD90 C88:D90 F88:N90 AI91:AI92 M91:M93 AI88:XFD90" name="maria_42" securityDescriptor="O:WDG:WDD:(A;;CC;;;S-1-5-21-3048853270-2157241324-869001692-3245)(A;;CC;;;S-1-5-21-3048853270-2157241324-869001692-1007)"/>
    <protectedRange sqref="Q88:R88 Q89:Q90" name="maria_1_37" securityDescriptor="O:WDG:WDD:(A;;CC;;;S-1-5-21-3048853270-2157241324-869001692-3245)(A;;CC;;;S-1-5-21-3048853270-2157241324-869001692-1007)"/>
    <protectedRange sqref="T311:U311 W311:X311 AF311 Z311:AA311 AC311:AD311 C311:D311 N311:P311 AH311:AI311 F311:L311 F312 F321:F323 AL311:XFD311" name="maria_7" securityDescriptor="O:WDG:WDD:(A;;CC;;;S-1-5-21-3048853270-2157241324-869001692-3245)(A;;CC;;;S-1-5-21-3048853270-2157241324-869001692-1007)"/>
    <protectedRange sqref="Q311" name="maria_1_7" securityDescriptor="O:WDG:WDD:(A;;CC;;;S-1-5-21-3048853270-2157241324-869001692-3245)(A;;CC;;;S-1-5-21-3048853270-2157241324-869001692-1007)"/>
    <protectedRange sqref="AG311" name="maria_1_1_7_1" securityDescriptor="O:WDG:WDD:(A;;CC;;;S-1-5-21-3048853270-2157241324-869001692-3245)(A;;CC;;;S-1-5-21-3048853270-2157241324-869001692-1007)"/>
    <protectedRange sqref="AE311" name="maria_17_1" securityDescriptor="O:WDG:WDD:(A;;CC;;;S-1-5-21-3048853270-2157241324-869001692-3245)(A;;CC;;;S-1-5-21-3048853270-2157241324-869001692-1007)"/>
    <protectedRange sqref="V311 Y311 AB311 B311 S311 M311" name="maria_33_1" securityDescriptor="O:WDG:WDD:(A;;CC;;;S-1-5-21-3048853270-2157241324-869001692-3245)(A;;CC;;;S-1-5-21-3048853270-2157241324-869001692-1007)"/>
    <protectedRange sqref="E311:E312 E321:E323" name="maria_36_1" securityDescriptor="O:WDG:WDD:(A;;CC;;;S-1-5-21-3048853270-2157241324-869001692-3245)(A;;CC;;;S-1-5-21-3048853270-2157241324-869001692-1007)"/>
    <protectedRange sqref="T348:U348 W348:X348 AF348 Z348:AA348 AC348:AD348 C348:D348 F348:G348 AH348:AK348" name="maria_27" securityDescriptor="O:WDG:WDD:(A;;CC;;;S-1-5-21-3048853270-2157241324-869001692-3245)(A;;CC;;;S-1-5-21-3048853270-2157241324-869001692-1007)"/>
    <protectedRange sqref="AG348:AG349" name="maria_1_1_7_2" securityDescriptor="O:WDG:WDD:(A;;CC;;;S-1-5-21-3048853270-2157241324-869001692-3245)(A;;CC;;;S-1-5-21-3048853270-2157241324-869001692-1007)"/>
    <protectedRange sqref="AE348:AE349" name="maria_17_2" securityDescriptor="O:WDG:WDD:(A;;CC;;;S-1-5-21-3048853270-2157241324-869001692-3245)(A;;CC;;;S-1-5-21-3048853270-2157241324-869001692-1007)"/>
    <protectedRange sqref="Y348 B348 S348 AB348:AB349 V348:V349 M348:M351" name="maria_33_2" securityDescriptor="O:WDG:WDD:(A;;CC;;;S-1-5-21-3048853270-2157241324-869001692-3245)(A;;CC;;;S-1-5-21-3048853270-2157241324-869001692-1007)"/>
    <protectedRange sqref="O348:P348" name="maria_10_1" securityDescriptor="O:WDG:WDD:(A;;CC;;;S-1-5-21-3048853270-2157241324-869001692-3245)(A;;CC;;;S-1-5-21-3048853270-2157241324-869001692-1007)"/>
    <protectedRange sqref="B95:D95 G95:H95" name="maria_41" securityDescriptor="O:WDG:WDD:(A;;CC;;;S-1-5-21-3048853270-2157241324-869001692-3245)(A;;CC;;;S-1-5-21-3048853270-2157241324-869001692-1007)"/>
    <protectedRange sqref="F95" name="maria_22_1" securityDescriptor="O:WDG:WDD:(A;;CC;;;S-1-5-21-3048853270-2157241324-869001692-3245)(A;;CC;;;S-1-5-21-3048853270-2157241324-869001692-1007)"/>
    <protectedRange sqref="J95" name="maria_43" securityDescriptor="O:WDG:WDD:(A;;CC;;;S-1-5-21-3048853270-2157241324-869001692-3245)(A;;CC;;;S-1-5-21-3048853270-2157241324-869001692-1007)"/>
    <protectedRange sqref="I95" name="maria_22_2" securityDescriptor="O:WDG:WDD:(A;;CC;;;S-1-5-21-3048853270-2157241324-869001692-3245)(A;;CC;;;S-1-5-21-3048853270-2157241324-869001692-1007)"/>
    <protectedRange sqref="K95:L95" name="maria_44" securityDescriptor="O:WDG:WDD:(A;;CC;;;S-1-5-21-3048853270-2157241324-869001692-3245)(A;;CC;;;S-1-5-21-3048853270-2157241324-869001692-1007)"/>
    <protectedRange sqref="P95 N95" name="maria_22_3" securityDescriptor="O:WDG:WDD:(A;;CC;;;S-1-5-21-3048853270-2157241324-869001692-3245)(A;;CC;;;S-1-5-21-3048853270-2157241324-869001692-1007)"/>
    <protectedRange sqref="Q95:R95" name="maria_1_20_1" securityDescriptor="O:WDG:WDD:(A;;CC;;;S-1-5-21-3048853270-2157241324-869001692-3245)(A;;CC;;;S-1-5-21-3048853270-2157241324-869001692-1007)"/>
    <protectedRange sqref="T95:U95" name="maria_45" securityDescriptor="O:WDG:WDD:(A;;CC;;;S-1-5-21-3048853270-2157241324-869001692-3245)(A;;CC;;;S-1-5-21-3048853270-2157241324-869001692-1007)"/>
    <protectedRange sqref="W95:X95" name="maria_46" securityDescriptor="O:WDG:WDD:(A;;CC;;;S-1-5-21-3048853270-2157241324-869001692-3245)(A;;CC;;;S-1-5-21-3048853270-2157241324-869001692-1007)"/>
    <protectedRange sqref="Z95:AA95" name="maria_47" securityDescriptor="O:WDG:WDD:(A;;CC;;;S-1-5-21-3048853270-2157241324-869001692-3245)(A;;CC;;;S-1-5-21-3048853270-2157241324-869001692-1007)"/>
    <protectedRange sqref="AG95" name="maria_1_1_7_3" securityDescriptor="O:WDG:WDD:(A;;CC;;;S-1-5-21-3048853270-2157241324-869001692-3245)(A;;CC;;;S-1-5-21-3048853270-2157241324-869001692-1007)"/>
    <protectedRange sqref="W332:X332 AF332 AC332:AD332 C332:D332 T332:U332 Z332:AA332 F332:L332 AH332 O336:P336 N332:P335 R332:R335 R337:R340 O349:P351 N337:P347" name="maria_48" securityDescriptor="O:WDG:WDD:(A;;CC;;;S-1-5-21-3048853270-2157241324-869001692-3245)(A;;CC;;;S-1-5-21-3048853270-2157241324-869001692-1007)"/>
    <protectedRange sqref="Q332:Q347" name="maria_1_36" securityDescriptor="O:WDG:WDD:(A;;CC;;;S-1-5-21-3048853270-2157241324-869001692-3245)(A;;CC;;;S-1-5-21-3048853270-2157241324-869001692-1007)"/>
    <protectedRange sqref="AG332" name="maria_1_1_7_4" securityDescriptor="O:WDG:WDD:(A;;CC;;;S-1-5-21-3048853270-2157241324-869001692-3245)(A;;CC;;;S-1-5-21-3048853270-2157241324-869001692-1007)"/>
    <protectedRange sqref="AE332" name="maria_17_3" securityDescriptor="O:WDG:WDD:(A;;CC;;;S-1-5-21-3048853270-2157241324-869001692-3245)(A;;CC;;;S-1-5-21-3048853270-2157241324-869001692-1007)"/>
    <protectedRange sqref="Y332 AB332 S332 V332 M332" name="maria_33_3" securityDescriptor="O:WDG:WDD:(A;;CC;;;S-1-5-21-3048853270-2157241324-869001692-3245)(A;;CC;;;S-1-5-21-3048853270-2157241324-869001692-1007)"/>
    <protectedRange sqref="E332" name="maria_36_2" securityDescriptor="O:WDG:WDD:(A;;CC;;;S-1-5-21-3048853270-2157241324-869001692-3245)(A;;CC;;;S-1-5-21-3048853270-2157241324-869001692-1007)"/>
    <protectedRange sqref="E308" name="maria_1_4_1" securityDescriptor="O:WDG:WDD:(A;;CC;;;S-1-5-21-3048853270-2157241324-869001692-3245)(A;;CC;;;S-1-5-21-3048853270-2157241324-869001692-1007)"/>
    <protectedRange sqref="E336" name="maria_1_1" securityDescriptor="O:WDG:WDD:(A;;CC;;;S-1-5-21-3048853270-2157241324-869001692-3245)(A;;CC;;;S-1-5-21-3048853270-2157241324-869001692-1007)"/>
    <protectedRange sqref="F336" name="maria_49" securityDescriptor="O:WDG:WDD:(A;;CC;;;S-1-5-21-3048853270-2157241324-869001692-3245)(A;;CC;;;S-1-5-21-3048853270-2157241324-869001692-1007)"/>
    <protectedRange sqref="N336" name="maria_2_1" securityDescriptor="O:WDG:WDD:(A;;CC;;;S-1-5-21-3048853270-2157241324-869001692-3245)(A;;CC;;;S-1-5-21-3048853270-2157241324-869001692-1007)"/>
    <protectedRange sqref="R336 R341:R347" name="maria_3_1" securityDescriptor="O:WDG:WDD:(A;;CC;;;S-1-5-21-3048853270-2157241324-869001692-3245)(A;;CC;;;S-1-5-21-3048853270-2157241324-869001692-1007)"/>
    <protectedRange sqref="AJ213:AK213" name="maria_34_2" securityDescriptor="O:WDG:WDD:(A;;CC;;;S-1-5-21-3048853270-2157241324-869001692-3245)(A;;CC;;;S-1-5-21-3048853270-2157241324-869001692-1007)"/>
    <protectedRange sqref="AJ217:AK217" name="maria_36_4" securityDescriptor="O:WDG:WDD:(A;;CC;;;S-1-5-21-3048853270-2157241324-869001692-3245)(A;;CC;;;S-1-5-21-3048853270-2157241324-869001692-1007)"/>
    <protectedRange sqref="AJ218:AK218" name="maria_36_6" securityDescriptor="O:WDG:WDD:(A;;CC;;;S-1-5-21-3048853270-2157241324-869001692-3245)(A;;CC;;;S-1-5-21-3048853270-2157241324-869001692-1007)"/>
    <protectedRange sqref="AJ219:AK219" name="maria_36_7" securityDescriptor="O:WDG:WDD:(A;;CC;;;S-1-5-21-3048853270-2157241324-869001692-3245)(A;;CC;;;S-1-5-21-3048853270-2157241324-869001692-1007)"/>
    <protectedRange sqref="AJ220:AK220" name="maria_36_8" securityDescriptor="O:WDG:WDD:(A;;CC;;;S-1-5-21-3048853270-2157241324-869001692-3245)(A;;CC;;;S-1-5-21-3048853270-2157241324-869001692-1007)"/>
    <protectedRange sqref="AJ221:AK221" name="maria_36_9" securityDescriptor="O:WDG:WDD:(A;;CC;;;S-1-5-21-3048853270-2157241324-869001692-3245)(A;;CC;;;S-1-5-21-3048853270-2157241324-869001692-1007)"/>
    <protectedRange sqref="AJ222:AK222" name="maria_36_10" securityDescriptor="O:WDG:WDD:(A;;CC;;;S-1-5-21-3048853270-2157241324-869001692-3245)(A;;CC;;;S-1-5-21-3048853270-2157241324-869001692-1007)"/>
    <protectedRange sqref="AJ223:AK223" name="maria_36_12" securityDescriptor="O:WDG:WDD:(A;;CC;;;S-1-5-21-3048853270-2157241324-869001692-3245)(A;;CC;;;S-1-5-21-3048853270-2157241324-869001692-1007)"/>
    <protectedRange sqref="AJ224:AK224" name="maria_36_14" securityDescriptor="O:WDG:WDD:(A;;CC;;;S-1-5-21-3048853270-2157241324-869001692-3245)(A;;CC;;;S-1-5-21-3048853270-2157241324-869001692-1007)"/>
    <protectedRange sqref="AJ226:AK226" name="maria_37_1" securityDescriptor="O:WDG:WDD:(A;;CC;;;S-1-5-21-3048853270-2157241324-869001692-3245)(A;;CC;;;S-1-5-21-3048853270-2157241324-869001692-1007)"/>
    <protectedRange sqref="AJ227:AK227" name="maria_38_1" securityDescriptor="O:WDG:WDD:(A;;CC;;;S-1-5-21-3048853270-2157241324-869001692-3245)(A;;CC;;;S-1-5-21-3048853270-2157241324-869001692-1007)"/>
    <protectedRange sqref="AJ228:AK228" name="maria_38_3" securityDescriptor="O:WDG:WDD:(A;;CC;;;S-1-5-21-3048853270-2157241324-869001692-3245)(A;;CC;;;S-1-5-21-3048853270-2157241324-869001692-1007)"/>
    <protectedRange sqref="AJ229:AK229" name="maria_39_2" securityDescriptor="O:WDG:WDD:(A;;CC;;;S-1-5-21-3048853270-2157241324-869001692-3245)(A;;CC;;;S-1-5-21-3048853270-2157241324-869001692-1007)"/>
    <protectedRange sqref="AJ230:AK230" name="maria_39_3" securityDescriptor="O:WDG:WDD:(A;;CC;;;S-1-5-21-3048853270-2157241324-869001692-3245)(A;;CC;;;S-1-5-21-3048853270-2157241324-869001692-1007)"/>
    <protectedRange sqref="AJ233:AK233" name="maria_40_1" securityDescriptor="O:WDG:WDD:(A;;CC;;;S-1-5-21-3048853270-2157241324-869001692-3245)(A;;CC;;;S-1-5-21-3048853270-2157241324-869001692-1007)"/>
    <protectedRange sqref="AJ235:AK235" name="maria_40_2" securityDescriptor="O:WDG:WDD:(A;;CC;;;S-1-5-21-3048853270-2157241324-869001692-3245)(A;;CC;;;S-1-5-21-3048853270-2157241324-869001692-1007)"/>
    <protectedRange sqref="AJ239:AK239" name="maria_40_4" securityDescriptor="O:WDG:WDD:(A;;CC;;;S-1-5-21-3048853270-2157241324-869001692-3245)(A;;CC;;;S-1-5-21-3048853270-2157241324-869001692-1007)"/>
    <protectedRange sqref="AJ240:AK240" name="maria_50" securityDescriptor="O:WDG:WDD:(A;;CC;;;S-1-5-21-3048853270-2157241324-869001692-3245)(A;;CC;;;S-1-5-21-3048853270-2157241324-869001692-1007)"/>
    <protectedRange sqref="AJ242:AK242" name="maria_51" securityDescriptor="O:WDG:WDD:(A;;CC;;;S-1-5-21-3048853270-2157241324-869001692-3245)(A;;CC;;;S-1-5-21-3048853270-2157241324-869001692-1007)"/>
    <protectedRange sqref="AJ244:AK244" name="maria_52" securityDescriptor="O:WDG:WDD:(A;;CC;;;S-1-5-21-3048853270-2157241324-869001692-3245)(A;;CC;;;S-1-5-21-3048853270-2157241324-869001692-1007)"/>
    <protectedRange sqref="AJ245:AK245" name="maria_53" securityDescriptor="O:WDG:WDD:(A;;CC;;;S-1-5-21-3048853270-2157241324-869001692-3245)(A;;CC;;;S-1-5-21-3048853270-2157241324-869001692-1007)"/>
    <protectedRange sqref="AJ246:AK246" name="maria_54" securityDescriptor="O:WDG:WDD:(A;;CC;;;S-1-5-21-3048853270-2157241324-869001692-3245)(A;;CC;;;S-1-5-21-3048853270-2157241324-869001692-1007)"/>
    <protectedRange sqref="AJ247:AK247" name="maria_55" securityDescriptor="O:WDG:WDD:(A;;CC;;;S-1-5-21-3048853270-2157241324-869001692-3245)(A;;CC;;;S-1-5-21-3048853270-2157241324-869001692-1007)"/>
    <protectedRange sqref="AJ248:AK248" name="maria_57" securityDescriptor="O:WDG:WDD:(A;;CC;;;S-1-5-21-3048853270-2157241324-869001692-3245)(A;;CC;;;S-1-5-21-3048853270-2157241324-869001692-1007)"/>
    <protectedRange sqref="AJ251:AK251" name="maria_58" securityDescriptor="O:WDG:WDD:(A;;CC;;;S-1-5-21-3048853270-2157241324-869001692-3245)(A;;CC;;;S-1-5-21-3048853270-2157241324-869001692-1007)"/>
    <protectedRange sqref="AJ252:AK252" name="maria_60" securityDescriptor="O:WDG:WDD:(A;;CC;;;S-1-5-21-3048853270-2157241324-869001692-3245)(A;;CC;;;S-1-5-21-3048853270-2157241324-869001692-1007)"/>
    <protectedRange sqref="AJ255:AK255" name="maria_62" securityDescriptor="O:WDG:WDD:(A;;CC;;;S-1-5-21-3048853270-2157241324-869001692-3245)(A;;CC;;;S-1-5-21-3048853270-2157241324-869001692-1007)"/>
    <protectedRange sqref="AJ256:AK256" name="maria_64" securityDescriptor="O:WDG:WDD:(A;;CC;;;S-1-5-21-3048853270-2157241324-869001692-3245)(A;;CC;;;S-1-5-21-3048853270-2157241324-869001692-1007)"/>
    <protectedRange sqref="AJ257:AK257" name="maria_65" securityDescriptor="O:WDG:WDD:(A;;CC;;;S-1-5-21-3048853270-2157241324-869001692-3245)(A;;CC;;;S-1-5-21-3048853270-2157241324-869001692-1007)"/>
    <protectedRange sqref="AJ259:AK259" name="maria_66" securityDescriptor="O:WDG:WDD:(A;;CC;;;S-1-5-21-3048853270-2157241324-869001692-3245)(A;;CC;;;S-1-5-21-3048853270-2157241324-869001692-1007)"/>
    <protectedRange sqref="AJ260:AK260" name="maria_68" securityDescriptor="O:WDG:WDD:(A;;CC;;;S-1-5-21-3048853270-2157241324-869001692-3245)(A;;CC;;;S-1-5-21-3048853270-2157241324-869001692-1007)"/>
    <protectedRange sqref="AJ261:AK261" name="maria_69" securityDescriptor="O:WDG:WDD:(A;;CC;;;S-1-5-21-3048853270-2157241324-869001692-3245)(A;;CC;;;S-1-5-21-3048853270-2157241324-869001692-1007)"/>
    <protectedRange sqref="AJ263:AK263" name="maria_70" securityDescriptor="O:WDG:WDD:(A;;CC;;;S-1-5-21-3048853270-2157241324-869001692-3245)(A;;CC;;;S-1-5-21-3048853270-2157241324-869001692-1007)"/>
    <protectedRange sqref="AJ264:AK264" name="maria_71" securityDescriptor="O:WDG:WDD:(A;;CC;;;S-1-5-21-3048853270-2157241324-869001692-3245)(A;;CC;;;S-1-5-21-3048853270-2157241324-869001692-1007)"/>
    <protectedRange sqref="AJ266:AK266" name="maria_72" securityDescriptor="O:WDG:WDD:(A;;CC;;;S-1-5-21-3048853270-2157241324-869001692-3245)(A;;CC;;;S-1-5-21-3048853270-2157241324-869001692-1007)"/>
    <protectedRange sqref="AJ268:AK268" name="maria_74" securityDescriptor="O:WDG:WDD:(A;;CC;;;S-1-5-21-3048853270-2157241324-869001692-3245)(A;;CC;;;S-1-5-21-3048853270-2157241324-869001692-1007)"/>
    <protectedRange sqref="AJ271:AK271" name="maria_76" securityDescriptor="O:WDG:WDD:(A;;CC;;;S-1-5-21-3048853270-2157241324-869001692-3245)(A;;CC;;;S-1-5-21-3048853270-2157241324-869001692-1007)"/>
    <protectedRange sqref="AJ272:AK272" name="maria_77" securityDescriptor="O:WDG:WDD:(A;;CC;;;S-1-5-21-3048853270-2157241324-869001692-3245)(A;;CC;;;S-1-5-21-3048853270-2157241324-869001692-1007)"/>
    <protectedRange sqref="AJ274:AK274" name="maria_78" securityDescriptor="O:WDG:WDD:(A;;CC;;;S-1-5-21-3048853270-2157241324-869001692-3245)(A;;CC;;;S-1-5-21-3048853270-2157241324-869001692-1007)"/>
    <protectedRange sqref="AJ275:AK275" name="maria_79" securityDescriptor="O:WDG:WDD:(A;;CC;;;S-1-5-21-3048853270-2157241324-869001692-3245)(A;;CC;;;S-1-5-21-3048853270-2157241324-869001692-1007)"/>
    <protectedRange sqref="AJ276:AK276" name="maria_80" securityDescriptor="O:WDG:WDD:(A;;CC;;;S-1-5-21-3048853270-2157241324-869001692-3245)(A;;CC;;;S-1-5-21-3048853270-2157241324-869001692-1007)"/>
    <protectedRange sqref="AJ277:AK277" name="maria_81" securityDescriptor="O:WDG:WDD:(A;;CC;;;S-1-5-21-3048853270-2157241324-869001692-3245)(A;;CC;;;S-1-5-21-3048853270-2157241324-869001692-1007)"/>
    <protectedRange sqref="AJ279:AK279" name="maria_82" securityDescriptor="O:WDG:WDD:(A;;CC;;;S-1-5-21-3048853270-2157241324-869001692-3245)(A;;CC;;;S-1-5-21-3048853270-2157241324-869001692-1007)"/>
    <protectedRange sqref="AJ280:AK280" name="maria_83" securityDescriptor="O:WDG:WDD:(A;;CC;;;S-1-5-21-3048853270-2157241324-869001692-3245)(A;;CC;;;S-1-5-21-3048853270-2157241324-869001692-1007)"/>
    <protectedRange sqref="AJ282:AK282" name="maria_84" securityDescriptor="O:WDG:WDD:(A;;CC;;;S-1-5-21-3048853270-2157241324-869001692-3245)(A;;CC;;;S-1-5-21-3048853270-2157241324-869001692-1007)"/>
    <protectedRange sqref="AJ283:AK283" name="maria_85" securityDescriptor="O:WDG:WDD:(A;;CC;;;S-1-5-21-3048853270-2157241324-869001692-3245)(A;;CC;;;S-1-5-21-3048853270-2157241324-869001692-1007)"/>
    <protectedRange sqref="AJ284:AK284" name="maria_87" securityDescriptor="O:WDG:WDD:(A;;CC;;;S-1-5-21-3048853270-2157241324-869001692-3245)(A;;CC;;;S-1-5-21-3048853270-2157241324-869001692-1007)"/>
    <protectedRange sqref="AJ285:AK285" name="maria_88" securityDescriptor="O:WDG:WDD:(A;;CC;;;S-1-5-21-3048853270-2157241324-869001692-3245)(A;;CC;;;S-1-5-21-3048853270-2157241324-869001692-1007)"/>
    <protectedRange sqref="AJ286:AK286" name="maria_89" securityDescriptor="O:WDG:WDD:(A;;CC;;;S-1-5-21-3048853270-2157241324-869001692-3245)(A;;CC;;;S-1-5-21-3048853270-2157241324-869001692-1007)"/>
    <protectedRange sqref="AJ288:AK288" name="maria_91" securityDescriptor="O:WDG:WDD:(A;;CC;;;S-1-5-21-3048853270-2157241324-869001692-3245)(A;;CC;;;S-1-5-21-3048853270-2157241324-869001692-1007)"/>
    <protectedRange sqref="AJ289:AK289" name="maria_92" securityDescriptor="O:WDG:WDD:(A;;CC;;;S-1-5-21-3048853270-2157241324-869001692-3245)(A;;CC;;;S-1-5-21-3048853270-2157241324-869001692-1007)"/>
    <protectedRange sqref="AJ290:AK290" name="maria_93" securityDescriptor="O:WDG:WDD:(A;;CC;;;S-1-5-21-3048853270-2157241324-869001692-3245)(A;;CC;;;S-1-5-21-3048853270-2157241324-869001692-1007)"/>
    <protectedRange sqref="AJ291:AK291" name="maria_95" securityDescriptor="O:WDG:WDD:(A;;CC;;;S-1-5-21-3048853270-2157241324-869001692-3245)(A;;CC;;;S-1-5-21-3048853270-2157241324-869001692-1007)"/>
    <protectedRange sqref="AJ292:AK292" name="maria_96" securityDescriptor="O:WDG:WDD:(A;;CC;;;S-1-5-21-3048853270-2157241324-869001692-3245)(A;;CC;;;S-1-5-21-3048853270-2157241324-869001692-1007)"/>
    <protectedRange sqref="AJ296:AK296" name="maria_98" securityDescriptor="O:WDG:WDD:(A;;CC;;;S-1-5-21-3048853270-2157241324-869001692-3245)(A;;CC;;;S-1-5-21-3048853270-2157241324-869001692-1007)"/>
    <protectedRange sqref="AJ297:AK297" name="maria_99" securityDescriptor="O:WDG:WDD:(A;;CC;;;S-1-5-21-3048853270-2157241324-869001692-3245)(A;;CC;;;S-1-5-21-3048853270-2157241324-869001692-1007)"/>
    <protectedRange sqref="AJ311:AK311" name="maria_7_1" securityDescriptor="O:WDG:WDD:(A;;CC;;;S-1-5-21-3048853270-2157241324-869001692-3245)(A;;CC;;;S-1-5-21-3048853270-2157241324-869001692-1007)"/>
    <protectedRange sqref="AJ43:AK43" name="maria_10_3" securityDescriptor="O:WDG:WDD:(A;;CC;;;S-1-5-21-3048853270-2157241324-869001692-3245)(A;;CC;;;S-1-5-21-3048853270-2157241324-869001692-1007)"/>
    <protectedRange sqref="AJ17:AK17 AJ20:AK20" name="maria_4_2" securityDescriptor="O:WDG:WDD:(A;;CC;;;S-1-5-21-3048853270-2157241324-869001692-3245)(A;;CC;;;S-1-5-21-3048853270-2157241324-869001692-1007)"/>
    <protectedRange sqref="AJ53:AK53" name="maria_5_2" securityDescriptor="O:WDG:WDD:(A;;CC;;;S-1-5-21-3048853270-2157241324-869001692-3245)(A;;CC;;;S-1-5-21-3048853270-2157241324-869001692-1007)"/>
    <protectedRange sqref="AJ28:AK28" name="maria_6_1" securityDescriptor="O:WDG:WDD:(A;;CC;;;S-1-5-21-3048853270-2157241324-869001692-3245)(A;;CC;;;S-1-5-21-3048853270-2157241324-869001692-1007)"/>
    <protectedRange sqref="AJ34:AK34" name="maria_26_1" securityDescriptor="O:WDG:WDD:(A;;CC;;;S-1-5-21-3048853270-2157241324-869001692-3245)(A;;CC;;;S-1-5-21-3048853270-2157241324-869001692-1007)"/>
    <protectedRange sqref="AJ37:AK37" name="maria_8_1" securityDescriptor="O:WDG:WDD:(A;;CC;;;S-1-5-21-3048853270-2157241324-869001692-3245)(A;;CC;;;S-1-5-21-3048853270-2157241324-869001692-1007)"/>
    <protectedRange sqref="AJ38:AK38" name="maria_9_2" securityDescriptor="O:WDG:WDD:(A;;CC;;;S-1-5-21-3048853270-2157241324-869001692-3245)(A;;CC;;;S-1-5-21-3048853270-2157241324-869001692-1007)"/>
    <protectedRange sqref="AJ58:AK58" name="maria_11_1" securityDescriptor="O:WDG:WDD:(A;;CC;;;S-1-5-21-3048853270-2157241324-869001692-3245)(A;;CC;;;S-1-5-21-3048853270-2157241324-869001692-1007)"/>
    <protectedRange sqref="AJ59:AK59" name="maria_12_2" securityDescriptor="O:WDG:WDD:(A;;CC;;;S-1-5-21-3048853270-2157241324-869001692-3245)(A;;CC;;;S-1-5-21-3048853270-2157241324-869001692-1007)"/>
    <protectedRange sqref="AJ61:AK61" name="maria_14_1" securityDescriptor="O:WDG:WDD:(A;;CC;;;S-1-5-21-3048853270-2157241324-869001692-3245)(A;;CC;;;S-1-5-21-3048853270-2157241324-869001692-1007)"/>
    <protectedRange sqref="AJ64:AK64" name="maria_15_1" securityDescriptor="O:WDG:WDD:(A;;CC;;;S-1-5-21-3048853270-2157241324-869001692-3245)(A;;CC;;;S-1-5-21-3048853270-2157241324-869001692-1007)"/>
    <protectedRange sqref="AJ69:AK69" name="maria_16_2" securityDescriptor="O:WDG:WDD:(A;;CC;;;S-1-5-21-3048853270-2157241324-869001692-3245)(A;;CC;;;S-1-5-21-3048853270-2157241324-869001692-1007)"/>
    <protectedRange sqref="AJ71:AK71" name="maria_18_1" securityDescriptor="O:WDG:WDD:(A;;CC;;;S-1-5-21-3048853270-2157241324-869001692-3245)(A;;CC;;;S-1-5-21-3048853270-2157241324-869001692-1007)"/>
    <protectedRange sqref="AJ87:AK87" name="maria_19_2" securityDescriptor="O:WDG:WDD:(A;;CC;;;S-1-5-21-3048853270-2157241324-869001692-3245)(A;;CC;;;S-1-5-21-3048853270-2157241324-869001692-1007)"/>
    <protectedRange sqref="AJ96:AK96" name="maria_21_1" securityDescriptor="O:WDG:WDD:(A;;CC;;;S-1-5-21-3048853270-2157241324-869001692-3245)(A;;CC;;;S-1-5-21-3048853270-2157241324-869001692-1007)"/>
    <protectedRange sqref="AJ101:AK101" name="maria_23_1" securityDescriptor="O:WDG:WDD:(A;;CC;;;S-1-5-21-3048853270-2157241324-869001692-3245)(A;;CC;;;S-1-5-21-3048853270-2157241324-869001692-1007)"/>
    <protectedRange sqref="AJ102:AK102" name="maria_23_3" securityDescriptor="O:WDG:WDD:(A;;CC;;;S-1-5-21-3048853270-2157241324-869001692-3245)(A;;CC;;;S-1-5-21-3048853270-2157241324-869001692-1007)"/>
    <protectedRange sqref="AJ107:AK107" name="maria_24_1" securityDescriptor="O:WDG:WDD:(A;;CC;;;S-1-5-21-3048853270-2157241324-869001692-3245)(A;;CC;;;S-1-5-21-3048853270-2157241324-869001692-1007)"/>
    <protectedRange sqref="AJ112:AK112" name="maria_1_28_1" securityDescriptor="O:WDG:WDD:(A;;CC;;;S-1-5-21-3048853270-2157241324-869001692-3245)(A;;CC;;;S-1-5-21-3048853270-2157241324-869001692-1007)"/>
    <protectedRange sqref="AJ119:AK119" name="maria_25_1" securityDescriptor="O:WDG:WDD:(A;;CC;;;S-1-5-21-3048853270-2157241324-869001692-3245)(A;;CC;;;S-1-5-21-3048853270-2157241324-869001692-1007)"/>
    <protectedRange sqref="AK122" name="maria_31_2" securityDescriptor="O:WDG:WDD:(A;;CC;;;S-1-5-21-3048853270-2157241324-869001692-3245)(A;;CC;;;S-1-5-21-3048853270-2157241324-869001692-1007)"/>
    <protectedRange sqref="AJ136:AK136" name="maria_30_1" securityDescriptor="O:WDG:WDD:(A;;CC;;;S-1-5-21-3048853270-2157241324-869001692-3245)(A;;CC;;;S-1-5-21-3048853270-2157241324-869001692-1007)"/>
    <protectedRange sqref="AJ148:AK148" name="maria_28_1" securityDescriptor="O:WDG:WDD:(A;;CC;;;S-1-5-21-3048853270-2157241324-869001692-3245)(A;;CC;;;S-1-5-21-3048853270-2157241324-869001692-1007)"/>
    <protectedRange sqref="AJ149:AK149" name="maria_29_1" securityDescriptor="O:WDG:WDD:(A;;CC;;;S-1-5-21-3048853270-2157241324-869001692-3245)(A;;CC;;;S-1-5-21-3048853270-2157241324-869001692-1007)"/>
    <protectedRange sqref="AJ150:AK150" name="maria_29_2" securityDescriptor="O:WDG:WDD:(A;;CC;;;S-1-5-21-3048853270-2157241324-869001692-3245)(A;;CC;;;S-1-5-21-3048853270-2157241324-869001692-1007)"/>
    <protectedRange sqref="AJ214:AK214" name="maria_35_1" securityDescriptor="O:WDG:WDD:(A;;CC;;;S-1-5-21-3048853270-2157241324-869001692-3245)(A;;CC;;;S-1-5-21-3048853270-2157241324-869001692-1007)"/>
    <protectedRange sqref="AJ215:AK215" name="maria_35_3" securityDescriptor="O:WDG:WDD:(A;;CC;;;S-1-5-21-3048853270-2157241324-869001692-3245)(A;;CC;;;S-1-5-21-3048853270-2157241324-869001692-1007)"/>
    <protectedRange sqref="AJ216:AK216" name="maria_35_4" securityDescriptor="O:WDG:WDD:(A;;CC;;;S-1-5-21-3048853270-2157241324-869001692-3245)(A;;CC;;;S-1-5-21-3048853270-2157241324-869001692-1007)"/>
    <protectedRange sqref="AJ273:AK273" name="maria_35_5" securityDescriptor="O:WDG:WDD:(A;;CC;;;S-1-5-21-3048853270-2157241324-869001692-3245)(A;;CC;;;S-1-5-21-3048853270-2157241324-869001692-1007)"/>
    <protectedRange sqref="AJ122" name="maria_31_3" securityDescriptor="O:WDG:WDD:(A;;CC;;;S-1-5-21-3048853270-2157241324-869001692-3245)(A;;CC;;;S-1-5-21-3048853270-2157241324-869001692-1007)"/>
    <protectedRange sqref="AJ164:AK164" name="maria_33_4" securityDescriptor="O:WDG:WDD:(A;;CC;;;S-1-5-21-3048853270-2157241324-869001692-3245)(A;;CC;;;S-1-5-21-3048853270-2157241324-869001692-1007)"/>
    <protectedRange sqref="AL159:XFD160 F159:F162 Q159:R162" name="maria_56" securityDescriptor="O:WDG:WDD:(A;;CC;;;S-1-5-21-3048853270-2157241324-869001692-3245)(A;;CC;;;S-1-5-21-3048853270-2157241324-869001692-1007)"/>
    <protectedRange sqref="E159:E162" name="maria_5_1" securityDescriptor="O:WDG:WDD:(A;;CC;;;S-1-5-21-3048853270-2157241324-869001692-3245)(A;;CC;;;S-1-5-21-3048853270-2157241324-869001692-1007)"/>
    <protectedRange sqref="AG159:AG160" name="maria_1_1_7_5" securityDescriptor="O:WDG:WDD:(A;;CC;;;S-1-5-21-3048853270-2157241324-869001692-3245)(A;;CC;;;S-1-5-21-3048853270-2157241324-869001692-1007)"/>
    <protectedRange sqref="AE159:AE160" name="maria_17_4" securityDescriptor="O:WDG:WDD:(A;;CC;;;S-1-5-21-3048853270-2157241324-869001692-3245)(A;;CC;;;S-1-5-21-3048853270-2157241324-869001692-1007)"/>
    <protectedRange sqref="S159:AD160" name="maria_33_5" securityDescriptor="O:WDG:WDD:(A;;CC;;;S-1-5-21-3048853270-2157241324-869001692-3245)(A;;CC;;;S-1-5-21-3048853270-2157241324-869001692-1007)"/>
    <protectedRange sqref="M159:M160" name="maria_33_2_1" securityDescriptor="O:WDG:WDD:(A;;CC;;;S-1-5-21-3048853270-2157241324-869001692-3245)(A;;CC;;;S-1-5-21-3048853270-2157241324-869001692-1007)"/>
    <protectedRange sqref="N159:P160" name="maria_48_1" securityDescriptor="O:WDG:WDD:(A;;CC;;;S-1-5-21-3048853270-2157241324-869001692-3245)(A;;CC;;;S-1-5-21-3048853270-2157241324-869001692-1007)"/>
    <protectedRange sqref="AF163 W163:AA163 AC163:AD163 G163:H163 B163:D163 S163:U163 J163:P163 AI163:XFD163" name="maria_59" securityDescriptor="O:WDG:WDD:(A;;CC;;;S-1-5-21-3048853270-2157241324-869001692-3245)(A;;CC;;;S-1-5-21-3048853270-2157241324-869001692-1007)"/>
    <protectedRange sqref="AH163" name="maria_1_1_1_1" securityDescriptor="O:WDG:WDD:(A;;CC;;;S-1-5-21-3048853270-2157241324-869001692-3245)(A;;CC;;;S-1-5-21-3048853270-2157241324-869001692-1007)"/>
    <protectedRange sqref="AG163" name="maria_1_1_7_6" securityDescriptor="O:WDG:WDD:(A;;CC;;;S-1-5-21-3048853270-2157241324-869001692-3245)(A;;CC;;;S-1-5-21-3048853270-2157241324-869001692-1007)"/>
    <protectedRange sqref="AE163" name="maria_17_5" securityDescriptor="O:WDG:WDD:(A;;CC;;;S-1-5-21-3048853270-2157241324-869001692-3245)(A;;CC;;;S-1-5-21-3048853270-2157241324-869001692-1007)"/>
    <protectedRange sqref="AB163" name="maria_26_2" securityDescriptor="O:WDG:WDD:(A;;CC;;;S-1-5-21-3048853270-2157241324-869001692-3245)(A;;CC;;;S-1-5-21-3048853270-2157241324-869001692-1007)"/>
    <protectedRange sqref="V163" name="maria_1_1_22_1" securityDescriptor="O:WDG:WDD:(A;;CC;;;S-1-5-21-3048853270-2157241324-869001692-3245)(A;;CC;;;S-1-5-21-3048853270-2157241324-869001692-1007)"/>
    <protectedRange sqref="F163 Q163:R163" name="maria_56_1" securityDescriptor="O:WDG:WDD:(A;;CC;;;S-1-5-21-3048853270-2157241324-869001692-3245)(A;;CC;;;S-1-5-21-3048853270-2157241324-869001692-1007)"/>
    <protectedRange sqref="E163" name="maria_5_1_1" securityDescriptor="O:WDG:WDD:(A;;CC;;;S-1-5-21-3048853270-2157241324-869001692-3245)(A;;CC;;;S-1-5-21-3048853270-2157241324-869001692-1007)"/>
  </protectedRanges>
  <autoFilter ref="A1:AK351" xr:uid="{77B2D908-5B42-4C34-B449-04571E8711B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sortState ref="A6:AK82">
    <sortCondition descending="1" ref="E7:E38"/>
    <sortCondition ref="C7:C38"/>
  </sortState>
  <customSheetViews>
    <customSheetView guid="{D1B5461B-B040-4BC9-AF67-A8F429825375}" scale="70" fitToPage="1" printArea="1" showAutoFilter="1" topLeftCell="T348">
      <selection activeCell="AG360" sqref="AG360"/>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1:AK351" xr:uid="{77B2D908-5B42-4C34-B449-04571E8711B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pane xSplit="6" ySplit="3" topLeftCell="AB4" activePane="bottomRight" state="frozen"/>
      <selection pane="bottomRight" activeCell="AL4" sqref="AL4"/>
      <pageMargins left="0.70866141732283472" right="0.70866141732283472" top="0.74803149606299213" bottom="0.74803149606299213" header="0.31496062992125984" footer="0.31496062992125984"/>
      <pageSetup paperSize="8" scale="14" fitToHeight="0" orientation="portrait" horizontalDpi="4294967294" verticalDpi="4294967294" r:id="rId2"/>
      <headerFooter>
        <oddHeader>&amp;CLISTA PROIECTELOR CONTRACTATE - PROGRAMUL OPERATIONAl CAPACITATE ADMINISTRATIVĂ</oddHeader>
        <oddFooter>Page &amp;P of &amp;N</oddFooter>
      </headerFooter>
      <autoFilter ref="A6:AL427" xr:uid="{00000000-0000-0000-0000-000000000000}"/>
    </customSheetView>
    <customSheetView guid="{901F9774-8BE7-424D-87C2-1026F3FA2E93}" scale="70" showPageBreaks="1" fitToPage="1" printArea="1" filter="1" showAutoFilter="1" topLeftCell="V1">
      <selection activeCell="AJ441" sqref="AJ441"/>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C1:C434" xr:uid="{00000000-0000-0000-0000-000000000000}">
        <filterColumn colId="0">
          <filters>
            <filter val="2"/>
            <filter val="59"/>
          </filters>
        </filterColumn>
      </autoFilter>
    </customSheetView>
    <customSheetView guid="{5AAA4DFE-88B1-4674-95ED-5FCD7A50BC22}" scale="70" fitToPage="1" showAutoFilter="1">
      <selection activeCell="J4" sqref="J4:J5"/>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39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6624B2D-80F9-4F79-AC4A-B3547C36F23F}" scale="70" showPageBreaks="1" fitToPage="1" printArea="1" showAutoFilter="1" topLeftCell="A93">
      <selection activeCell="A94" sqref="A94"/>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1:AL39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showAutoFilter="1" topLeftCell="A452">
      <pane xSplit="1.8918918918918919" ySplit="2.6589403973509933" topLeftCell="S1" activePane="topRight"/>
      <selection pane="topRight" activeCell="T452" sqref="T452"/>
      <pageMargins left="0.70866141732283472" right="0.70866141732283472" top="0.74803149606299213" bottom="0.74803149606299213" header="0.31496062992125984" footer="0.31496062992125984"/>
      <pageSetup paperSize="8" scale="21" fitToHeight="0" orientation="landscape" r:id="rId6"/>
      <headerFooter>
        <oddHeader>&amp;CLISTA PROIECTELOR CONTRACTATE - PROGRAMUL OPERATIONAl CAPACITATE ADMINISTRATIVĂ</oddHeader>
        <oddFooter>Page &amp;P of &amp;N</oddFooter>
      </headerFooter>
      <autoFilter ref="A1:AL3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C1B4D6D-D666-48DD-AB17-E00791B6F0B6}" scale="70" showPageBreaks="1" fitToPage="1" printArea="1" filter="1" showAutoFilter="1">
      <pane ySplit="339" topLeftCell="A341" activePane="bottomLeft" state="frozen"/>
      <selection pane="bottomLeft" activeCell="G93" sqref="G93"/>
      <pageMargins left="0.70866141732283472" right="0.70866141732283472" top="0.74803149606299213" bottom="0.74803149606299213" header="0.31496062992125984" footer="0.31496062992125984"/>
      <pageSetup paperSize="8" scale="21" fitToHeight="0" orientation="landscape" r:id="rId7"/>
      <headerFooter>
        <oddHeader>&amp;CLISTA PROIECTELOR CONTRACTATE - PROGRAMUL OPERATIONAl CAPACITATE ADMINISTRATIVĂ</oddHeader>
        <oddFooter>Page &amp;P of &amp;N</oddFooter>
      </headerFooter>
      <autoFilter ref="A6:DG541" xr:uid="{00000000-0000-0000-0000-000000000000}">
        <filterColumn colId="2">
          <filters>
            <filter val="392"/>
            <filter val="492"/>
            <filter val="92"/>
          </filters>
        </filterColumn>
      </autoFilter>
    </customSheetView>
    <customSheetView guid="{0781B6C2-B440-4971-9809-BD16245A70FD}" scale="85" showPageBreaks="1" fitToPage="1" printArea="1" showAutoFilter="1" topLeftCell="L404">
      <selection activeCell="O406" sqref="O406"/>
      <pageMargins left="0.70866141732283472" right="0.70866141732283472" top="0.74803149606299213" bottom="0.74803149606299213" header="0.31496062992125984" footer="0.31496062992125984"/>
      <pageSetup paperSize="8" scale="21" fitToHeight="0" orientation="landscape" horizontalDpi="4294967294" verticalDpi="4294967294" r:id="rId8"/>
      <headerFooter>
        <oddHeader>&amp;CLISTA PROIECTELOR CONTRACTATE - PROGRAMUL OPERATIONAl CAPACITATE ADMINISTRATIVĂ</oddHeader>
        <oddFooter>Page &amp;P of &amp;N</oddFooter>
      </headerFooter>
      <autoFilter ref="A1:AL54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pane ySplit="303" topLeftCell="A305" activePane="bottomLeft" state="frozen"/>
      <selection pane="bottomLeft" activeCell="AI587" sqref="AI587"/>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C1:C580" xr:uid="{00000000-0000-0000-0000-000000000000}"/>
    </customSheetView>
    <customSheetView guid="{FE50EAC0-52A5-4C33-B973-65E93D03D3EA}" scale="73" showPageBreaks="1" fitToPage="1" printArea="1" showAutoFilter="1" topLeftCell="V97">
      <selection activeCell="AH98" sqref="AH98:AH99"/>
      <pageMargins left="0.70866141732283472" right="0.70866141732283472" top="0.74803149606299213" bottom="0.74803149606299213" header="0.31496062992125984" footer="0.31496062992125984"/>
      <pageSetup paperSize="8" scale="21" fitToHeight="0" orientation="landscape" horizontalDpi="4294967294" verticalDpi="4294967294" r:id="rId10"/>
      <headerFooter>
        <oddHeader>&amp;CLISTA PROIECTELOR CONTRACTATE - PROGRAMUL OPERATIONAl CAPACITATE ADMINISTRATIVĂ</oddHeader>
        <oddFooter>Page &amp;P of &amp;N</oddFooter>
      </headerFooter>
      <autoFilter ref="A1:AL540"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filter="1" showAutoFilter="1">
      <pane xSplit="9" ySplit="540" topLeftCell="J554" activePane="bottomRight" state="frozen"/>
      <selection pane="bottomRight" activeCell="E80" sqref="E80"/>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541" xr:uid="{00000000-0000-0000-0000-000000000000}">
        <filterColumn colId="2">
          <filters>
            <filter val="103"/>
            <filter val="11"/>
            <filter val="114"/>
            <filter val="115"/>
            <filter val="19"/>
            <filter val="21"/>
            <filter val="28"/>
            <filter val="312"/>
            <filter val="313"/>
            <filter val="323"/>
            <filter val="324"/>
            <filter val="370"/>
            <filter val="374"/>
            <filter val="377"/>
            <filter val="387"/>
            <filter val="392"/>
            <filter val="449"/>
            <filter val="451"/>
            <filter val="480"/>
            <filter val="486"/>
            <filter val="489"/>
            <filter val="56"/>
            <filter val="57"/>
            <filter val="60"/>
            <filter val="8"/>
            <filter val="80"/>
            <filter val="88"/>
            <filter val="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70" showPageBreaks="1" fitToPage="1" printArea="1" showAutoFilter="1" topLeftCell="A4">
      <pane ySplit="3" topLeftCell="A192" activePane="bottomLeft" state="frozen"/>
      <selection pane="bottomLeft" activeCell="J193" sqref="J193"/>
      <pageMargins left="0.70866141732283472" right="0.70866141732283472" top="0.74803149606299213" bottom="0.74803149606299213" header="0.31496062992125984" footer="0.31496062992125984"/>
      <pageSetup paperSize="8" scale="21" fitToHeight="0" orientation="landscape" r:id="rId12"/>
      <headerFooter>
        <oddHeader>&amp;CLISTA PROIECTELOR CONTRACTATE - PROGRAMUL OPERATIONAl CAPACITATE ADMINISTRATIVĂ</oddHeader>
        <oddFooter>Page &amp;P of &amp;N</oddFooter>
      </headerFooter>
      <autoFilter ref="A6:AL568" xr:uid="{00000000-0000-0000-0000-000000000000}"/>
    </customSheetView>
    <customSheetView guid="{A5B1481C-EF26-486A-984F-85CDDC2FD94F}" scale="70" showPageBreaks="1" fitToPage="1" printArea="1" showAutoFilter="1" topLeftCell="U1">
      <pane ySplit="5" topLeftCell="A120" activePane="bottomLeft" state="frozen"/>
      <selection pane="bottomLeft" activeCell="AL121" sqref="AL121"/>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6:DG537" xr:uid="{00000000-0000-0000-0000-000000000000}"/>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4"/>
      <headerFooter>
        <oddHeader>&amp;CLISTA PROIECTELOR CONTRACTATE - PROGRAMUL OPERATIONAl CAPACITATE ADMINISTRATIVĂ</oddHeader>
        <oddFooter>Page &amp;P of &amp;N</oddFooter>
      </headerFooter>
    </customSheetView>
    <customSheetView guid="{EB0F2E6A-FA33-479E-9A47-8E3494FBB4DE}" scale="70" fitToPage="1" showAutoFilter="1" topLeftCell="N298">
      <selection activeCell="S316" sqref="S316"/>
      <pageMargins left="0.70866141732283472" right="0.70866141732283472" top="0.74803149606299213" bottom="0.74803149606299213" header="0.31496062992125984" footer="0.31496062992125984"/>
      <pageSetup paperSize="8" scale="21" fitToHeight="0" orientation="landscape" horizontalDpi="4294967294" verticalDpi="4294967294" r:id="rId15"/>
      <headerFooter>
        <oddHeader>&amp;CLISTA PROIECTELOR CONTRACTATE - PROGRAMUL OPERATIONAl CAPACITATE ADMINISTRATIVĂ</oddHeader>
        <oddFooter>Page &amp;P of &amp;N</oddFooter>
      </headerFooter>
      <autoFilter ref="A6:AL323" xr:uid="{00000000-0000-0000-0000-000000000000}"/>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00000000-0000-0000-0000-000000000000}"/>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7"/>
      <headerFooter>
        <oddHeader>&amp;CLISTA PROIECTELOR CONTRACTATE - PROGRAMUL OPERATIONAl CAPACITATE ADMINISTRATIVĂ</oddHeader>
        <oddFooter>Page &amp;P of &amp;N</oddFooter>
      </headerFooter>
      <autoFilter ref="A4:AH68" xr:uid="{00000000-0000-0000-0000-00000000000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8"/>
      <headerFooter>
        <oddHeader>&amp;CLISTA PROIECTELOR CONTRACTATE - PROGRAMUL OPERATIONAl CAPACITATE ADMINISTRATIVĂ</oddHeader>
        <oddFooter>Page &amp;P of &amp;N</oddFooter>
      </headerFooter>
      <autoFilter ref="A6:AL349" xr:uid="{00000000-0000-0000-0000-000000000000}"/>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AK404"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20"/>
      <headerFooter>
        <oddHeader>&amp;CLISTA PROIECTELOR CONTRACTATE - PROGRAMUL OPERATIONAl CAPACITATE ADMINISTRATIVĂ</oddHeader>
        <oddFooter>Page &amp;P of &amp;N</oddFooter>
      </headerFooter>
      <autoFilter ref="A1:DG422"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EA37434-2D22-478B-B49F-C3E8CD4AC2E1}" scale="60" showPageBreaks="1" fitToPage="1" printArea="1" showAutoFilter="1">
      <pane xSplit="9" ySplit="8" topLeftCell="AB186" activePane="bottomRight" state="frozen"/>
      <selection pane="bottomRight" activeCell="AI187" sqref="AI187"/>
      <pageMargins left="0.70866141732283472" right="0.70866141732283472" top="0.74803149606299213" bottom="0.74803149606299213" header="0.31496062992125984" footer="0.31496062992125984"/>
      <pageSetup paperSize="8" scale="22" fitToHeight="0" orientation="landscape" r:id="rId21"/>
      <headerFooter>
        <oddHeader>&amp;CLISTA PROIECTELOR CONTRACTATE - PROGRAMUL OPERATIONAl CAPACITATE ADMINISTRATIVĂ</oddHeader>
        <oddFooter>Page &amp;P of &amp;N</oddFooter>
      </headerFooter>
      <autoFilter ref="A6:DG427" xr:uid="{00000000-0000-0000-0000-000000000000}"/>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22"/>
      <headerFooter>
        <oddHeader>&amp;CLISTA PROIECTELOR CONTRACTATE - PROGRAMUL OPERATIONAl CAPACITATE ADMINISTRATIVĂ</oddHeader>
        <oddFooter>Page &amp;P of &amp;N</oddFooter>
      </headerFooter>
      <autoFilter ref="A1:DG494" xr:uid="{00000000-0000-0000-0000-000000000000}">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showAutoFilter="1" topLeftCell="A511">
      <selection activeCell="J520" sqref="J520"/>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557" xr:uid="{00000000-0000-0000-0000-000000000000}"/>
    </customSheetView>
    <customSheetView guid="{65C35D6D-934F-4431-BA92-90255FC17BA4}" scale="70" showPageBreaks="1" fitToPage="1" printArea="1" showAutoFilter="1" topLeftCell="A281">
      <selection activeCell="J294" sqref="J294"/>
      <pageMargins left="0.70866141732283472" right="0.70866141732283472" top="0.74803149606299213" bottom="0.74803149606299213" header="0.31496062992125984" footer="0.31496062992125984"/>
      <pageSetup paperSize="8" scale="21" fitToHeight="0" orientation="landscape" horizontalDpi="4294967294" verticalDpi="4294967294" r:id="rId24"/>
      <headerFooter>
        <oddHeader>&amp;CLISTA PROIECTELOR CONTRACTATE - PROGRAMUL OPERATIONAl CAPACITATE ADMINISTRATIVĂ</oddHeader>
        <oddFooter>Page &amp;P of &amp;N</oddFooter>
      </headerFooter>
      <autoFilter ref="A1:AL538"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pane ySplit="3" topLeftCell="A22" activePane="bottomLeft"/>
      <selection pane="bottomLeft" activeCell="G28" sqref="G2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1:AL541"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106" showPageBreaks="1" fitToPage="1" printArea="1" showAutoFilter="1">
      <selection sqref="A1:A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399" xr:uid="{00000000-0000-0000-0000-00000000000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s>
  <mergeCells count="55">
    <mergeCell ref="AJ1:AK1"/>
    <mergeCell ref="AJ2:AJ3"/>
    <mergeCell ref="AK2:AK3"/>
    <mergeCell ref="AB2:AB3"/>
    <mergeCell ref="AG1:AG3"/>
    <mergeCell ref="AH1:AH3"/>
    <mergeCell ref="AI1:AI3"/>
    <mergeCell ref="AF2:AF3"/>
    <mergeCell ref="AE1:AE3"/>
    <mergeCell ref="M1:M3"/>
    <mergeCell ref="I1:I3"/>
    <mergeCell ref="B1:B3"/>
    <mergeCell ref="Y2:Y3"/>
    <mergeCell ref="P1:P3"/>
    <mergeCell ref="Q1:Q3"/>
    <mergeCell ref="R1:R3"/>
    <mergeCell ref="S1:AB1"/>
    <mergeCell ref="S2:X2"/>
    <mergeCell ref="M4:M5"/>
    <mergeCell ref="N4:N5"/>
    <mergeCell ref="O4:O5"/>
    <mergeCell ref="P4:P5"/>
    <mergeCell ref="A1:A3"/>
    <mergeCell ref="G1:G3"/>
    <mergeCell ref="H1:H3"/>
    <mergeCell ref="N1:N3"/>
    <mergeCell ref="O1:O3"/>
    <mergeCell ref="C1:C3"/>
    <mergeCell ref="D1:D3"/>
    <mergeCell ref="F1:F3"/>
    <mergeCell ref="E1:E3"/>
    <mergeCell ref="J1:J3"/>
    <mergeCell ref="K1:K3"/>
    <mergeCell ref="L1:L3"/>
    <mergeCell ref="G4:G5"/>
    <mergeCell ref="H4:H5"/>
    <mergeCell ref="I4:I5"/>
    <mergeCell ref="J4:J5"/>
    <mergeCell ref="L4:L5"/>
    <mergeCell ref="A4:A5"/>
    <mergeCell ref="C4:C5"/>
    <mergeCell ref="D4:D5"/>
    <mergeCell ref="E4:E5"/>
    <mergeCell ref="F4:F5"/>
    <mergeCell ref="B4:B5"/>
    <mergeCell ref="AH4:AH5"/>
    <mergeCell ref="AI4:AI5"/>
    <mergeCell ref="AJ4:AJ5"/>
    <mergeCell ref="AK4:AK5"/>
    <mergeCell ref="Q4:Q5"/>
    <mergeCell ref="R4:R5"/>
    <mergeCell ref="AE4:AE5"/>
    <mergeCell ref="AF4:AF5"/>
    <mergeCell ref="AG4:AG5"/>
    <mergeCell ref="S4:AB4"/>
  </mergeCells>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mircea.pavel</cp:lastModifiedBy>
  <dcterms:created xsi:type="dcterms:W3CDTF">2019-05-03T10:06:35Z</dcterms:created>
  <dcterms:modified xsi:type="dcterms:W3CDTF">2019-05-09T09:05:50Z</dcterms:modified>
</cp:coreProperties>
</file>