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Users\viorel.zlotariu\Documents\"/>
    </mc:Choice>
  </mc:AlternateContent>
  <xr:revisionPtr revIDLastSave="0" documentId="13_ncr:1_{C87EA35A-4FFB-4FBA-BD25-306F32128206}" xr6:coauthVersionLast="43" xr6:coauthVersionMax="43"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Sheet1!$A$1:$AK$435</definedName>
    <definedName name="_Hlk1048507" localSheetId="0">Sheet1!$I$407</definedName>
    <definedName name="_Hlk511228962">Sheet1!#REF!</definedName>
    <definedName name="_Hlk511229340">Sheet1!#REF!</definedName>
    <definedName name="_Hlk516490095" localSheetId="0">Sheet1!$I$370</definedName>
    <definedName name="_Hlk526934001" localSheetId="0">Sheet1!$G$104</definedName>
    <definedName name="_xlnm.Print_Area" localSheetId="0">Sheet1!$A$1:$AK$435</definedName>
    <definedName name="Z_0585DD1B_89D4_4278_953B_FA6D57DCCE82_.wvu.FilterData" localSheetId="0" hidden="1">Sheet1!$A$6:$AK$435</definedName>
    <definedName name="Z_0781B6C2_B440_4971_9809_BD16245A70FD_.wvu.FilterData" localSheetId="0" hidden="1">Sheet1!$A$1:$AL$36</definedName>
    <definedName name="Z_0781B6C2_B440_4971_9809_BD16245A70FD_.wvu.PrintArea" localSheetId="0" hidden="1">Sheet1!$A$1:$AK$435</definedName>
    <definedName name="Z_0A043D96_6DF8_4E40_9D1E_818A39BAFD81_.wvu.FilterData" localSheetId="0" hidden="1">Sheet1!$A$6:$AK$435</definedName>
    <definedName name="Z_0D4E932E_8E85_4001_9304_AAB4DBAD8A65_.wvu.FilterData" localSheetId="0" hidden="1">Sheet1!$A$6:$DF$386</definedName>
    <definedName name="Z_122B486E_8EE5_41FD_B958_74B116FA5D23_.wvu.FilterData" localSheetId="0" hidden="1">Sheet1!$A$1:$DF$386</definedName>
    <definedName name="Z_1278E668_633E_4AB5_BA11_904BA4B2301D_.wvu.FilterData" localSheetId="0" hidden="1">Sheet1!$A$1:$DF$386</definedName>
    <definedName name="Z_13FEC0EB_A6AC_4EB9_BE0B_BA91B5951E65_.wvu.FilterData" localSheetId="0" hidden="1">Sheet1!$A$6:$DF$435</definedName>
    <definedName name="Z_15F03B40_FCDD_463A_AE42_63F6121ACBED_.wvu.FilterData" localSheetId="0" hidden="1">Sheet1!$C$1:$C$435</definedName>
    <definedName name="Z_17F4A6A1_469E_46FB_A3A0_041FC3712E3B_.wvu.FilterData" localSheetId="0" hidden="1">Sheet1!$A$6:$AK$435</definedName>
    <definedName name="Z_19FC3531_0DA5_4817_A3AD_017115B33D3C_.wvu.FilterData" localSheetId="0" hidden="1">Sheet1!#REF!</definedName>
    <definedName name="Z_1AA32817_7AF7_4644_968C_56F1D5DDD6B5_.wvu.FilterData" localSheetId="0" hidden="1">Sheet1!$A$1:$DF$435</definedName>
    <definedName name="Z_22D79F88_81A2_49FE_923A_13405540BBB2_.wvu.FilterData" localSheetId="0" hidden="1">Sheet1!$A$6:$DF$386</definedName>
    <definedName name="Z_2355B1FA_E7E3_44CD_A529_24812589AA28_.wvu.FilterData" localSheetId="0" hidden="1">Sheet1!$A$6:$AK$435</definedName>
    <definedName name="Z_250231BB_5F02_4B46_B1CA_B904A9B40BA2_.wvu.FilterData" localSheetId="0" hidden="1">Sheet1!$A$3:$AK$435</definedName>
    <definedName name="Z_25084D9D_9C92_4823_A653_D1AEC60737AD_.wvu.FilterData" localSheetId="0" hidden="1">Sheet1!$A$6:$DF$386</definedName>
    <definedName name="Z_2547C3D7_22F7_4CAF_8E48_C8F3425DB942_.wvu.FilterData" localSheetId="0" hidden="1">Sheet1!$A$6:$AK$435</definedName>
    <definedName name="Z_280C391A_EEDA_43A4_BCD2_EE017A1C1AE2_.wvu.FilterData" localSheetId="0" hidden="1">Sheet1!$A$6:$DF$435</definedName>
    <definedName name="Z_297CB86E_F816_4839_BE0B_A075145D0E50_.wvu.FilterData" localSheetId="0" hidden="1">Sheet1!$A$1:$DF$386</definedName>
    <definedName name="Z_2A26C971_CCE6_49C7_89EC_0B2699E5DD98_.wvu.FilterData" localSheetId="0" hidden="1">Sheet1!$A$6:$AK$435</definedName>
    <definedName name="Z_2A657C48_B241_4C19_9A74_98ECFC665F2A_.wvu.FilterData" localSheetId="0" hidden="1">Sheet1!$A$7:$DF$435</definedName>
    <definedName name="Z_2C296388_EDB5_4F1F_B0F4_90EC07CCD947_.wvu.FilterData" localSheetId="0" hidden="1">Sheet1!$A$1:$DF$435</definedName>
    <definedName name="Z_2C296388_EDB5_4F1F_B0F4_90EC07CCD947_.wvu.PrintArea" localSheetId="0" hidden="1">Sheet1!$A$1:$AK$435</definedName>
    <definedName name="Z_2E491347_3C24_4F24_80DE_5DC574AA2438_.wvu.FilterData" localSheetId="0" hidden="1">Sheet1!$A$6:$AK$435</definedName>
    <definedName name="Z_305BEEB9_C99E_4E52_A4AB_56EA1595A366_.wvu.FilterData" localSheetId="0" hidden="1">Sheet1!$A$6:$AK$435</definedName>
    <definedName name="Z_31567BC0_5366_4F93_AE32_123F006BC234_.wvu.FilterData" localSheetId="0" hidden="1">Sheet1!$A$6:$DF$435</definedName>
    <definedName name="Z_324E461A_DC75_4814_87BA_41F170D0ED0B_.wvu.FilterData" localSheetId="0" hidden="1">Sheet1!$A$6:$AK$435</definedName>
    <definedName name="Z_33E976A7_3353_44E9_8131_0E68AAF18A21_.wvu.FilterData" localSheetId="0" hidden="1">Sheet1!$A$1:$AK$435</definedName>
    <definedName name="Z_340EDCDE_FAE5_4319_AEAD_F8264DCA5D27_.wvu.FilterData" localSheetId="0" hidden="1">Sheet1!$A$7:$DF$435</definedName>
    <definedName name="Z_34BB42D3_88F0_437E_91ED_3E3C369B9525_.wvu.FilterData" localSheetId="0" hidden="1">Sheet1!$A$6:$AK$435</definedName>
    <definedName name="Z_3656F679_79F6_439C_98F9_E05AFC52CE40_.wvu.FilterData" localSheetId="0" hidden="1">Sheet1!$A$6:$DF$435</definedName>
    <definedName name="Z_36624B2D_80F9_4F79_AC4A_B3547C36F23F_.wvu.FilterData" localSheetId="0" hidden="1">Sheet1!$A$6:$DF$435</definedName>
    <definedName name="Z_36624B2D_80F9_4F79_AC4A_B3547C36F23F_.wvu.PrintArea" localSheetId="0" hidden="1">Sheet1!$A$1:$AK$435</definedName>
    <definedName name="Z_377DA8E3_6D61_4CAB_8EDD_2C41FF81A19E_.wvu.FilterData" localSheetId="0" hidden="1">Sheet1!$A$6:$AK$435</definedName>
    <definedName name="Z_38C68E87_361F_434A_8BE4_BA2AF4CB3868_.wvu.FilterData" localSheetId="0" hidden="1">Sheet1!$A$6:$AK$435</definedName>
    <definedName name="Z_3A00607E_664E_4ED3_AB65_1F25AC8DBC86_.wvu.FilterData" localSheetId="0" hidden="1">Sheet1!$C$1:$C$435</definedName>
    <definedName name="Z_3A3E83F9_303A_4CDE_BDDB_A2D752554829_.wvu.FilterData" localSheetId="0" hidden="1">Sheet1!$A$6:$AK$435</definedName>
    <definedName name="Z_3A5F5F2B_AEA1_437C_9251_4F0D15756423_.wvu.FilterData" localSheetId="0" hidden="1">Sheet1!$A$1:$AK$435</definedName>
    <definedName name="Z_3AFE79CE_CE75_447D_8C73_1AE63A224CBA_.wvu.FilterData" localSheetId="0" hidden="1">Sheet1!$A$6:$AK$435</definedName>
    <definedName name="Z_3AFE79CE_CE75_447D_8C73_1AE63A224CBA_.wvu.PrintArea" localSheetId="0" hidden="1">Sheet1!$A$1:$AK$435</definedName>
    <definedName name="Z_3E15816F_2EBF_42BD_89BB_84C7827E4C28_.wvu.FilterData" localSheetId="0" hidden="1">Sheet1!$A$6:$AK$435</definedName>
    <definedName name="Z_3E7AD119_0031_4735_857B_FBC0C47AB231_.wvu.FilterData" localSheetId="0" hidden="1">Sheet1!$A$6:$AK$435</definedName>
    <definedName name="Z_3F70E84F_60E2_4042_91AA_EFB3B23DDDDF_.wvu.FilterData" localSheetId="0" hidden="1">Sheet1!$A$1:$DF$386</definedName>
    <definedName name="Z_406022D5_A780_4A99_8362_68428BA49313_.wvu.FilterData" localSheetId="0" hidden="1">Sheet1!$A$1:$AK$78</definedName>
    <definedName name="Z_4179C3D9_D1C3_46CD_B643_627525757C5E_.wvu.FilterData" localSheetId="0" hidden="1">Sheet1!$A$1:$AK$297</definedName>
    <definedName name="Z_417D6CD8_690F_495B_A03E_2A89D52B6CE8_.wvu.FilterData" localSheetId="0" hidden="1">Sheet1!$A$6:$AK$435</definedName>
    <definedName name="Z_41AA4E5D_9625_4478_B720_2BD6AE34E699_.wvu.FilterData" localSheetId="0" hidden="1">Sheet1!$A$6:$AK$435</definedName>
    <definedName name="Z_471339A8_E0FA_4CA1_8194_04936068CF02_.wvu.FilterData" localSheetId="0" hidden="1">Sheet1!$A$1:$AK$435</definedName>
    <definedName name="Z_497C7126_2491_461C_AFC3_03C2E163F15C_.wvu.FilterData" localSheetId="0" hidden="1">Sheet1!$A$6:$DF$386</definedName>
    <definedName name="Z_4AAB8139_F2B6_43E5_8C9F_E607BD4F44E4_.wvu.FilterData" localSheetId="0" hidden="1">Sheet1!$A$1:$AK$386</definedName>
    <definedName name="Z_4B676F92_6D7B_43D7_8EB6_33FF3E7F6B6A_.wvu.FilterData" localSheetId="0" hidden="1">Sheet1!$A$6:$AK$435</definedName>
    <definedName name="Z_4B7976D2_7781_4E51_BDF6_6AB2114A11DF_.wvu.FilterData" localSheetId="0" hidden="1">Sheet1!$A$6:$DF$435</definedName>
    <definedName name="Z_4BA8C48D_4728_4875_A249_068862BEA31A_.wvu.FilterData" localSheetId="0" hidden="1">Sheet1!$A$1:$DF$435</definedName>
    <definedName name="Z_4C2A0B30_0070_415E_A110_A9BCC2779710_.wvu.FilterData" localSheetId="0" hidden="1">Sheet1!$C$1:$C$435</definedName>
    <definedName name="Z_4FDB167B_D56E_45D4_B120_847D0871AA6B_.wvu.FilterData" localSheetId="0" hidden="1">Sheet1!$A$6:$AK$435</definedName>
    <definedName name="Z_50FD82E6_2F75_4C53_A6D0_12482428C160_.wvu.FilterData" localSheetId="0" hidden="1">Sheet1!$A$1:$AK$435</definedName>
    <definedName name="Z_529F67B3_DE0D_4FDC_BFEA_8F16107265EB_.wvu.FilterData" localSheetId="0" hidden="1">Sheet1!$A$6:$AK$435</definedName>
    <definedName name="Z_53ED3D47_B2C0_43A1_9A1E_F030D529F74C_.wvu.FilterData" localSheetId="0" hidden="1">Sheet1!$A$6:$AK$435</definedName>
    <definedName name="Z_53ED3D47_B2C0_43A1_9A1E_F030D529F74C_.wvu.PrintArea" localSheetId="0" hidden="1">Sheet1!$A$1:$AK$435</definedName>
    <definedName name="Z_5789AB6A_B04B_4240_920E_89274E9F5C82_.wvu.FilterData" localSheetId="0" hidden="1">Sheet1!$A$6:$DF$301</definedName>
    <definedName name="Z_59EBF1CB_AF85_469A_B1D0_E57CB0203158_.wvu.FilterData" localSheetId="0" hidden="1">Sheet1!$C$1:$C$435</definedName>
    <definedName name="Z_5A66C3D0_FC57_4AA7_B0C6_C5E9A7DE2A79_.wvu.FilterData" localSheetId="0" hidden="1">Sheet1!$A$6:$AK$435</definedName>
    <definedName name="Z_5AAA4DFE_88B1_4674_95ED_5FCD7A50BC22_.wvu.FilterData" localSheetId="0" hidden="1">Sheet1!$A$1:$AK$435</definedName>
    <definedName name="Z_5AAA4DFE_88B1_4674_95ED_5FCD7A50BC22_.wvu.PrintArea" localSheetId="0" hidden="1">Sheet1!$A$1:$AK$435</definedName>
    <definedName name="Z_5E661ABE_E06E_455E_A661_DDD1907219D0_.wvu.FilterData" localSheetId="0" hidden="1">Sheet1!$A$1:$AK$386</definedName>
    <definedName name="Z_6408B19F_539D_4190_A77D_CCE77E163803_.wvu.FilterData" localSheetId="0" hidden="1">Sheet1!$A$1:$DF$386</definedName>
    <definedName name="Z_65B035E3_87FA_46C5_996E_864F2C8D0EBC_.wvu.Cols" localSheetId="0" hidden="1">Sheet1!$H:$N</definedName>
    <definedName name="Z_65B035E3_87FA_46C5_996E_864F2C8D0EBC_.wvu.FilterData" localSheetId="0" hidden="1">Sheet1!$A$6:$DF$435</definedName>
    <definedName name="Z_65B035E3_87FA_46C5_996E_864F2C8D0EBC_.wvu.PrintArea" localSheetId="0" hidden="1">Sheet1!$A$1:$AK$435</definedName>
    <definedName name="Z_65C35D6D_934F_4431_BA92_90255FC17BA4_.wvu.FilterData" localSheetId="0" hidden="1">Sheet1!$A$1:$AK$435</definedName>
    <definedName name="Z_65C35D6D_934F_4431_BA92_90255FC17BA4_.wvu.PrintArea" localSheetId="0" hidden="1">Sheet1!$A$1:$AK$435</definedName>
    <definedName name="Z_6A81BAE2_3ABE_4D5F_A832_52D0E2F517F4_.wvu.FilterData" localSheetId="0" hidden="1">Sheet1!$A$1:$AK$435</definedName>
    <definedName name="Z_6ABCD3C6_C29E_4027_B252_6CC3A2739142_.wvu.FilterData" localSheetId="0" hidden="1">Sheet1!$A$6:$AK$435</definedName>
    <definedName name="Z_6B2EC822_DCDB_4711_A946_1038FC40FACE_.wvu.FilterData" localSheetId="0" hidden="1">Sheet1!$A$1:$DF$386</definedName>
    <definedName name="Z_6C96816B_17C2_4EA9_846E_8E6B5AD26B6D_.wvu.FilterData" localSheetId="0" hidden="1">Sheet1!#REF!</definedName>
    <definedName name="Z_6CE52079_5576_45A5_9A9F_9CA970D849EF_.wvu.FilterData" localSheetId="0" hidden="1">Sheet1!$A$6:$AK$435</definedName>
    <definedName name="Z_7110BCB5_C242_4006_B056_E3ADAD3578E7_.wvu.FilterData" localSheetId="0" hidden="1">Sheet1!$A$6:$DF$435</definedName>
    <definedName name="Z_747340EB_2B31_46D2_ACDE_4FA91E2B50F6_.wvu.FilterData" localSheetId="0" hidden="1">Sheet1!$A$1:$DF$435</definedName>
    <definedName name="Z_747340EB_2B31_46D2_ACDE_4FA91E2B50F6_.wvu.PrintArea" localSheetId="0" hidden="1">Sheet1!$A$1:$AK$435</definedName>
    <definedName name="Z_75FC0278_6C09_4E89_A68B_B06C003CBF69_.wvu.FilterData" localSheetId="0" hidden="1">Sheet1!$A$1:$AK$435</definedName>
    <definedName name="Z_7A12EF56_0E17_493A_8E1E_6DFC6553C116_.wvu.FilterData" localSheetId="0" hidden="1">Sheet1!$A$6:$DF$386</definedName>
    <definedName name="Z_7C1B4D6D_D666_48DD_AB17_E00791B6F0B6_.wvu.Cols" localSheetId="0" hidden="1">Sheet1!$G:$R</definedName>
    <definedName name="Z_7C1B4D6D_D666_48DD_AB17_E00791B6F0B6_.wvu.FilterData" localSheetId="0" hidden="1">Sheet1!$A$6:$DF$435</definedName>
    <definedName name="Z_7C1B4D6D_D666_48DD_AB17_E00791B6F0B6_.wvu.PrintArea" localSheetId="0" hidden="1">Sheet1!$A$1:$AK$435</definedName>
    <definedName name="Z_7C389A6C_C379_45EF_8779_FEC15F27C7E7_.wvu.FilterData" localSheetId="0" hidden="1">Sheet1!$C$1:$C$435</definedName>
    <definedName name="Z_7C3B80B0_9566_4DDC_9DF7_3BBB2DE77950_.wvu.FilterData" localSheetId="0" hidden="1">Sheet1!$A$1:$AK$435</definedName>
    <definedName name="Z_7D2F4374_D571_49E4_B659_129D2AFDC43C_.wvu.FilterData" localSheetId="0" hidden="1">Sheet1!$A$6:$AK$435</definedName>
    <definedName name="Z_83085181_C77C_4D05_8C8A_9B8FFC5A1DD7_.wvu.FilterData" localSheetId="0" hidden="1">Sheet1!$A$6:$AK$435</definedName>
    <definedName name="Z_831F7439_6937_483F_B601_184FEF5CECFD_.wvu.FilterData" localSheetId="0" hidden="1">Sheet1!$A$6:$AK$435</definedName>
    <definedName name="Z_84FB199A_D56E_4FDD_AC4A_70CE86CD87BC_.wvu.FilterData" localSheetId="0" hidden="1">Sheet1!$A$1:$AK$435</definedName>
    <definedName name="Z_84FB199A_D56E_4FDD_AC4A_70CE86CD87BC_.wvu.PrintArea" localSheetId="0" hidden="1">Sheet1!$A$1:$AK$435</definedName>
    <definedName name="Z_87F9ACD0_3200_450C_B310_DAAD5FC85307_.wvu.FilterData" localSheetId="0" hidden="1">Sheet1!$A$6:$AK$435</definedName>
    <definedName name="Z_89EE8E7D_C811_4C16_975A_830983580DAD_.wvu.FilterData" localSheetId="0" hidden="1">Sheet1!$A$6:$DF$435</definedName>
    <definedName name="Z_89F20599_320E_4C2A_9159_8E9F2F24F61C_.wvu.FilterData" localSheetId="0" hidden="1">Sheet1!$A$6:$AK$435</definedName>
    <definedName name="Z_8A10B14C_0158_4D10_BD20_3EA3BE79AE5C_.wvu.FilterData" localSheetId="0" hidden="1">Sheet1!$A$1:$AK$435</definedName>
    <definedName name="Z_8AA945B4_D724_4D85_9940_66A1F18CFF54_.wvu.FilterData" localSheetId="0" hidden="1">Sheet1!$A$1:$AK$435</definedName>
    <definedName name="Z_8EDB8BF9_8BBB_4EEE_B4F0_C5928D0746DD_.wvu.FilterData" localSheetId="0" hidden="1">Sheet1!$A$1:$DF$435</definedName>
    <definedName name="Z_901F9774_8BE7_424D_87C2_1026F3FA2E93_.wvu.FilterData" localSheetId="0" hidden="1">Sheet1!$C$1:$C$435</definedName>
    <definedName name="Z_901F9774_8BE7_424D_87C2_1026F3FA2E93_.wvu.PrintArea" localSheetId="0" hidden="1">Sheet1!$A$1:$AK$435</definedName>
    <definedName name="Z_902D3CAF_0577_4A3F_A86A_C01FD8CA4695_.wvu.FilterData" localSheetId="0" hidden="1">Sheet1!$A$6:$AK$435</definedName>
    <definedName name="Z_9048650B_365B_48D5_8FC2_A911C6E66865_.wvu.FilterData" localSheetId="0" hidden="1">Sheet1!$A$1:$AK$435</definedName>
    <definedName name="Z_905D93EA_5662_45AB_8995_A9908B3E5D52_.wvu.FilterData" localSheetId="0" hidden="1">Sheet1!$C$1:$C$435</definedName>
    <definedName name="Z_905D93EA_5662_45AB_8995_A9908B3E5D52_.wvu.PrintArea" localSheetId="0" hidden="1">Sheet1!$A$1:$AK$435</definedName>
    <definedName name="Z_90D527B8_FE15_48EB_8A8E_6DB0EBF25D81_.wvu.FilterData" localSheetId="0" hidden="1">Sheet1!$A$1:$AK$435</definedName>
    <definedName name="Z_91199DA1_59E7_4345_8CB7_A1085C901326_.wvu.FilterData" localSheetId="0" hidden="1">Sheet1!$A$6:$AK$435</definedName>
    <definedName name="Z_91251A9B_6CF6_49E6_857D_BA6C728D7C53_.wvu.FilterData" localSheetId="0" hidden="1">Sheet1!$A$1:$DF$386</definedName>
    <definedName name="Z_923E7374_9C36_4380_9E0A_313EA2F408F0_.wvu.FilterData" localSheetId="0" hidden="1">Sheet1!$A$6:$AK$435</definedName>
    <definedName name="Z_9552AAE6_9279_4387_9199_64D0E8A50A87_.wvu.FilterData" localSheetId="0" hidden="1">Sheet1!$A$6:$DF$435</definedName>
    <definedName name="Z_97F6C5A1_2596_4037_A854_1D6AE8A1071E_.wvu.FilterData" localSheetId="0" hidden="1">Sheet1!$A$6:$AK$435</definedName>
    <definedName name="Z_98856761_4C70_4981_B8AD_C4287D704600_.wvu.FilterData" localSheetId="0" hidden="1">Sheet1!$A$1:$DF$435</definedName>
    <definedName name="Z_9980B309_0131_4577_BF29_212714399FDF_.wvu.FilterData" localSheetId="0" hidden="1">Sheet1!$A$1:$AK$435</definedName>
    <definedName name="Z_9980B309_0131_4577_BF29_212714399FDF_.wvu.PrintArea" localSheetId="0" hidden="1">Sheet1!$A$1:$AK$435</definedName>
    <definedName name="Z_99B0F6B4_A00E_4E43_9763_E6AAA385A3A3_.wvu.FilterData" localSheetId="0" hidden="1">Sheet1!$A$6:$AK$435</definedName>
    <definedName name="Z_9DE067B2_E801_456D_B5D0_CD5646CA5948_.wvu.FilterData" localSheetId="0" hidden="1">Sheet1!$A$1:$DF$386</definedName>
    <definedName name="Z_9EA5E3FA_46F1_4729_828C_4A08518018C1_.wvu.FilterData" localSheetId="0" hidden="1">Sheet1!$A$1:$AK$386</definedName>
    <definedName name="Z_9EA5E3FA_46F1_4729_828C_4A08518018C1_.wvu.PrintArea" localSheetId="0" hidden="1">Sheet1!$A$1:$AK$435</definedName>
    <definedName name="Z_9F268523_731B_48FE_86AA_1A6382332A83_.wvu.FilterData" localSheetId="0" hidden="1">Sheet1!$A$6:$AK$435</definedName>
    <definedName name="Z_A093D1FA_1747_4946_A02E_7D721604BB07_.wvu.FilterData" localSheetId="0" hidden="1">Sheet1!$B$1:$B$435</definedName>
    <definedName name="Z_A3134A53_5204_4FFF_BA84_3528D3179C0C_.wvu.FilterData" localSheetId="0" hidden="1">Sheet1!$A$3:$AK$297</definedName>
    <definedName name="Z_A5B1481C_EF26_486A_984F_85CDDC2FD94F_.wvu.FilterData" localSheetId="0" hidden="1">Sheet1!$A$6:$DF$435</definedName>
    <definedName name="Z_A5B1481C_EF26_486A_984F_85CDDC2FD94F_.wvu.PrintArea" localSheetId="0" hidden="1">Sheet1!$A$1:$AK$435</definedName>
    <definedName name="Z_A5EFE636_E984_4BB3_BEFD_877FE7A4960F_.wvu.FilterData" localSheetId="0" hidden="1">Sheet1!$A$6:$AK$435</definedName>
    <definedName name="Z_A87F3E0E_3A8E_4B82_8170_33752259B7DB_.wvu.FilterData" localSheetId="0" hidden="1">Sheet1!$A$6:$AK$435</definedName>
    <definedName name="Z_A87F3E0E_3A8E_4B82_8170_33752259B7DB_.wvu.PrintArea" localSheetId="0" hidden="1">Sheet1!$A$1:$AK$435</definedName>
    <definedName name="Z_A9B3B58E_F12B_4916_890B_7D88AA745B81_.wvu.FilterData" localSheetId="0" hidden="1">Sheet1!$A$1:$DF$435</definedName>
    <definedName name="Z_A9C8B68B_7CCD_4DC7_92B4_0CF91200625C_.wvu.FilterData" localSheetId="0" hidden="1">Sheet1!$A$1:$AL$36</definedName>
    <definedName name="Z_AD1D8E66_18A9_4CB7_BBE4_02F7E757257F_.wvu.FilterData" localSheetId="0" hidden="1">Sheet1!$A$1:$DF$435</definedName>
    <definedName name="Z_AE58BCBC_9F06_4E6C_A28B_2F5626DD7C1B_.wvu.FilterData" localSheetId="0" hidden="1">Sheet1!$A$6:$AK$435</definedName>
    <definedName name="Z_AE8F3F1B_FDCB_45A5_9CC8_53B4E3A0445E_.wvu.FilterData" localSheetId="0" hidden="1">Sheet1!$A$1:$DF$386</definedName>
    <definedName name="Z_AECBC9F6_D9DE_4043_9C2F_160F7ECDAD3D_.wvu.FilterData" localSheetId="0" hidden="1">Sheet1!$A$6:$AK$435</definedName>
    <definedName name="Z_B31B819C_CFEB_4B80_9AED_AC603C39BE78_.wvu.FilterData" localSheetId="0" hidden="1">Sheet1!$A$6:$DF$435</definedName>
    <definedName name="Z_B407928D_3938_4D05_B2B2_40B4F21D0436_.wvu.FilterData" localSheetId="0" hidden="1">Sheet1!$A$6:$DF$6</definedName>
    <definedName name="Z_B4445EFA_1A45_4C3B_9EA1_0E0790FECD3E_.wvu.FilterData" localSheetId="0" hidden="1">Sheet1!$A$6:$AK$435</definedName>
    <definedName name="Z_B5BED753_4D8C_498E_8AE1_A08F7C0956F7_.wvu.FilterData" localSheetId="0" hidden="1">Sheet1!$A$7:$DF$435</definedName>
    <definedName name="Z_B5E00E2B_FB21_48A9_A2B7_06EAAF1DCD1F_.wvu.FilterData" localSheetId="0" hidden="1">Sheet1!$A$1:$AK$435</definedName>
    <definedName name="Z_BB5C630D_1317_4843_984F_E431986514A4_.wvu.FilterData" localSheetId="0" hidden="1">Sheet1!$A$6:$AK$435</definedName>
    <definedName name="Z_BBF2EF6C_D4AD_46E1_803F_582F4D45F852_.wvu.FilterData" localSheetId="0" hidden="1">Sheet1!$A$1:$DF$435</definedName>
    <definedName name="Z_BDA3804A_96FA_4D9F_AFED_695788A754E9_.wvu.FilterData" localSheetId="0" hidden="1">Sheet1!$A$6:$DF$301</definedName>
    <definedName name="Z_C19D7685_5857_48C6_97CD_2F755D2B2DF3_.wvu.FilterData" localSheetId="0" hidden="1">Sheet1!$A$1:$AK$435</definedName>
    <definedName name="Z_C3502361_AD2C_4705_878B_D12169ED60B1_.wvu.FilterData" localSheetId="0" hidden="1">Sheet1!$A$6:$AK$435</definedName>
    <definedName name="Z_C3502361_AD2C_4705_878B_D12169ED60B1_.wvu.PrintArea" localSheetId="0" hidden="1">Sheet1!$A$1:$AK$435</definedName>
    <definedName name="Z_C408A2F1_296F_4EAD_B15B_336D73846FDD_.wvu.FilterData" localSheetId="0" hidden="1">Sheet1!$A$1:$AK$435</definedName>
    <definedName name="Z_C408A2F1_296F_4EAD_B15B_336D73846FDD_.wvu.PrintArea" localSheetId="0" hidden="1">Sheet1!$A$1:$AK$435</definedName>
    <definedName name="Z_C4E44235_F714_4BCE_B2B0_F4813D3BDF91_.wvu.FilterData" localSheetId="0" hidden="1">Sheet1!$A$6:$AK$435</definedName>
    <definedName name="Z_C71F80D5_B6C1_4ED9_B18D_D719D69F5A47_.wvu.FilterData" localSheetId="0" hidden="1">Sheet1!$A$6:$AK$435</definedName>
    <definedName name="Z_C90ECED7_D145_417E_BB55_4FC7FD4BF46C_.wvu.FilterData" localSheetId="0" hidden="1">Sheet1!$A$1:$DF$386</definedName>
    <definedName name="Z_CAB79FAE_AA32_4D62_A794_A6DB6513D801_.wvu.FilterData" localSheetId="0" hidden="1">Sheet1!$A$6:$AK$435</definedName>
    <definedName name="Z_CC51448C_22F6_4583_82CD_2835AD1A82D7_.wvu.FilterData" localSheetId="0" hidden="1">Sheet1!$A$1:$AK$297</definedName>
    <definedName name="Z_CEFAC6F5_4048_4FB5_8E88_A602B5B48691_.wvu.FilterData" localSheetId="0" hidden="1">Sheet1!$A$1:$AK$78</definedName>
    <definedName name="Z_D14C8FFA_66C9_4AD5_90D4_6B2987347EA7_.wvu.FilterData" localSheetId="0" hidden="1">Sheet1!$A$1:$AK$78</definedName>
    <definedName name="Z_D1981FDB_7063_4FCF_8DD5_A549E616E6FF_.wvu.FilterData" localSheetId="0" hidden="1">Sheet1!$A$7:$DF$435</definedName>
    <definedName name="Z_D365E121_F95E_415A_8CA0_9EA7ECCC60F5_.wvu.FilterData" localSheetId="0" hidden="1">Sheet1!$A$6:$AK$435</definedName>
    <definedName name="Z_D3AEB135_5C7C_42C0_A07A_78B57DEB3E5D_.wvu.FilterData" localSheetId="0" hidden="1">Sheet1!$A$1:$AK$435</definedName>
    <definedName name="Z_D56F5ED6_74F2_4AA3_9A98_EE5750FE63AF_.wvu.FilterData" localSheetId="0" hidden="1">Sheet1!$A$6:$DF$435</definedName>
    <definedName name="Z_D802EE0F_98B9_4410_B31B_4ACC0EC9C9BC_.wvu.FilterData" localSheetId="0" hidden="1">Sheet1!$A$6:$AK$435</definedName>
    <definedName name="Z_DAD27C7B_8B8A_46CB_98B5_59B1D1EFC319_.wvu.FilterData" localSheetId="0" hidden="1">Sheet1!$A$7:$DF$435</definedName>
    <definedName name="Z_DB41C7D7_14F0_4834_A7BD_0F1115A89C8E_.wvu.FilterData" localSheetId="0" hidden="1">Sheet1!$A$6:$DF$435</definedName>
    <definedName name="Z_DB43929D_F4B7_43FF_975F_960476D189E8_.wvu.FilterData" localSheetId="0" hidden="1">Sheet1!$A$6:$AK$435</definedName>
    <definedName name="Z_DB51BB9F_5710_40B0_80E7_39B059BFD11D_.wvu.FilterData" localSheetId="0" hidden="1">Sheet1!$A$1:$DF$435</definedName>
    <definedName name="Z_DB51BB9F_5710_40B0_80E7_39B059BFD11D_.wvu.PrintArea" localSheetId="0" hidden="1">Sheet1!$A$1:$AK$435</definedName>
    <definedName name="Z_DD93CA86_AFD6_4C47_828D_70472BFCD288_.wvu.FilterData" localSheetId="0" hidden="1">Sheet1!$A$6:$AK$435</definedName>
    <definedName name="Z_DE09B69C_7EEF_4060_8E06_F7DEC4B96D7E_.wvu.FilterData" localSheetId="0" hidden="1">Sheet1!$A$6:$AK$435</definedName>
    <definedName name="Z_E53ADB69_E454_408C_8AAF_7FDA9FEDF6D0_.wvu.FilterData" localSheetId="0" hidden="1">Sheet1!$A$7:$DF$435</definedName>
    <definedName name="Z_E64C6006_DE37_44CA_8083_01C511E323D9_.wvu.FilterData" localSheetId="0" hidden="1">Sheet1!$A$3:$AK$297</definedName>
    <definedName name="Z_E875C76B_3648_4C9A_A6B2_C3654837AAAC_.wvu.FilterData" localSheetId="0" hidden="1">Sheet1!$A$7:$DF$435</definedName>
    <definedName name="Z_EA64E7D7_BA48_4965_B650_778AE412FE0C_.wvu.FilterData" localSheetId="0" hidden="1">Sheet1!$B$1:$B$435</definedName>
    <definedName name="Z_EA64E7D7_BA48_4965_B650_778AE412FE0C_.wvu.PrintArea" localSheetId="0" hidden="1">Sheet1!$A$1:$AK$435</definedName>
    <definedName name="Z_EB0F2E6A_FA33_479E_9A47_8E3494FBB4DE_.wvu.FilterData" localSheetId="0" hidden="1">Sheet1!$A$6:$AK$435</definedName>
    <definedName name="Z_EB0F2E6A_FA33_479E_9A47_8E3494FBB4DE_.wvu.PrintArea" localSheetId="0" hidden="1">Sheet1!$A$1:$AK$435</definedName>
    <definedName name="Z_EB688584_325A_400C_AEB8_9170040049B0_.wvu.FilterData" localSheetId="0" hidden="1">Sheet1!$A$1:$AK$435</definedName>
    <definedName name="Z_EBECCF5E_4B46_43F8_B11C_A2E3D2F626C0_.wvu.FilterData" localSheetId="0" hidden="1">Sheet1!$A$1:$AK$435</definedName>
    <definedName name="Z_EEA37434_2D22_478B_B49F_C3E8CD4AC2E1_.wvu.FilterData" localSheetId="0" hidden="1">Sheet1!$A$6:$DF$435</definedName>
    <definedName name="Z_EEA37434_2D22_478B_B49F_C3E8CD4AC2E1_.wvu.PrintArea" localSheetId="0" hidden="1">Sheet1!$A$1:$AK$435</definedName>
    <definedName name="Z_EF10298D_3F59_43F1_9A86_8C1CCA3B5D93_.wvu.FilterData" localSheetId="0" hidden="1">Sheet1!$A$6:$AK$435</definedName>
    <definedName name="Z_EF10298D_3F59_43F1_9A86_8C1CCA3B5D93_.wvu.PrintArea" localSheetId="0" hidden="1">Sheet1!$A$1:$AK$435</definedName>
    <definedName name="Z_EFE45138_A2B3_46EB_8A69_D9745D73FBF5_.wvu.FilterData" localSheetId="0" hidden="1">Sheet1!$A$6:$AK$435</definedName>
    <definedName name="Z_F1FF8598_176D_475F_BFF2_4F9BDA2E6952_.wvu.FilterData" localSheetId="0" hidden="1">Sheet1!$A$1:$AK$435</definedName>
    <definedName name="Z_F52D90D4_508D_43B6_8295_6D179E5F0FEB_.wvu.FilterData" localSheetId="0" hidden="1">Sheet1!$A$6:$AK$435</definedName>
    <definedName name="Z_F952A18B_3430_4F65_89F2_B7C17998F981_.wvu.FilterData" localSheetId="0" hidden="1">Sheet1!$A$6:$AK$435</definedName>
    <definedName name="Z_FE50EAC0_52A5_4C33_B973_65E93D03D3EA_.wvu.FilterData" localSheetId="0" hidden="1">Sheet1!$A$1:$AK$435</definedName>
    <definedName name="Z_FE50EAC0_52A5_4C33_B973_65E93D03D3EA_.wvu.PrintArea" localSheetId="0" hidden="1">Sheet1!$A$1:$AK$435</definedName>
    <definedName name="Z_FFC44E67_8559_4D31_893D_BF5BA4229E04_.wvu.FilterData" localSheetId="0" hidden="1">Sheet1!$A$1:$AK$386</definedName>
  </definedNames>
  <calcPr calcId="181029"/>
  <customWorkbookViews>
    <customWorkbookView name="ovidiu.dumitrache - Personal View" guid="{FE50EAC0-52A5-4C33-B973-65E93D03D3EA}" mergeInterval="0" personalView="1" maximized="1" xWindow="1912"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mihaela.nicolae - Personal View" guid="{EF10298D-3F59-43F1-9A86-8C1CCA3B5D93}" mergeInterval="0" personalView="1" maximized="1" xWindow="1912" yWindow="-8" windowWidth="1936" windowHeight="1056" tabRatio="154" activeSheetId="1"/>
    <customWorkbookView name="mariana.moraru - Personal View" guid="{65C35D6D-934F-4431-BA92-90255FC17BA4}" mergeInterval="0" personalView="1" maximized="1" xWindow="1912" yWindow="-8" windowWidth="1936" windowHeight="1056" tabRatio="154" activeSheetId="1"/>
    <customWorkbookView name="mihaela.vasilescu - Personal View" guid="{84FB199A-D56E-4FDD-AC4A-70CE86CD87BC}"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activeSheetId="1"/>
    <customWorkbookView name="maria.petre - Personal View" guid="{7C1B4D6D-D666-48DD-AB17-E00791B6F0B6}" mergeInterval="0" personalView="1" maximized="1" xWindow="1912"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corina.pelmus - Personal View" guid="{EB0F2E6A-FA33-479E-9A47-8E3494FBB4DE}" mergeInterval="0" personalView="1" minimized="1" windowWidth="0" windowHeight="0"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daniela.voicu - Personal View" guid="{EA64E7D7-BA48-4965-B650-778AE412FE0C}"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elisabeta.trifan - Personal View" guid="{36624B2D-80F9-4F79-AC4A-B3547C36F23F}" mergeInterval="0" personalView="1" maximized="1" xWindow="-8"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vlad.pereteanu - Personal View" guid="{5AAA4DFE-88B1-4674-95ED-5FCD7A50BC22}"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142" i="1" l="1"/>
  <c r="AE144" i="1"/>
  <c r="AE143" i="1"/>
  <c r="AB435" i="1" l="1"/>
  <c r="Y435" i="1"/>
  <c r="V435" i="1"/>
  <c r="S435" i="1"/>
  <c r="V434" i="1"/>
  <c r="AB434" i="1"/>
  <c r="Y434" i="1"/>
  <c r="S434" i="1"/>
  <c r="AE434" i="1" l="1"/>
  <c r="M434" i="1" s="1"/>
  <c r="AE435" i="1"/>
  <c r="M435" i="1" s="1"/>
  <c r="AB433" i="1"/>
  <c r="Y433" i="1"/>
  <c r="V433" i="1"/>
  <c r="S433" i="1"/>
  <c r="AG434" i="1" l="1"/>
  <c r="AG435" i="1"/>
  <c r="AE433" i="1"/>
  <c r="AG433" i="1" s="1"/>
  <c r="AB22" i="1"/>
  <c r="Y22" i="1"/>
  <c r="V22" i="1"/>
  <c r="S22" i="1"/>
  <c r="M433" i="1" l="1"/>
  <c r="AE22" i="1"/>
  <c r="AG22" i="1" s="1"/>
  <c r="Y432" i="1"/>
  <c r="M22" i="1" l="1"/>
  <c r="AB432" i="1"/>
  <c r="V432" i="1"/>
  <c r="S432" i="1"/>
  <c r="N432" i="1"/>
  <c r="O432" i="1"/>
  <c r="P432" i="1"/>
  <c r="Q432" i="1"/>
  <c r="AE432" i="1" l="1"/>
  <c r="M432" i="1" s="1"/>
  <c r="AB54" i="1"/>
  <c r="Y54" i="1"/>
  <c r="V54" i="1"/>
  <c r="S54" i="1"/>
  <c r="AE54" i="1" l="1"/>
  <c r="M54" i="1" s="1"/>
  <c r="AB431" i="1"/>
  <c r="Y431" i="1"/>
  <c r="V431" i="1"/>
  <c r="S431" i="1"/>
  <c r="R431" i="1"/>
  <c r="R432" i="1" s="1"/>
  <c r="R433" i="1" s="1"/>
  <c r="R434" i="1" s="1"/>
  <c r="R435" i="1" s="1"/>
  <c r="E431" i="1"/>
  <c r="E432" i="1" s="1"/>
  <c r="E433" i="1" s="1"/>
  <c r="E434" i="1" s="1"/>
  <c r="E435" i="1" s="1"/>
  <c r="AE431" i="1" l="1"/>
  <c r="AG431" i="1" s="1"/>
  <c r="AB72" i="1"/>
  <c r="Y72" i="1"/>
  <c r="V72" i="1"/>
  <c r="S72" i="1"/>
  <c r="M431" i="1" l="1"/>
  <c r="AE72" i="1"/>
  <c r="M72" i="1" s="1"/>
  <c r="AB165" i="1"/>
  <c r="Y165" i="1"/>
  <c r="V165" i="1"/>
  <c r="S165" i="1"/>
  <c r="AG72" i="1" l="1"/>
  <c r="AE165" i="1"/>
  <c r="AG165" i="1" s="1"/>
  <c r="AJ346" i="1"/>
  <c r="AK346" i="1"/>
  <c r="AK310" i="1"/>
  <c r="AJ310" i="1"/>
  <c r="AJ388" i="1"/>
  <c r="AJ344" i="1"/>
  <c r="AJ330" i="1"/>
  <c r="M165" i="1" l="1"/>
  <c r="AJ68" i="1"/>
  <c r="AK68" i="1"/>
  <c r="AK35" i="1"/>
  <c r="AJ389" i="1"/>
  <c r="AJ218" i="1"/>
  <c r="AJ214" i="1"/>
  <c r="AJ216" i="1"/>
  <c r="AJ215" i="1"/>
  <c r="AK49" i="1"/>
  <c r="AJ49" i="1"/>
  <c r="AK192" i="1"/>
  <c r="AJ192" i="1"/>
  <c r="AK182" i="1"/>
  <c r="AJ182" i="1"/>
  <c r="AK101" i="1"/>
  <c r="AJ101" i="1"/>
  <c r="AK39" i="1"/>
  <c r="AJ39" i="1"/>
  <c r="AK167" i="1"/>
  <c r="AJ167" i="1"/>
  <c r="AK154" i="1"/>
  <c r="AJ154" i="1"/>
  <c r="AK25" i="1"/>
  <c r="AJ25" i="1"/>
  <c r="AB128" i="1" l="1"/>
  <c r="Y128" i="1"/>
  <c r="V128" i="1"/>
  <c r="S128" i="1"/>
  <c r="AE128" i="1" l="1"/>
  <c r="M128" i="1" s="1"/>
  <c r="AJ401" i="1"/>
  <c r="AJ308" i="1"/>
  <c r="AJ296" i="1"/>
  <c r="AJ293" i="1"/>
  <c r="AJ304" i="1"/>
  <c r="AJ267" i="1"/>
  <c r="AJ253" i="1"/>
  <c r="AJ249" i="1"/>
  <c r="AJ292" i="1"/>
  <c r="AJ280" i="1"/>
  <c r="AJ395" i="1"/>
  <c r="AJ227" i="1"/>
  <c r="AJ324" i="1"/>
  <c r="AK55" i="1"/>
  <c r="AJ55" i="1"/>
  <c r="AK113" i="1"/>
  <c r="AJ113" i="1"/>
  <c r="AK47" i="1"/>
  <c r="AJ47" i="1"/>
  <c r="AK205" i="1"/>
  <c r="AJ205" i="1"/>
  <c r="AJ160" i="1"/>
  <c r="AK84" i="1"/>
  <c r="AJ84" i="1"/>
  <c r="AK177" i="1"/>
  <c r="AJ177" i="1"/>
  <c r="AJ32" i="1"/>
  <c r="AK32" i="1"/>
  <c r="AK43" i="1"/>
  <c r="AJ43" i="1"/>
  <c r="AK139" i="1"/>
  <c r="AJ139" i="1"/>
  <c r="AK162" i="1"/>
  <c r="AJ162" i="1"/>
  <c r="AK95" i="1"/>
  <c r="AJ95" i="1"/>
  <c r="AK153" i="1"/>
  <c r="AJ153" i="1"/>
  <c r="AK34" i="1"/>
  <c r="AJ34" i="1"/>
  <c r="AK370" i="1"/>
  <c r="AK332" i="1"/>
  <c r="AJ332" i="1"/>
  <c r="AK348" i="1"/>
  <c r="AJ348" i="1"/>
  <c r="AJ325" i="1"/>
  <c r="AK325" i="1"/>
  <c r="AK361" i="1"/>
  <c r="AJ361" i="1"/>
  <c r="AK336" i="1"/>
  <c r="AJ336" i="1"/>
  <c r="AK339" i="1"/>
  <c r="AJ339" i="1"/>
  <c r="AJ370" i="1"/>
  <c r="AK306" i="1"/>
  <c r="AJ306" i="1"/>
  <c r="AK284" i="1"/>
  <c r="AJ284" i="1"/>
  <c r="AK273" i="1"/>
  <c r="AJ273" i="1"/>
  <c r="AK300" i="1"/>
  <c r="AJ300" i="1"/>
  <c r="AK289" i="1"/>
  <c r="AJ289" i="1"/>
  <c r="AK350" i="1"/>
  <c r="AJ350" i="1"/>
  <c r="AK303" i="1"/>
  <c r="AJ303" i="1"/>
  <c r="AJ314" i="1"/>
  <c r="AK341" i="1"/>
  <c r="AJ341" i="1"/>
  <c r="AK345" i="1"/>
  <c r="AJ345" i="1"/>
  <c r="AK375" i="1"/>
  <c r="AJ375" i="1"/>
  <c r="AK388" i="1"/>
  <c r="AK287" i="1"/>
  <c r="AJ287" i="1"/>
  <c r="AK386" i="1"/>
  <c r="AJ386" i="1"/>
  <c r="AK383" i="1"/>
  <c r="AJ383" i="1"/>
  <c r="AK358" i="1"/>
  <c r="AJ358" i="1"/>
  <c r="AK362" i="1"/>
  <c r="AJ362" i="1"/>
  <c r="AK297" i="1"/>
  <c r="AJ297" i="1"/>
  <c r="AK391" i="1"/>
  <c r="AJ391" i="1"/>
  <c r="AK299" i="1"/>
  <c r="AJ299" i="1"/>
  <c r="AK320" i="1"/>
  <c r="AJ320" i="1"/>
  <c r="AK318" i="1"/>
  <c r="AJ318" i="1"/>
  <c r="AK278" i="1"/>
  <c r="AJ278" i="1"/>
  <c r="AK313" i="1"/>
  <c r="AJ313" i="1"/>
  <c r="AK319" i="1"/>
  <c r="AJ319" i="1"/>
  <c r="AK279" i="1"/>
  <c r="AJ279" i="1"/>
  <c r="AK277" i="1"/>
  <c r="AJ277" i="1"/>
  <c r="AK285" i="1"/>
  <c r="AJ285" i="1"/>
  <c r="AK352" i="1"/>
  <c r="AJ352" i="1"/>
  <c r="AK334" i="1"/>
  <c r="AJ334" i="1"/>
  <c r="AG128" i="1" l="1"/>
  <c r="AK360" i="1"/>
  <c r="AJ360" i="1"/>
  <c r="AK369" i="1"/>
  <c r="AJ369" i="1"/>
  <c r="AK321" i="1"/>
  <c r="AJ321" i="1"/>
  <c r="AK344" i="1"/>
  <c r="AK366" i="1" l="1"/>
  <c r="AJ366" i="1"/>
  <c r="AK330" i="1"/>
  <c r="AK384" i="1" l="1"/>
  <c r="AJ384" i="1"/>
  <c r="AK363" i="1"/>
  <c r="AJ363" i="1"/>
  <c r="AK354" i="1"/>
  <c r="AJ354" i="1"/>
  <c r="AK367" i="1"/>
  <c r="AJ367" i="1"/>
  <c r="AK326" i="1"/>
  <c r="AJ326" i="1"/>
  <c r="AK392" i="1"/>
  <c r="AJ392" i="1"/>
  <c r="AK359" i="1"/>
  <c r="AJ359" i="1"/>
  <c r="AK316" i="1"/>
  <c r="AJ316" i="1"/>
  <c r="AK343" i="1"/>
  <c r="AJ343" i="1"/>
  <c r="AK283" i="1"/>
  <c r="AJ283" i="1"/>
  <c r="AK282" i="1"/>
  <c r="AJ282" i="1"/>
  <c r="AK288" i="1"/>
  <c r="AJ288" i="1"/>
  <c r="AK276" i="1"/>
  <c r="AJ276" i="1"/>
  <c r="AK275" i="1"/>
  <c r="AJ275" i="1"/>
  <c r="AJ331" i="1"/>
  <c r="AK328" i="1"/>
  <c r="AJ328" i="1"/>
  <c r="AK271" i="1"/>
  <c r="AJ271" i="1"/>
  <c r="AK393" i="1"/>
  <c r="AJ393" i="1"/>
  <c r="AK355" i="1"/>
  <c r="AJ355" i="1"/>
  <c r="AK340" i="1"/>
  <c r="AJ340" i="1"/>
  <c r="AK337" i="1"/>
  <c r="AJ337" i="1"/>
  <c r="AK327" i="1"/>
  <c r="AJ327" i="1"/>
  <c r="AJ372" i="1"/>
  <c r="AK381" i="1"/>
  <c r="AJ381" i="1"/>
  <c r="AK365" i="1"/>
  <c r="AJ365" i="1"/>
  <c r="AK364" i="1"/>
  <c r="AJ364" i="1"/>
  <c r="AK379" i="1"/>
  <c r="AJ379" i="1"/>
  <c r="AK387" i="1"/>
  <c r="AJ387" i="1"/>
  <c r="AK311" i="1"/>
  <c r="AJ311" i="1"/>
  <c r="AK376" i="1"/>
  <c r="AJ376" i="1"/>
  <c r="AK329" i="1"/>
  <c r="AJ329" i="1"/>
  <c r="AK60" i="1"/>
  <c r="AJ60" i="1"/>
  <c r="AK26" i="1"/>
  <c r="AJ26" i="1"/>
  <c r="AJ116" i="1"/>
  <c r="AK110" i="1"/>
  <c r="AJ110" i="1"/>
  <c r="AK91" i="1"/>
  <c r="AJ91" i="1"/>
  <c r="AK207" i="1"/>
  <c r="AJ207" i="1"/>
  <c r="AK189" i="1"/>
  <c r="AJ189" i="1"/>
  <c r="AK132" i="1"/>
  <c r="AJ132" i="1"/>
  <c r="AJ173" i="1"/>
  <c r="AK208" i="1"/>
  <c r="AJ208" i="1"/>
  <c r="AJ122" i="1"/>
  <c r="AK58" i="1"/>
  <c r="AJ58" i="1"/>
  <c r="AK74" i="1"/>
  <c r="AJ74" i="1"/>
  <c r="AK50" i="1"/>
  <c r="AJ50" i="1"/>
  <c r="AK11" i="1"/>
  <c r="AJ11" i="1"/>
  <c r="AK197" i="1"/>
  <c r="AJ197" i="1"/>
  <c r="AK67" i="1"/>
  <c r="AJ67" i="1"/>
  <c r="AK206" i="1"/>
  <c r="AJ206" i="1"/>
  <c r="AK130" i="1"/>
  <c r="AJ130" i="1"/>
  <c r="AK108" i="1"/>
  <c r="AJ108" i="1"/>
  <c r="AK155" i="1"/>
  <c r="AJ155" i="1"/>
  <c r="AK131" i="1"/>
  <c r="AJ131" i="1"/>
  <c r="AJ269" i="1"/>
  <c r="M420" i="1" l="1"/>
  <c r="AB97" i="1" l="1"/>
  <c r="Y97" i="1"/>
  <c r="V97" i="1"/>
  <c r="S97" i="1"/>
  <c r="E97" i="1"/>
  <c r="F97" i="1"/>
  <c r="N97" i="1"/>
  <c r="O97" i="1"/>
  <c r="P97" i="1"/>
  <c r="Q97" i="1"/>
  <c r="R97" i="1"/>
  <c r="H97" i="1"/>
  <c r="AE97" i="1" l="1"/>
  <c r="M97" i="1" s="1"/>
  <c r="AB430" i="1"/>
  <c r="Y430" i="1"/>
  <c r="V430" i="1"/>
  <c r="S430" i="1"/>
  <c r="AG97" i="1" l="1"/>
  <c r="AE430" i="1"/>
  <c r="AG430" i="1" s="1"/>
  <c r="AB429" i="1"/>
  <c r="Y429" i="1"/>
  <c r="V429" i="1"/>
  <c r="S429" i="1"/>
  <c r="M430" i="1" l="1"/>
  <c r="AE429" i="1"/>
  <c r="M429" i="1" s="1"/>
  <c r="AB427" i="1"/>
  <c r="AB428" i="1"/>
  <c r="Y427" i="1"/>
  <c r="Y428" i="1"/>
  <c r="V427" i="1"/>
  <c r="V428" i="1"/>
  <c r="S427" i="1"/>
  <c r="S428" i="1"/>
  <c r="AE427" i="1" l="1"/>
  <c r="M427" i="1" s="1"/>
  <c r="AE428" i="1"/>
  <c r="M428" i="1" s="1"/>
  <c r="AI427" i="1"/>
  <c r="AI428" i="1"/>
  <c r="D428" i="1"/>
  <c r="E426" i="1" l="1"/>
  <c r="E427" i="1" s="1"/>
  <c r="E428" i="1" s="1"/>
  <c r="E429" i="1" s="1"/>
  <c r="F426" i="1"/>
  <c r="F427" i="1" s="1"/>
  <c r="F428" i="1" s="1"/>
  <c r="F429" i="1" s="1"/>
  <c r="AH426" i="1" l="1"/>
  <c r="Y426" i="1"/>
  <c r="V426" i="1"/>
  <c r="AB426" i="1"/>
  <c r="S426" i="1"/>
  <c r="N426" i="1"/>
  <c r="O426" i="1"/>
  <c r="O427" i="1" s="1"/>
  <c r="O428" i="1" s="1"/>
  <c r="P426" i="1"/>
  <c r="P427" i="1" s="1"/>
  <c r="P428" i="1" s="1"/>
  <c r="Q426" i="1"/>
  <c r="Q427" i="1" s="1"/>
  <c r="Q428" i="1" s="1"/>
  <c r="R426" i="1"/>
  <c r="R427" i="1" s="1"/>
  <c r="R428" i="1" s="1"/>
  <c r="R429" i="1" s="1"/>
  <c r="AH428" i="1" l="1"/>
  <c r="AH427" i="1"/>
  <c r="N428" i="1"/>
  <c r="N427" i="1"/>
  <c r="AE426" i="1"/>
  <c r="AG426" i="1" s="1"/>
  <c r="M426" i="1" l="1"/>
  <c r="AB180" i="1"/>
  <c r="Y180" i="1"/>
  <c r="V180" i="1"/>
  <c r="S180" i="1"/>
  <c r="AB137" i="1"/>
  <c r="Y137" i="1"/>
  <c r="V137" i="1"/>
  <c r="S137" i="1"/>
  <c r="S424" i="1"/>
  <c r="V424" i="1"/>
  <c r="Y424" i="1"/>
  <c r="AB424" i="1"/>
  <c r="S425" i="1"/>
  <c r="V425" i="1"/>
  <c r="Y425" i="1"/>
  <c r="AB425" i="1"/>
  <c r="AE137" i="1" l="1"/>
  <c r="AG137" i="1" s="1"/>
  <c r="AE425" i="1"/>
  <c r="AG425" i="1" s="1"/>
  <c r="AE180" i="1"/>
  <c r="M180" i="1" s="1"/>
  <c r="AE424" i="1"/>
  <c r="M424" i="1" s="1"/>
  <c r="S125" i="1"/>
  <c r="V125" i="1"/>
  <c r="Y125" i="1"/>
  <c r="AB125" i="1"/>
  <c r="M425" i="1" l="1"/>
  <c r="M137" i="1"/>
  <c r="AG424" i="1"/>
  <c r="AG180" i="1"/>
  <c r="AE125" i="1"/>
  <c r="AG125" i="1" s="1"/>
  <c r="AB112" i="1"/>
  <c r="Y112" i="1"/>
  <c r="V112" i="1"/>
  <c r="S112" i="1"/>
  <c r="M125" i="1" l="1"/>
  <c r="AE112" i="1"/>
  <c r="AG112" i="1" s="1"/>
  <c r="M112" i="1" l="1"/>
  <c r="AB423" i="1"/>
  <c r="AH423" i="1" l="1"/>
  <c r="AB422" i="1"/>
  <c r="Y423" i="1"/>
  <c r="V423" i="1"/>
  <c r="S423" i="1"/>
  <c r="AE423" i="1" l="1"/>
  <c r="AG423" i="1" s="1"/>
  <c r="Y422" i="1"/>
  <c r="V422" i="1"/>
  <c r="S422" i="1"/>
  <c r="M423" i="1" l="1"/>
  <c r="AE422" i="1"/>
  <c r="M422" i="1" s="1"/>
  <c r="Y421" i="1"/>
  <c r="V421" i="1"/>
  <c r="S421" i="1"/>
  <c r="AG422" i="1" l="1"/>
  <c r="AB421" i="1"/>
  <c r="AE421" i="1" s="1"/>
  <c r="AG421" i="1" s="1"/>
  <c r="M421" i="1" l="1"/>
  <c r="AB144" i="1"/>
  <c r="Y144" i="1"/>
  <c r="V144" i="1"/>
  <c r="S144" i="1"/>
  <c r="AG144" i="1" l="1"/>
  <c r="AK385" i="1"/>
  <c r="AJ385" i="1"/>
  <c r="AJ397" i="1"/>
  <c r="M144" i="1" l="1"/>
  <c r="AK356" i="1"/>
  <c r="AJ305" i="1"/>
  <c r="AJ396" i="1"/>
  <c r="AJ398" i="1"/>
  <c r="AJ257" i="1"/>
  <c r="AJ256" i="1"/>
  <c r="AJ252" i="1"/>
  <c r="AJ263" i="1"/>
  <c r="AJ262" i="1"/>
  <c r="AJ245" i="1"/>
  <c r="AJ242" i="1"/>
  <c r="AJ237" i="1"/>
  <c r="AJ234" i="1"/>
  <c r="AJ232" i="1"/>
  <c r="AK229" i="1"/>
  <c r="AJ229" i="1"/>
  <c r="AJ228" i="1"/>
  <c r="AJ225" i="1"/>
  <c r="AJ223" i="1"/>
  <c r="AJ213" i="1"/>
  <c r="AK12" i="1"/>
  <c r="AJ12" i="1"/>
  <c r="AK193" i="1"/>
  <c r="AJ193" i="1"/>
  <c r="AK9" i="1"/>
  <c r="AJ9" i="1"/>
  <c r="AJ356" i="1"/>
  <c r="AK48" i="1"/>
  <c r="AJ48" i="1"/>
  <c r="AK83" i="1"/>
  <c r="AJ83" i="1"/>
  <c r="AK188" i="1"/>
  <c r="AJ188" i="1"/>
  <c r="AK118" i="1"/>
  <c r="AJ118" i="1"/>
  <c r="AK203" i="1"/>
  <c r="AJ203" i="1"/>
  <c r="AK160" i="1"/>
  <c r="AK204" i="1"/>
  <c r="AJ204" i="1"/>
  <c r="AK117" i="1"/>
  <c r="AJ117" i="1"/>
  <c r="AK166" i="1"/>
  <c r="AJ166" i="1"/>
  <c r="AK89" i="1"/>
  <c r="AJ89" i="1"/>
  <c r="AK129" i="1"/>
  <c r="AJ129" i="1"/>
  <c r="AK107" i="1"/>
  <c r="AJ107" i="1"/>
  <c r="AK274" i="1"/>
  <c r="AJ274" i="1"/>
  <c r="AK290" i="1"/>
  <c r="AJ290" i="1"/>
  <c r="AK272" i="1"/>
  <c r="AJ272" i="1"/>
  <c r="AK314" i="1"/>
  <c r="AK342" i="1"/>
  <c r="AJ342" i="1"/>
  <c r="AK371" i="1"/>
  <c r="AJ371" i="1"/>
  <c r="AJ373" i="1"/>
  <c r="AK281" i="1"/>
  <c r="AJ281" i="1"/>
  <c r="AK294" i="1"/>
  <c r="AJ294" i="1"/>
  <c r="AK307" i="1" l="1"/>
  <c r="AJ307" i="1"/>
  <c r="AK301" i="1"/>
  <c r="AJ301" i="1"/>
  <c r="AK333" i="1"/>
  <c r="AJ333" i="1"/>
  <c r="AK323" i="1"/>
  <c r="AJ323" i="1"/>
  <c r="AK331" i="1"/>
  <c r="AJ374" i="1"/>
  <c r="AK372" i="1"/>
  <c r="AJ390" i="1" l="1"/>
  <c r="AJ351" i="1"/>
  <c r="AJ13" i="1"/>
  <c r="AJ152" i="1"/>
  <c r="AK57" i="1"/>
  <c r="AJ57" i="1"/>
  <c r="AK73" i="1"/>
  <c r="AJ73" i="1"/>
  <c r="AK102" i="1"/>
  <c r="AJ102" i="1"/>
  <c r="AK211" i="1"/>
  <c r="AJ211" i="1"/>
  <c r="AK140" i="1"/>
  <c r="AJ140" i="1"/>
  <c r="AK100" i="1"/>
  <c r="AJ100" i="1"/>
  <c r="AK96" i="1"/>
  <c r="AJ96" i="1"/>
  <c r="AJ181" i="1"/>
  <c r="AK141" i="1"/>
  <c r="AJ141" i="1"/>
  <c r="AK29" i="1"/>
  <c r="AJ29" i="1"/>
  <c r="AK66" i="1"/>
  <c r="AJ66" i="1"/>
  <c r="AK24" i="1"/>
  <c r="AJ24" i="1"/>
  <c r="AK172" i="1"/>
  <c r="AJ172" i="1"/>
  <c r="AK114" i="1"/>
  <c r="AJ114" i="1"/>
  <c r="AJ270" i="1"/>
  <c r="AB419" i="1" l="1"/>
  <c r="Y419" i="1"/>
  <c r="V419" i="1"/>
  <c r="S419" i="1"/>
  <c r="AE419" i="1" l="1"/>
  <c r="AG419" i="1" s="1"/>
  <c r="M419" i="1" l="1"/>
  <c r="Y33" i="1"/>
  <c r="V33" i="1"/>
  <c r="S33" i="1"/>
  <c r="AE33" i="1" l="1"/>
  <c r="M33" i="1" s="1"/>
  <c r="AB418" i="1"/>
  <c r="V418" i="1"/>
  <c r="Y418" i="1"/>
  <c r="S418" i="1"/>
  <c r="AE418" i="1" l="1"/>
  <c r="AG418" i="1" s="1"/>
  <c r="M418" i="1" l="1"/>
  <c r="AB417" i="1"/>
  <c r="Y417" i="1"/>
  <c r="V417" i="1"/>
  <c r="S417" i="1" l="1"/>
  <c r="AE417" i="1" l="1"/>
  <c r="AG417" i="1" s="1"/>
  <c r="AB416" i="1"/>
  <c r="Y416" i="1"/>
  <c r="V416" i="1"/>
  <c r="S416" i="1"/>
  <c r="M417" i="1" l="1"/>
  <c r="AE416" i="1"/>
  <c r="AG416" i="1" s="1"/>
  <c r="AB158" i="1"/>
  <c r="Y158" i="1"/>
  <c r="V158" i="1"/>
  <c r="S158" i="1"/>
  <c r="M416" i="1" l="1"/>
  <c r="AE158" i="1"/>
  <c r="M158" i="1" s="1"/>
  <c r="AG158" i="1" l="1"/>
  <c r="AE46" i="1" l="1"/>
  <c r="M46" i="1" s="1"/>
  <c r="AG46" i="1" l="1"/>
  <c r="AB415" i="1"/>
  <c r="Y415" i="1"/>
  <c r="V415" i="1"/>
  <c r="S415" i="1"/>
  <c r="S414" i="1"/>
  <c r="AB414" i="1"/>
  <c r="V414" i="1"/>
  <c r="AB413" i="1"/>
  <c r="Y413" i="1"/>
  <c r="V413" i="1"/>
  <c r="S413" i="1"/>
  <c r="AE415" i="1" l="1"/>
  <c r="M415" i="1" s="1"/>
  <c r="AE413" i="1"/>
  <c r="M413" i="1" s="1"/>
  <c r="AB187" i="1"/>
  <c r="Y187" i="1"/>
  <c r="V187" i="1"/>
  <c r="S187" i="1"/>
  <c r="AG413" i="1" l="1"/>
  <c r="AG415" i="1"/>
  <c r="AE187" i="1"/>
  <c r="M187" i="1" s="1"/>
  <c r="AB397" i="1"/>
  <c r="AG187" i="1" l="1"/>
  <c r="AB177" i="1"/>
  <c r="Y177" i="1"/>
  <c r="V177" i="1"/>
  <c r="S177" i="1"/>
  <c r="AK176" i="1"/>
  <c r="AJ176" i="1"/>
  <c r="AB176" i="1"/>
  <c r="Y176" i="1"/>
  <c r="V176" i="1"/>
  <c r="S176" i="1"/>
  <c r="AB32" i="1"/>
  <c r="Y32" i="1"/>
  <c r="V32" i="1"/>
  <c r="S32" i="1"/>
  <c r="AK175" i="1"/>
  <c r="AJ175" i="1"/>
  <c r="AB175" i="1"/>
  <c r="Y175" i="1"/>
  <c r="V175" i="1"/>
  <c r="S175" i="1"/>
  <c r="AK93" i="1"/>
  <c r="AJ93" i="1"/>
  <c r="AB93" i="1"/>
  <c r="Y93" i="1"/>
  <c r="V93" i="1"/>
  <c r="S93" i="1"/>
  <c r="AE177" i="1" l="1"/>
  <c r="AG177" i="1" s="1"/>
  <c r="AE176" i="1"/>
  <c r="M176" i="1" s="1"/>
  <c r="AE175" i="1"/>
  <c r="AG175" i="1" s="1"/>
  <c r="AE32" i="1"/>
  <c r="AG32" i="1" s="1"/>
  <c r="AE93" i="1"/>
  <c r="AG93" i="1" s="1"/>
  <c r="AB412" i="1"/>
  <c r="Y412" i="1"/>
  <c r="V412" i="1"/>
  <c r="S412" i="1"/>
  <c r="M177" i="1" l="1"/>
  <c r="M93" i="1"/>
  <c r="M32" i="1"/>
  <c r="M175" i="1"/>
  <c r="AG176" i="1"/>
  <c r="AE412" i="1"/>
  <c r="AG412" i="1" s="1"/>
  <c r="Y414" i="1"/>
  <c r="AE414" i="1" s="1"/>
  <c r="M414" i="1" s="1"/>
  <c r="M412" i="1" l="1"/>
  <c r="AG414" i="1"/>
  <c r="S290" i="1"/>
  <c r="AB411" i="1" l="1"/>
  <c r="Y411" i="1"/>
  <c r="V411" i="1"/>
  <c r="S411" i="1"/>
  <c r="AB409" i="1"/>
  <c r="Y409" i="1"/>
  <c r="V409" i="1"/>
  <c r="S409" i="1"/>
  <c r="AB185" i="1"/>
  <c r="Y185" i="1"/>
  <c r="V185" i="1"/>
  <c r="S185" i="1"/>
  <c r="AE185" i="1" l="1"/>
  <c r="AG185" i="1" s="1"/>
  <c r="AE409" i="1"/>
  <c r="M409" i="1" s="1"/>
  <c r="AE411" i="1"/>
  <c r="AG411" i="1" s="1"/>
  <c r="M411" i="1" l="1"/>
  <c r="M185" i="1"/>
  <c r="AG409" i="1"/>
  <c r="AB147" i="1"/>
  <c r="Y147" i="1"/>
  <c r="V147" i="1"/>
  <c r="S147" i="1"/>
  <c r="AE147" i="1" l="1"/>
  <c r="AG147" i="1" s="1"/>
  <c r="S35" i="1"/>
  <c r="S36" i="1"/>
  <c r="V35" i="1"/>
  <c r="V36" i="1"/>
  <c r="Y35" i="1"/>
  <c r="Y36" i="1"/>
  <c r="M147" i="1" l="1"/>
  <c r="AE36" i="1"/>
  <c r="M36" i="1" s="1"/>
  <c r="AB410" i="1" l="1"/>
  <c r="Y410" i="1" l="1"/>
  <c r="V410" i="1"/>
  <c r="S410" i="1"/>
  <c r="AE410" i="1" l="1"/>
  <c r="AG410" i="1" s="1"/>
  <c r="P38" i="1"/>
  <c r="M410" i="1" l="1"/>
  <c r="AE73" i="1"/>
  <c r="M73" i="1" s="1"/>
  <c r="AB71" i="1"/>
  <c r="Y71" i="1"/>
  <c r="V71" i="1"/>
  <c r="S71" i="1"/>
  <c r="AE71" i="1" l="1"/>
  <c r="AG71" i="1" s="1"/>
  <c r="AB157" i="1"/>
  <c r="Y157" i="1"/>
  <c r="V157" i="1"/>
  <c r="S157" i="1"/>
  <c r="M71" i="1" l="1"/>
  <c r="AE157" i="1"/>
  <c r="AG157" i="1" s="1"/>
  <c r="M157" i="1" l="1"/>
  <c r="Y38" i="1"/>
  <c r="V38" i="1"/>
  <c r="S38" i="1"/>
  <c r="AH38" i="1"/>
  <c r="N38" i="1"/>
  <c r="I38" i="1"/>
  <c r="AE38" i="1" l="1"/>
  <c r="M38" i="1" s="1"/>
  <c r="O38" i="1"/>
  <c r="AG38" i="1" l="1"/>
  <c r="AB171" i="1"/>
  <c r="Y171" i="1"/>
  <c r="V171" i="1"/>
  <c r="S171" i="1"/>
  <c r="AE171" i="1" l="1"/>
  <c r="AG171" i="1" s="1"/>
  <c r="AB81" i="1"/>
  <c r="Y81" i="1"/>
  <c r="V81" i="1"/>
  <c r="S81" i="1"/>
  <c r="M171" i="1" l="1"/>
  <c r="AE81" i="1"/>
  <c r="M81" i="1" s="1"/>
  <c r="AG81" i="1" l="1"/>
  <c r="AB65" i="1"/>
  <c r="Y65" i="1"/>
  <c r="V65" i="1"/>
  <c r="S65" i="1"/>
  <c r="AE65" i="1" l="1"/>
  <c r="M65" i="1" s="1"/>
  <c r="AG65" i="1" l="1"/>
  <c r="AG139" i="1"/>
  <c r="AG73" i="1"/>
  <c r="AJ322" i="1" l="1"/>
  <c r="AJ382" i="1"/>
  <c r="AJ291" i="1"/>
  <c r="AJ349" i="1"/>
  <c r="AJ261" i="1"/>
  <c r="AJ244" i="1"/>
  <c r="AJ239" i="1"/>
  <c r="AJ238" i="1"/>
  <c r="AJ235" i="1"/>
  <c r="AJ231" i="1"/>
  <c r="AJ226" i="1" l="1"/>
  <c r="AK159" i="1" l="1"/>
  <c r="AJ159" i="1"/>
  <c r="AK75" i="1"/>
  <c r="AJ75" i="1"/>
  <c r="AK119" i="1"/>
  <c r="AJ119" i="1"/>
  <c r="AK8" i="1"/>
  <c r="AJ8" i="1"/>
  <c r="AK98" i="1"/>
  <c r="AJ98" i="1"/>
  <c r="AK70" i="1"/>
  <c r="AJ70" i="1"/>
  <c r="AK79" i="1"/>
  <c r="AJ79" i="1"/>
  <c r="AK148" i="1"/>
  <c r="AJ148" i="1"/>
  <c r="AJ168" i="1" l="1"/>
  <c r="AJ200" i="1"/>
  <c r="AK181" i="1"/>
  <c r="AK115" i="1"/>
  <c r="AJ115" i="1"/>
  <c r="AK163" i="1"/>
  <c r="AJ163" i="1"/>
  <c r="AK90" i="1"/>
  <c r="AJ90" i="1"/>
  <c r="Y63" i="1" l="1"/>
  <c r="V63" i="1"/>
  <c r="S63" i="1"/>
  <c r="AE63" i="1" l="1"/>
  <c r="AG63" i="1" s="1"/>
  <c r="AJ317" i="1"/>
  <c r="AK286" i="1"/>
  <c r="AJ286" i="1"/>
  <c r="AK295" i="1"/>
  <c r="AJ295" i="1"/>
  <c r="AK351" i="1"/>
  <c r="AK390" i="1"/>
  <c r="M63" i="1" l="1"/>
  <c r="AB127" i="1" l="1"/>
  <c r="Y127" i="1"/>
  <c r="V127" i="1"/>
  <c r="S127" i="1"/>
  <c r="AE127" i="1" l="1"/>
  <c r="M127" i="1" s="1"/>
  <c r="AB143" i="1"/>
  <c r="Y143" i="1"/>
  <c r="V143" i="1"/>
  <c r="S143" i="1"/>
  <c r="AG127" i="1" l="1"/>
  <c r="Y408" i="1"/>
  <c r="V408" i="1"/>
  <c r="S408" i="1"/>
  <c r="AE408" i="1" l="1"/>
  <c r="AG408" i="1" s="1"/>
  <c r="AB31" i="1"/>
  <c r="Y31" i="1"/>
  <c r="V31" i="1"/>
  <c r="S31" i="1"/>
  <c r="AB136" i="1"/>
  <c r="Y136" i="1"/>
  <c r="V136" i="1"/>
  <c r="S136" i="1"/>
  <c r="M408" i="1" l="1"/>
  <c r="AE31" i="1"/>
  <c r="AG31" i="1" s="1"/>
  <c r="AE136" i="1"/>
  <c r="M136" i="1" s="1"/>
  <c r="AB170" i="1"/>
  <c r="Y170" i="1"/>
  <c r="V170" i="1"/>
  <c r="S170" i="1"/>
  <c r="M31" i="1" l="1"/>
  <c r="AG136" i="1"/>
  <c r="AE170" i="1"/>
  <c r="AG170" i="1" s="1"/>
  <c r="AB87" i="1"/>
  <c r="Y87" i="1"/>
  <c r="V87" i="1"/>
  <c r="S87" i="1"/>
  <c r="M170" i="1" l="1"/>
  <c r="AE87" i="1"/>
  <c r="M87" i="1" s="1"/>
  <c r="E87" i="1"/>
  <c r="AG87" i="1" l="1"/>
  <c r="AB61" i="1" l="1"/>
  <c r="AB62" i="1"/>
  <c r="AB64" i="1"/>
  <c r="Y61" i="1"/>
  <c r="Y62" i="1"/>
  <c r="Y64" i="1"/>
  <c r="V61" i="1"/>
  <c r="V62" i="1"/>
  <c r="V64" i="1"/>
  <c r="S60" i="1"/>
  <c r="S61" i="1"/>
  <c r="S62" i="1"/>
  <c r="S64" i="1"/>
  <c r="AE64" i="1" l="1"/>
  <c r="AG64" i="1" s="1"/>
  <c r="AE62" i="1"/>
  <c r="AG62" i="1" s="1"/>
  <c r="AE61" i="1"/>
  <c r="M61" i="1" s="1"/>
  <c r="AB88" i="1"/>
  <c r="Y88" i="1"/>
  <c r="V88" i="1"/>
  <c r="S88" i="1"/>
  <c r="Q88" i="1"/>
  <c r="R88" i="1"/>
  <c r="E88" i="1"/>
  <c r="M64" i="1" l="1"/>
  <c r="M62" i="1"/>
  <c r="AG61" i="1"/>
  <c r="AE88" i="1"/>
  <c r="AG88" i="1" s="1"/>
  <c r="AB135" i="1"/>
  <c r="Y135" i="1"/>
  <c r="V135" i="1"/>
  <c r="S135" i="1"/>
  <c r="M88" i="1" l="1"/>
  <c r="AE135" i="1"/>
  <c r="M135" i="1" s="1"/>
  <c r="AB17" i="1"/>
  <c r="Y17" i="1"/>
  <c r="V17" i="1"/>
  <c r="S17" i="1"/>
  <c r="AG135" i="1" l="1"/>
  <c r="AE17" i="1"/>
  <c r="M17" i="1" s="1"/>
  <c r="Y191" i="1"/>
  <c r="AB191" i="1"/>
  <c r="V191" i="1"/>
  <c r="S191" i="1"/>
  <c r="AG17" i="1" l="1"/>
  <c r="AE191" i="1"/>
  <c r="M191" i="1" s="1"/>
  <c r="S42" i="1"/>
  <c r="V42" i="1"/>
  <c r="Y42" i="1"/>
  <c r="M143" i="1" l="1"/>
  <c r="AG191" i="1"/>
  <c r="AE42" i="1"/>
  <c r="AG42" i="1" s="1"/>
  <c r="AB190" i="1"/>
  <c r="Y190" i="1"/>
  <c r="V190" i="1"/>
  <c r="S190" i="1"/>
  <c r="S134" i="1"/>
  <c r="V134" i="1"/>
  <c r="Y134" i="1"/>
  <c r="AB134" i="1"/>
  <c r="M42" i="1" l="1"/>
  <c r="AG143" i="1"/>
  <c r="AE190" i="1"/>
  <c r="M190" i="1" s="1"/>
  <c r="AE134" i="1"/>
  <c r="AG134" i="1" s="1"/>
  <c r="AB27" i="1"/>
  <c r="Y27" i="1"/>
  <c r="V27" i="1"/>
  <c r="S27" i="1"/>
  <c r="M134" i="1" l="1"/>
  <c r="AG190" i="1"/>
  <c r="AE27" i="1"/>
  <c r="M27" i="1" s="1"/>
  <c r="AG27" i="1" l="1"/>
  <c r="AB106" i="1" l="1"/>
  <c r="Y106" i="1"/>
  <c r="V106" i="1"/>
  <c r="S106" i="1"/>
  <c r="AE106" i="1" l="1"/>
  <c r="M106" i="1" s="1"/>
  <c r="S378" i="1"/>
  <c r="AB142" i="1"/>
  <c r="Y142" i="1"/>
  <c r="V142" i="1"/>
  <c r="S142" i="1"/>
  <c r="AG106" i="1" l="1"/>
  <c r="Y114" i="1"/>
  <c r="V114" i="1"/>
  <c r="S114" i="1"/>
  <c r="AB78" i="1" l="1"/>
  <c r="Y78" i="1"/>
  <c r="V78" i="1"/>
  <c r="S78" i="1"/>
  <c r="AE78" i="1" l="1"/>
  <c r="AG78" i="1" s="1"/>
  <c r="N78" i="1"/>
  <c r="O78" i="1"/>
  <c r="E78" i="1"/>
  <c r="F78" i="1"/>
  <c r="M78" i="1" l="1"/>
  <c r="Y105" i="1"/>
  <c r="V105" i="1"/>
  <c r="S105" i="1"/>
  <c r="AE105" i="1" l="1"/>
  <c r="AG105" i="1" s="1"/>
  <c r="M105" i="1" l="1"/>
  <c r="AK380" i="1"/>
  <c r="AJ380" i="1"/>
  <c r="AJ347" i="1"/>
  <c r="AJ266" i="1"/>
  <c r="AJ298" i="1"/>
  <c r="AJ236" i="1"/>
  <c r="AK99" i="1"/>
  <c r="AJ99" i="1"/>
  <c r="AK196" i="1"/>
  <c r="AJ196" i="1"/>
  <c r="AK28" i="1"/>
  <c r="AJ28" i="1"/>
  <c r="AK7" i="1"/>
  <c r="AJ7" i="1"/>
  <c r="AK23" i="1"/>
  <c r="AJ23" i="1"/>
  <c r="AK138" i="1"/>
  <c r="AJ138" i="1"/>
  <c r="AK317" i="1"/>
  <c r="AK373" i="1"/>
  <c r="AK302" i="1"/>
  <c r="AJ302" i="1"/>
  <c r="AK315" i="1"/>
  <c r="AJ315" i="1"/>
  <c r="AK374" i="1"/>
  <c r="AJ156" i="1"/>
  <c r="AK200" i="1"/>
  <c r="AK40" i="1"/>
  <c r="AJ40" i="1"/>
  <c r="AK10" i="1"/>
  <c r="AJ10" i="1"/>
  <c r="AK151" i="1"/>
  <c r="AJ151" i="1"/>
  <c r="AB80" i="1" l="1"/>
  <c r="Y80" i="1"/>
  <c r="V80" i="1"/>
  <c r="S80" i="1"/>
  <c r="AE80" i="1" l="1"/>
  <c r="M80" i="1" s="1"/>
  <c r="AH407" i="1"/>
  <c r="AH409" i="1" s="1"/>
  <c r="AH413" i="1" s="1"/>
  <c r="AI407" i="1"/>
  <c r="Y407" i="1"/>
  <c r="AB407" i="1"/>
  <c r="V407" i="1"/>
  <c r="S407" i="1"/>
  <c r="AH411" i="1" l="1"/>
  <c r="AH412" i="1"/>
  <c r="AH415" i="1" s="1"/>
  <c r="AH417" i="1" s="1"/>
  <c r="AH419" i="1" s="1"/>
  <c r="AH422" i="1" s="1"/>
  <c r="AH408" i="1"/>
  <c r="AH410" i="1" s="1"/>
  <c r="AH414" i="1" s="1"/>
  <c r="AH416" i="1" s="1"/>
  <c r="AH418" i="1" s="1"/>
  <c r="AH421" i="1" s="1"/>
  <c r="AG80" i="1"/>
  <c r="AE407" i="1"/>
  <c r="M407" i="1" s="1"/>
  <c r="AG407" i="1" l="1"/>
  <c r="AB77" i="1"/>
  <c r="Y77" i="1"/>
  <c r="V77" i="1"/>
  <c r="S77" i="1"/>
  <c r="AB221" i="1"/>
  <c r="Y221" i="1"/>
  <c r="V221" i="1"/>
  <c r="S221" i="1"/>
  <c r="AB220" i="1"/>
  <c r="Y220" i="1"/>
  <c r="V220" i="1"/>
  <c r="S220" i="1"/>
  <c r="AE77" i="1" l="1"/>
  <c r="M77" i="1" s="1"/>
  <c r="AE221" i="1"/>
  <c r="M221" i="1" s="1"/>
  <c r="AE220" i="1"/>
  <c r="AG220" i="1" s="1"/>
  <c r="M220" i="1" l="1"/>
  <c r="AG77" i="1"/>
  <c r="AG221" i="1"/>
  <c r="V406" i="1"/>
  <c r="AB406" i="1" l="1"/>
  <c r="Y406" i="1"/>
  <c r="S406" i="1"/>
  <c r="AE406" i="1" l="1"/>
  <c r="AG406" i="1" s="1"/>
  <c r="S361" i="1"/>
  <c r="M406" i="1" l="1"/>
  <c r="AB53" i="1"/>
  <c r="Y53" i="1"/>
  <c r="V53" i="1"/>
  <c r="S53" i="1"/>
  <c r="M53" i="1" l="1"/>
  <c r="AB405" i="1"/>
  <c r="Y405" i="1"/>
  <c r="V405" i="1"/>
  <c r="S405" i="1"/>
  <c r="AG53" i="1" l="1"/>
  <c r="AE405" i="1"/>
  <c r="M405" i="1" s="1"/>
  <c r="AB126" i="1"/>
  <c r="Y126" i="1"/>
  <c r="S126" i="1"/>
  <c r="V126" i="1"/>
  <c r="AG405" i="1" l="1"/>
  <c r="AE126" i="1"/>
  <c r="M126" i="1" s="1"/>
  <c r="AG126" i="1" l="1"/>
  <c r="AJ312" i="1"/>
  <c r="AJ268" i="1"/>
  <c r="AK312" i="1"/>
  <c r="AJ368" i="1"/>
  <c r="AK368" i="1" l="1"/>
  <c r="AK357" i="1"/>
  <c r="AJ357" i="1"/>
  <c r="AJ377" i="1"/>
  <c r="AK18" i="1"/>
  <c r="AJ18" i="1"/>
  <c r="AK199" i="1"/>
  <c r="AJ199" i="1"/>
  <c r="AJ255" i="1"/>
  <c r="AJ260" i="1"/>
  <c r="AJ241" i="1"/>
  <c r="AJ224" i="1"/>
  <c r="Y149" i="1" l="1"/>
  <c r="AB21" i="1" l="1"/>
  <c r="Y21" i="1"/>
  <c r="V21" i="1"/>
  <c r="S21" i="1"/>
  <c r="AE21" i="1" l="1"/>
  <c r="AG21" i="1" s="1"/>
  <c r="AB307" i="1"/>
  <c r="Y307" i="1"/>
  <c r="S307" i="1"/>
  <c r="V307" i="1"/>
  <c r="M21" i="1" l="1"/>
  <c r="AJ309" i="1"/>
  <c r="AJ246" i="1"/>
  <c r="AK178" i="1"/>
  <c r="AJ178" i="1"/>
  <c r="AK150" i="1"/>
  <c r="AJ150" i="1"/>
  <c r="AK186" i="1" l="1"/>
  <c r="AJ186" i="1"/>
  <c r="AB132" i="1" l="1"/>
  <c r="AB133" i="1"/>
  <c r="Y133" i="1"/>
  <c r="S133" i="1"/>
  <c r="V133" i="1"/>
  <c r="AE133" i="1" l="1"/>
  <c r="AG133" i="1" s="1"/>
  <c r="Y174" i="1"/>
  <c r="M133" i="1" l="1"/>
  <c r="Y195" i="1"/>
  <c r="V195" i="1"/>
  <c r="S195" i="1"/>
  <c r="AE195" i="1" l="1"/>
  <c r="AG195" i="1" s="1"/>
  <c r="Y120" i="1"/>
  <c r="V120" i="1"/>
  <c r="S120" i="1"/>
  <c r="AB400" i="1"/>
  <c r="V400" i="1"/>
  <c r="S400" i="1"/>
  <c r="M195" i="1" l="1"/>
  <c r="AE400" i="1"/>
  <c r="AG400" i="1" s="1"/>
  <c r="Y183" i="1"/>
  <c r="M400" i="1" l="1"/>
  <c r="AB219" i="1"/>
  <c r="Y219" i="1"/>
  <c r="V219" i="1"/>
  <c r="S219" i="1"/>
  <c r="AE219" i="1" l="1"/>
  <c r="AG219" i="1" s="1"/>
  <c r="AC218" i="1"/>
  <c r="AB16" i="1"/>
  <c r="Y16" i="1"/>
  <c r="V16" i="1"/>
  <c r="S16" i="1"/>
  <c r="M219" i="1" l="1"/>
  <c r="AE16" i="1"/>
  <c r="AG16" i="1" s="1"/>
  <c r="AB201" i="1"/>
  <c r="Y201" i="1"/>
  <c r="V201" i="1"/>
  <c r="S201" i="1"/>
  <c r="M16" i="1" l="1"/>
  <c r="AE201" i="1"/>
  <c r="AG201" i="1" s="1"/>
  <c r="M201" i="1" l="1"/>
  <c r="AB15" i="1"/>
  <c r="Y15" i="1"/>
  <c r="V15" i="1"/>
  <c r="S15" i="1"/>
  <c r="AE15" i="1" l="1"/>
  <c r="M15" i="1" s="1"/>
  <c r="AB184" i="1"/>
  <c r="Y184" i="1"/>
  <c r="Y179" i="1"/>
  <c r="V183" i="1"/>
  <c r="V184" i="1"/>
  <c r="S184" i="1"/>
  <c r="S181" i="1"/>
  <c r="AG15" i="1" l="1"/>
  <c r="AB183" i="1"/>
  <c r="S183" i="1"/>
  <c r="S182" i="1"/>
  <c r="AE184" i="1"/>
  <c r="M184" i="1" s="1"/>
  <c r="AG184" i="1" l="1"/>
  <c r="AE183" i="1"/>
  <c r="AG183" i="1" s="1"/>
  <c r="Y152" i="1"/>
  <c r="M183" i="1" l="1"/>
  <c r="AB216" i="1"/>
  <c r="Y216" i="1"/>
  <c r="V216" i="1"/>
  <c r="S216" i="1"/>
  <c r="AB215" i="1"/>
  <c r="Y215" i="1"/>
  <c r="V215" i="1"/>
  <c r="S215" i="1"/>
  <c r="AE215" i="1" l="1"/>
  <c r="AG215" i="1" s="1"/>
  <c r="AE216" i="1"/>
  <c r="AG216" i="1" s="1"/>
  <c r="AB104" i="1"/>
  <c r="M216" i="1" l="1"/>
  <c r="M215" i="1"/>
  <c r="AB404" i="1"/>
  <c r="Y404" i="1"/>
  <c r="V404" i="1"/>
  <c r="S404" i="1"/>
  <c r="AB403" i="1"/>
  <c r="Y403" i="1"/>
  <c r="V403" i="1"/>
  <c r="S403" i="1"/>
  <c r="AE404" i="1" l="1"/>
  <c r="AE403" i="1"/>
  <c r="M403" i="1" s="1"/>
  <c r="M404" i="1" l="1"/>
  <c r="AG404" i="1"/>
  <c r="AG403" i="1"/>
  <c r="AJ254" i="1"/>
  <c r="AJ353" i="1" l="1"/>
  <c r="AJ264" i="1"/>
  <c r="AJ222" i="1" l="1"/>
  <c r="Y94" i="1" l="1"/>
  <c r="AB214" i="1" l="1"/>
  <c r="AB217" i="1"/>
  <c r="AB218" i="1"/>
  <c r="Y214" i="1"/>
  <c r="Y217" i="1"/>
  <c r="Y218" i="1"/>
  <c r="V217" i="1"/>
  <c r="V218" i="1"/>
  <c r="V214" i="1"/>
  <c r="S217" i="1"/>
  <c r="S218" i="1"/>
  <c r="S214" i="1"/>
  <c r="AE217" i="1" l="1"/>
  <c r="M217" i="1" s="1"/>
  <c r="AE218" i="1"/>
  <c r="AG218" i="1" s="1"/>
  <c r="AE214" i="1"/>
  <c r="M214" i="1" s="1"/>
  <c r="M218" i="1" l="1"/>
  <c r="AG214" i="1"/>
  <c r="AG217" i="1"/>
  <c r="AB213" i="1" l="1"/>
  <c r="Y213" i="1"/>
  <c r="V213" i="1"/>
  <c r="S213" i="1"/>
  <c r="AE213" i="1" l="1"/>
  <c r="V402" i="1"/>
  <c r="AB402" i="1"/>
  <c r="Y402" i="1"/>
  <c r="S402" i="1"/>
  <c r="M213" i="1" l="1"/>
  <c r="AG213" i="1"/>
  <c r="AE402" i="1"/>
  <c r="AG402" i="1" s="1"/>
  <c r="M402" i="1" l="1"/>
  <c r="AB14" i="1"/>
  <c r="Y14" i="1"/>
  <c r="V14" i="1"/>
  <c r="S14" i="1"/>
  <c r="AE14" i="1" l="1"/>
  <c r="M14" i="1" s="1"/>
  <c r="AG14" i="1" l="1"/>
  <c r="AJ35" i="1"/>
  <c r="S241" i="1" l="1"/>
  <c r="S111" i="1" l="1"/>
  <c r="AB26" i="1" l="1"/>
  <c r="Y26" i="1"/>
  <c r="V26" i="1"/>
  <c r="S26" i="1"/>
  <c r="AE26" i="1" l="1"/>
  <c r="M26" i="1" s="1"/>
  <c r="AG26" i="1" l="1"/>
  <c r="AJ335" i="1" l="1"/>
  <c r="AJ259" i="1"/>
  <c r="AJ258" i="1"/>
  <c r="AK82" i="1" l="1"/>
  <c r="AJ82" i="1"/>
  <c r="AJ338" i="1"/>
  <c r="AB69" i="1" l="1"/>
  <c r="AB13" i="1" l="1"/>
  <c r="Y13" i="1"/>
  <c r="V13" i="1"/>
  <c r="S13" i="1"/>
  <c r="AE13" i="1" l="1"/>
  <c r="M13" i="1" s="1"/>
  <c r="AB179" i="1"/>
  <c r="V179" i="1"/>
  <c r="S179" i="1"/>
  <c r="AG13" i="1" l="1"/>
  <c r="AE179" i="1"/>
  <c r="M179" i="1" s="1"/>
  <c r="Y146" i="1"/>
  <c r="Y156" i="1"/>
  <c r="AG179" i="1" l="1"/>
  <c r="AB173" i="1"/>
  <c r="V116" i="1"/>
  <c r="S116" i="1"/>
  <c r="AB395" i="1" l="1"/>
  <c r="AB396" i="1"/>
  <c r="Y395" i="1"/>
  <c r="Y396" i="1"/>
  <c r="Y397" i="1"/>
  <c r="V395" i="1"/>
  <c r="V396" i="1"/>
  <c r="V397" i="1"/>
  <c r="S395" i="1"/>
  <c r="S396" i="1"/>
  <c r="S397" i="1"/>
  <c r="AE395" i="1" l="1"/>
  <c r="M395" i="1" s="1"/>
  <c r="AE397" i="1"/>
  <c r="AG397" i="1" s="1"/>
  <c r="AE396" i="1"/>
  <c r="AG396" i="1" s="1"/>
  <c r="M397" i="1" l="1"/>
  <c r="M396" i="1"/>
  <c r="AG395" i="1"/>
  <c r="Y173" i="1"/>
  <c r="V173" i="1"/>
  <c r="S173" i="1"/>
  <c r="AE173" i="1" l="1"/>
  <c r="M173" i="1" s="1"/>
  <c r="V394" i="1"/>
  <c r="AG173" i="1" l="1"/>
  <c r="Y132" i="1"/>
  <c r="V132" i="1"/>
  <c r="S132" i="1"/>
  <c r="AE132" i="1" l="1"/>
  <c r="M132" i="1" s="1"/>
  <c r="AG132" i="1" l="1"/>
  <c r="AB156" i="1" l="1"/>
  <c r="V156" i="1"/>
  <c r="S156" i="1"/>
  <c r="AB152" i="1"/>
  <c r="V152" i="1"/>
  <c r="S152" i="1"/>
  <c r="AB122" i="1"/>
  <c r="AB123" i="1"/>
  <c r="Y122" i="1"/>
  <c r="Y123" i="1"/>
  <c r="V122" i="1"/>
  <c r="V123" i="1"/>
  <c r="S122" i="1"/>
  <c r="S123" i="1"/>
  <c r="Y116" i="1"/>
  <c r="Y115" i="1"/>
  <c r="AB116" i="1"/>
  <c r="AB111" i="1"/>
  <c r="AB110" i="1"/>
  <c r="AB109" i="1"/>
  <c r="AB108" i="1"/>
  <c r="Y110" i="1"/>
  <c r="Y111" i="1"/>
  <c r="V111" i="1"/>
  <c r="V110" i="1"/>
  <c r="S110" i="1"/>
  <c r="Y104" i="1"/>
  <c r="V104" i="1"/>
  <c r="S104" i="1"/>
  <c r="AB92" i="1"/>
  <c r="Y92" i="1"/>
  <c r="V92" i="1"/>
  <c r="S92" i="1"/>
  <c r="AB76" i="1"/>
  <c r="Y76" i="1"/>
  <c r="V76" i="1"/>
  <c r="S76" i="1"/>
  <c r="AB52" i="1"/>
  <c r="Y52" i="1"/>
  <c r="V52" i="1"/>
  <c r="S52" i="1"/>
  <c r="AB30" i="1"/>
  <c r="Y30" i="1"/>
  <c r="S30" i="1"/>
  <c r="V30" i="1"/>
  <c r="AE152" i="1" l="1"/>
  <c r="M152" i="1" s="1"/>
  <c r="AE104" i="1"/>
  <c r="AG104" i="1" s="1"/>
  <c r="AE92" i="1"/>
  <c r="AG92" i="1" s="1"/>
  <c r="AE116" i="1"/>
  <c r="M116" i="1" s="1"/>
  <c r="AE122" i="1"/>
  <c r="AG122" i="1" s="1"/>
  <c r="AE52" i="1"/>
  <c r="AG52" i="1" s="1"/>
  <c r="AE123" i="1"/>
  <c r="AG123" i="1" s="1"/>
  <c r="AE156" i="1"/>
  <c r="M156" i="1" s="1"/>
  <c r="AE76" i="1"/>
  <c r="AG76" i="1" s="1"/>
  <c r="AE110" i="1"/>
  <c r="M110" i="1" s="1"/>
  <c r="AE111" i="1"/>
  <c r="M111" i="1" s="1"/>
  <c r="AE30" i="1"/>
  <c r="M30" i="1" s="1"/>
  <c r="M122" i="1" l="1"/>
  <c r="M76" i="1"/>
  <c r="M92" i="1"/>
  <c r="M104" i="1"/>
  <c r="M123" i="1"/>
  <c r="M52" i="1"/>
  <c r="AG110" i="1"/>
  <c r="AG156" i="1"/>
  <c r="AG30" i="1"/>
  <c r="AG116" i="1"/>
  <c r="AG152" i="1"/>
  <c r="AG111" i="1"/>
  <c r="AB51" i="1" l="1"/>
  <c r="Y51" i="1"/>
  <c r="V51" i="1"/>
  <c r="S51" i="1"/>
  <c r="AE51" i="1" l="1"/>
  <c r="M51" i="1" s="1"/>
  <c r="AG51" i="1" l="1"/>
  <c r="AB91" i="1"/>
  <c r="Y91" i="1"/>
  <c r="V91" i="1"/>
  <c r="S91" i="1"/>
  <c r="AE91" i="1" l="1"/>
  <c r="M91" i="1" s="1"/>
  <c r="AG91" i="1" l="1"/>
  <c r="Y103" i="1"/>
  <c r="V103" i="1"/>
  <c r="S103" i="1"/>
  <c r="AE103" i="1" l="1"/>
  <c r="M103" i="1" s="1"/>
  <c r="AG103" i="1" l="1"/>
  <c r="AB341" i="1" l="1"/>
  <c r="AB207" i="1" l="1"/>
  <c r="AB208" i="1"/>
  <c r="AB209" i="1"/>
  <c r="Y206" i="1"/>
  <c r="Y207" i="1"/>
  <c r="Y208" i="1"/>
  <c r="Y209" i="1"/>
  <c r="V206" i="1"/>
  <c r="V207" i="1"/>
  <c r="V208" i="1"/>
  <c r="V209" i="1"/>
  <c r="S207" i="1"/>
  <c r="S208" i="1"/>
  <c r="S209" i="1"/>
  <c r="S206" i="1"/>
  <c r="AE209" i="1" l="1"/>
  <c r="AG209" i="1" s="1"/>
  <c r="AE208" i="1"/>
  <c r="M208" i="1" s="1"/>
  <c r="AE207" i="1"/>
  <c r="M207" i="1" s="1"/>
  <c r="M209" i="1" l="1"/>
  <c r="AG207" i="1"/>
  <c r="AG208" i="1"/>
  <c r="AB121" i="1"/>
  <c r="Y121" i="1"/>
  <c r="V121" i="1"/>
  <c r="S121" i="1"/>
  <c r="AB120" i="1"/>
  <c r="AE120" i="1" s="1"/>
  <c r="M120" i="1" s="1"/>
  <c r="AE121" i="1" l="1"/>
  <c r="AG121" i="1" s="1"/>
  <c r="AG120" i="1"/>
  <c r="M121" i="1" l="1"/>
  <c r="Y109" i="1"/>
  <c r="V109" i="1"/>
  <c r="S109" i="1"/>
  <c r="AE109" i="1" l="1"/>
  <c r="M109" i="1" s="1"/>
  <c r="Y69" i="1"/>
  <c r="V69" i="1"/>
  <c r="S69" i="1"/>
  <c r="AE69" i="1" l="1"/>
  <c r="M69" i="1" s="1"/>
  <c r="AG109" i="1"/>
  <c r="AG69" i="1" l="1"/>
  <c r="AB212" i="1"/>
  <c r="Y212" i="1"/>
  <c r="V212" i="1"/>
  <c r="S212" i="1"/>
  <c r="AE212" i="1" l="1"/>
  <c r="M212" i="1" s="1"/>
  <c r="AG212" i="1" l="1"/>
  <c r="Y172" i="1"/>
  <c r="S172" i="1"/>
  <c r="Y68" i="1" l="1"/>
  <c r="V68" i="1"/>
  <c r="S68" i="1"/>
  <c r="AE68" i="1" l="1"/>
  <c r="M68" i="1" s="1"/>
  <c r="AB391" i="1"/>
  <c r="Y391" i="1"/>
  <c r="S159" i="1" l="1"/>
  <c r="V159" i="1"/>
  <c r="AB161" i="1" l="1"/>
  <c r="AB159" i="1"/>
  <c r="Y161" i="1"/>
  <c r="Y159" i="1"/>
  <c r="V161" i="1"/>
  <c r="S161" i="1"/>
  <c r="AE159" i="1" l="1"/>
  <c r="M159" i="1" s="1"/>
  <c r="AE161" i="1"/>
  <c r="M161" i="1" s="1"/>
  <c r="AG159" i="1" l="1"/>
  <c r="AG161" i="1"/>
  <c r="AG68" i="1"/>
  <c r="Y75" i="1"/>
  <c r="V75" i="1"/>
  <c r="S75" i="1"/>
  <c r="S74" i="1"/>
  <c r="AB388" i="1"/>
  <c r="Y388" i="1"/>
  <c r="S388" i="1"/>
  <c r="AB114" i="1" l="1"/>
  <c r="AE114" i="1" s="1"/>
  <c r="M114" i="1" s="1"/>
  <c r="AB193" i="1"/>
  <c r="Y193" i="1"/>
  <c r="V193" i="1"/>
  <c r="S193" i="1"/>
  <c r="AB192" i="1"/>
  <c r="Y192" i="1"/>
  <c r="V192" i="1"/>
  <c r="S192" i="1"/>
  <c r="AE193" i="1" l="1"/>
  <c r="AG193" i="1" s="1"/>
  <c r="AE192" i="1"/>
  <c r="M192" i="1" s="1"/>
  <c r="AG114" i="1"/>
  <c r="M193" i="1" l="1"/>
  <c r="AG192" i="1"/>
  <c r="Y385" i="1" l="1"/>
  <c r="AB399" i="1"/>
  <c r="AB398" i="1"/>
  <c r="AB394" i="1"/>
  <c r="AB393" i="1"/>
  <c r="AB392" i="1"/>
  <c r="AB390" i="1"/>
  <c r="AB389" i="1"/>
  <c r="AB387" i="1"/>
  <c r="Y399" i="1"/>
  <c r="Y398" i="1"/>
  <c r="Y394" i="1"/>
  <c r="Y393" i="1"/>
  <c r="Y392" i="1"/>
  <c r="Y390" i="1"/>
  <c r="Y389" i="1"/>
  <c r="Y387" i="1"/>
  <c r="V399" i="1"/>
  <c r="V398" i="1"/>
  <c r="V393" i="1"/>
  <c r="V392" i="1"/>
  <c r="V391" i="1"/>
  <c r="V390" i="1"/>
  <c r="V389" i="1"/>
  <c r="V388" i="1"/>
  <c r="V387" i="1"/>
  <c r="S399" i="1"/>
  <c r="S398" i="1"/>
  <c r="S394" i="1"/>
  <c r="S393" i="1"/>
  <c r="S392" i="1"/>
  <c r="S391" i="1"/>
  <c r="S390" i="1"/>
  <c r="S389" i="1"/>
  <c r="S387" i="1"/>
  <c r="AB386" i="1"/>
  <c r="Y386" i="1"/>
  <c r="V386" i="1"/>
  <c r="S386" i="1"/>
  <c r="AB385" i="1"/>
  <c r="V385" i="1"/>
  <c r="S385" i="1"/>
  <c r="V211" i="1"/>
  <c r="AB60" i="1"/>
  <c r="AB59" i="1"/>
  <c r="Y60" i="1"/>
  <c r="Y59" i="1"/>
  <c r="V60" i="1"/>
  <c r="V59" i="1"/>
  <c r="S59" i="1"/>
  <c r="AE389" i="1" l="1"/>
  <c r="AG389" i="1" s="1"/>
  <c r="AE392" i="1"/>
  <c r="AG392" i="1" s="1"/>
  <c r="AE399" i="1"/>
  <c r="AG399" i="1" s="1"/>
  <c r="AE385" i="1"/>
  <c r="M385" i="1" s="1"/>
  <c r="AE59" i="1"/>
  <c r="M59" i="1" s="1"/>
  <c r="AE386" i="1"/>
  <c r="M386" i="1" s="1"/>
  <c r="AE393" i="1"/>
  <c r="AG393" i="1" s="1"/>
  <c r="AE60" i="1"/>
  <c r="M60" i="1" s="1"/>
  <c r="AE388" i="1"/>
  <c r="M388" i="1" s="1"/>
  <c r="AE391" i="1"/>
  <c r="AG391" i="1" s="1"/>
  <c r="AE398" i="1"/>
  <c r="AG398" i="1" s="1"/>
  <c r="AE387" i="1"/>
  <c r="AG387" i="1" s="1"/>
  <c r="AE390" i="1"/>
  <c r="AG390" i="1" s="1"/>
  <c r="AE394" i="1"/>
  <c r="M394" i="1" s="1"/>
  <c r="M392" i="1" l="1"/>
  <c r="M390" i="1"/>
  <c r="M391" i="1"/>
  <c r="M398" i="1"/>
  <c r="M389" i="1"/>
  <c r="M387" i="1"/>
  <c r="M393" i="1"/>
  <c r="M399" i="1"/>
  <c r="AG60" i="1"/>
  <c r="AG394" i="1"/>
  <c r="AG59" i="1"/>
  <c r="AG388" i="1"/>
  <c r="AG385" i="1"/>
  <c r="AG386" i="1"/>
  <c r="AB382" i="1"/>
  <c r="Y382" i="1"/>
  <c r="V382" i="1"/>
  <c r="S382" i="1"/>
  <c r="V383" i="1" l="1"/>
  <c r="S377" i="1" l="1"/>
  <c r="S374" i="1" l="1"/>
  <c r="AB401" i="1" l="1"/>
  <c r="Y401" i="1"/>
  <c r="V401" i="1"/>
  <c r="S401" i="1"/>
  <c r="AE401" i="1" l="1"/>
  <c r="M401" i="1" s="1"/>
  <c r="AG401" i="1" l="1"/>
  <c r="S160" i="1"/>
  <c r="Y108" i="1" l="1"/>
  <c r="AB364" i="1" l="1"/>
  <c r="Y364" i="1"/>
  <c r="V364" i="1"/>
  <c r="S364" i="1"/>
  <c r="AE364" i="1" l="1"/>
  <c r="AG364" i="1" s="1"/>
  <c r="Y178" i="1"/>
  <c r="M364" i="1" l="1"/>
  <c r="AB101" i="1"/>
  <c r="Y101" i="1"/>
  <c r="V101" i="1"/>
  <c r="S101" i="1"/>
  <c r="AE101" i="1" l="1"/>
  <c r="M101" i="1" s="1"/>
  <c r="AG101" i="1" l="1"/>
  <c r="Y186" i="1"/>
  <c r="AB211" i="1"/>
  <c r="Y211" i="1"/>
  <c r="S211" i="1"/>
  <c r="AD358" i="1" l="1"/>
  <c r="AC358" i="1"/>
  <c r="X358" i="1"/>
  <c r="W358" i="1"/>
  <c r="U358" i="1"/>
  <c r="T358" i="1"/>
  <c r="Y28" i="1" l="1"/>
  <c r="V28" i="1"/>
  <c r="S28" i="1"/>
  <c r="AE28" i="1" l="1"/>
  <c r="M28" i="1" s="1"/>
  <c r="Y141" i="1"/>
  <c r="V141" i="1"/>
  <c r="S141" i="1"/>
  <c r="AG28" i="1" l="1"/>
  <c r="AE141" i="1"/>
  <c r="M141" i="1" s="1"/>
  <c r="AG141" i="1" l="1"/>
  <c r="AB131" i="1" l="1"/>
  <c r="T131" i="1"/>
  <c r="Y67" i="1" l="1"/>
  <c r="S67" i="1"/>
  <c r="AB100" i="1"/>
  <c r="Y100" i="1"/>
  <c r="V100" i="1"/>
  <c r="S100" i="1"/>
  <c r="AE100" i="1" l="1"/>
  <c r="M100" i="1" s="1"/>
  <c r="S145" i="1"/>
  <c r="AG100" i="1" l="1"/>
  <c r="Y151" i="1" l="1"/>
  <c r="AB357" i="1" l="1"/>
  <c r="AB358" i="1"/>
  <c r="AB359" i="1"/>
  <c r="AB360" i="1"/>
  <c r="AB361" i="1"/>
  <c r="AB362" i="1"/>
  <c r="AB363" i="1"/>
  <c r="AB365" i="1"/>
  <c r="AB366" i="1"/>
  <c r="AB367" i="1"/>
  <c r="AB368" i="1"/>
  <c r="AB160" i="1"/>
  <c r="AB369" i="1"/>
  <c r="AB370" i="1"/>
  <c r="AB371" i="1"/>
  <c r="AB372" i="1"/>
  <c r="AB373" i="1"/>
  <c r="AB374" i="1"/>
  <c r="AB375" i="1"/>
  <c r="AB376" i="1"/>
  <c r="AB377" i="1"/>
  <c r="AB378" i="1"/>
  <c r="AB379" i="1"/>
  <c r="AB380" i="1"/>
  <c r="AB381" i="1"/>
  <c r="AB383" i="1"/>
  <c r="Y357" i="1"/>
  <c r="Y358" i="1"/>
  <c r="Y359" i="1"/>
  <c r="Y360" i="1"/>
  <c r="Y361" i="1"/>
  <c r="Y362" i="1"/>
  <c r="Y363" i="1"/>
  <c r="Y365" i="1"/>
  <c r="Y366" i="1"/>
  <c r="Y367" i="1"/>
  <c r="Y368" i="1"/>
  <c r="Y160" i="1"/>
  <c r="Y369" i="1"/>
  <c r="Y370" i="1"/>
  <c r="Y371" i="1"/>
  <c r="Y372" i="1"/>
  <c r="Y373" i="1"/>
  <c r="Y374" i="1"/>
  <c r="Y375" i="1"/>
  <c r="Y376" i="1"/>
  <c r="Y377" i="1"/>
  <c r="Y378" i="1"/>
  <c r="Y379" i="1"/>
  <c r="Y380" i="1"/>
  <c r="Y381" i="1"/>
  <c r="Y383" i="1"/>
  <c r="V357" i="1"/>
  <c r="V358" i="1"/>
  <c r="V359" i="1"/>
  <c r="V360" i="1"/>
  <c r="V361" i="1"/>
  <c r="V362" i="1"/>
  <c r="V363" i="1"/>
  <c r="V365" i="1"/>
  <c r="V366" i="1"/>
  <c r="V367" i="1"/>
  <c r="V368" i="1"/>
  <c r="V160" i="1"/>
  <c r="V369" i="1"/>
  <c r="V370" i="1"/>
  <c r="V371" i="1"/>
  <c r="V372" i="1"/>
  <c r="V373" i="1"/>
  <c r="V374" i="1"/>
  <c r="V375" i="1"/>
  <c r="V376" i="1"/>
  <c r="V377" i="1"/>
  <c r="V378" i="1"/>
  <c r="V379" i="1"/>
  <c r="V380" i="1"/>
  <c r="V381" i="1"/>
  <c r="S357" i="1"/>
  <c r="S358" i="1"/>
  <c r="S359" i="1"/>
  <c r="S360" i="1"/>
  <c r="S362" i="1"/>
  <c r="S363" i="1"/>
  <c r="S365" i="1"/>
  <c r="S366" i="1"/>
  <c r="S367" i="1"/>
  <c r="S368" i="1"/>
  <c r="S369" i="1"/>
  <c r="S370" i="1"/>
  <c r="S371" i="1"/>
  <c r="S372" i="1"/>
  <c r="S373" i="1"/>
  <c r="S375" i="1"/>
  <c r="S376" i="1"/>
  <c r="S379" i="1"/>
  <c r="S380" i="1"/>
  <c r="S381" i="1"/>
  <c r="S383" i="1"/>
  <c r="AE383" i="1" l="1"/>
  <c r="AG383" i="1" s="1"/>
  <c r="AE379" i="1"/>
  <c r="M379" i="1" s="1"/>
  <c r="AE375" i="1"/>
  <c r="M375" i="1" s="1"/>
  <c r="AE371" i="1"/>
  <c r="AG371" i="1" s="1"/>
  <c r="AE368" i="1"/>
  <c r="AG368" i="1" s="1"/>
  <c r="AE361" i="1"/>
  <c r="M361" i="1" s="1"/>
  <c r="AE357" i="1"/>
  <c r="AG357" i="1" s="1"/>
  <c r="AE380" i="1"/>
  <c r="AG380" i="1" s="1"/>
  <c r="AE376" i="1"/>
  <c r="AG376" i="1" s="1"/>
  <c r="AE372" i="1"/>
  <c r="AG372" i="1" s="1"/>
  <c r="AE160" i="1"/>
  <c r="M160" i="1" s="1"/>
  <c r="AE365" i="1"/>
  <c r="AG365" i="1" s="1"/>
  <c r="AE358" i="1"/>
  <c r="AG358" i="1" s="1"/>
  <c r="AE381" i="1"/>
  <c r="AG381" i="1" s="1"/>
  <c r="AE377" i="1"/>
  <c r="M377" i="1" s="1"/>
  <c r="AE373" i="1"/>
  <c r="AG373" i="1" s="1"/>
  <c r="AE369" i="1"/>
  <c r="AG369" i="1" s="1"/>
  <c r="AE366" i="1"/>
  <c r="AG366" i="1" s="1"/>
  <c r="AE362" i="1"/>
  <c r="AG362" i="1" s="1"/>
  <c r="AE359" i="1"/>
  <c r="AG359" i="1" s="1"/>
  <c r="AE382" i="1"/>
  <c r="M382" i="1" s="1"/>
  <c r="AE378" i="1"/>
  <c r="M378" i="1" s="1"/>
  <c r="AE374" i="1"/>
  <c r="M374" i="1" s="1"/>
  <c r="AE370" i="1"/>
  <c r="AG370" i="1" s="1"/>
  <c r="AE367" i="1"/>
  <c r="AG367" i="1" s="1"/>
  <c r="AE363" i="1"/>
  <c r="AG363" i="1" s="1"/>
  <c r="AE360" i="1"/>
  <c r="AG360" i="1" s="1"/>
  <c r="Z140" i="1"/>
  <c r="W140" i="1"/>
  <c r="T140" i="1"/>
  <c r="M373" i="1" l="1"/>
  <c r="M369" i="1"/>
  <c r="M371" i="1"/>
  <c r="M381" i="1"/>
  <c r="M370" i="1"/>
  <c r="M359" i="1"/>
  <c r="M367" i="1"/>
  <c r="M360" i="1"/>
  <c r="M357" i="1"/>
  <c r="M358" i="1"/>
  <c r="M362" i="1"/>
  <c r="M366" i="1"/>
  <c r="M383" i="1"/>
  <c r="M376" i="1"/>
  <c r="M365" i="1"/>
  <c r="M372" i="1"/>
  <c r="M368" i="1"/>
  <c r="M363" i="1"/>
  <c r="M380" i="1"/>
  <c r="AG377" i="1"/>
  <c r="AG374" i="1"/>
  <c r="AG378" i="1"/>
  <c r="AG160" i="1"/>
  <c r="AG379" i="1"/>
  <c r="AG361" i="1"/>
  <c r="AG375" i="1"/>
  <c r="AG382" i="1"/>
  <c r="Y90" i="1"/>
  <c r="AB349" i="1" l="1"/>
  <c r="Y349" i="1"/>
  <c r="V349" i="1"/>
  <c r="S349" i="1"/>
  <c r="AE349" i="1" l="1"/>
  <c r="AG349" i="1" s="1"/>
  <c r="S347" i="1"/>
  <c r="M349" i="1" l="1"/>
  <c r="AB206" i="1"/>
  <c r="AE206" i="1" s="1"/>
  <c r="M206" i="1" s="1"/>
  <c r="AB39" i="1"/>
  <c r="Y39" i="1"/>
  <c r="V39" i="1"/>
  <c r="S39" i="1"/>
  <c r="AG206" i="1" l="1"/>
  <c r="AE39" i="1"/>
  <c r="M39" i="1" s="1"/>
  <c r="V55" i="1"/>
  <c r="AG39" i="1" l="1"/>
  <c r="AB57" i="1"/>
  <c r="AB58" i="1"/>
  <c r="Y57" i="1"/>
  <c r="Y58" i="1"/>
  <c r="V57" i="1"/>
  <c r="V58" i="1"/>
  <c r="S57" i="1"/>
  <c r="S58" i="1"/>
  <c r="AE58" i="1" l="1"/>
  <c r="AG58" i="1" s="1"/>
  <c r="AE57" i="1"/>
  <c r="V138" i="1"/>
  <c r="M58" i="1" l="1"/>
  <c r="M57" i="1"/>
  <c r="AG57" i="1"/>
  <c r="AE25" i="1"/>
  <c r="M25" i="1" s="1"/>
  <c r="S335" i="1" l="1"/>
  <c r="AB148" i="1" l="1"/>
  <c r="Y148" i="1"/>
  <c r="V148" i="1"/>
  <c r="S148" i="1"/>
  <c r="AE148" i="1" l="1"/>
  <c r="M148" i="1" s="1"/>
  <c r="AG148" i="1" l="1"/>
  <c r="AB340" i="1"/>
  <c r="AB342" i="1"/>
  <c r="AB343" i="1"/>
  <c r="AB344" i="1"/>
  <c r="AB345" i="1"/>
  <c r="AB346" i="1"/>
  <c r="AB347" i="1"/>
  <c r="AB348" i="1"/>
  <c r="Y340" i="1"/>
  <c r="Y341" i="1"/>
  <c r="Y342" i="1"/>
  <c r="Y343" i="1"/>
  <c r="Y344" i="1"/>
  <c r="Y345" i="1"/>
  <c r="Y346" i="1"/>
  <c r="Y347" i="1"/>
  <c r="Y348" i="1"/>
  <c r="V340" i="1"/>
  <c r="V341" i="1"/>
  <c r="V342" i="1"/>
  <c r="V343" i="1"/>
  <c r="V344" i="1"/>
  <c r="V345" i="1"/>
  <c r="V346" i="1"/>
  <c r="V347" i="1"/>
  <c r="V348" i="1"/>
  <c r="S340" i="1"/>
  <c r="S341" i="1"/>
  <c r="S342" i="1"/>
  <c r="S343" i="1"/>
  <c r="S344" i="1"/>
  <c r="S345" i="1"/>
  <c r="S346" i="1"/>
  <c r="S348" i="1"/>
  <c r="AB336" i="1"/>
  <c r="AB337" i="1"/>
  <c r="AB338" i="1"/>
  <c r="AB339" i="1"/>
  <c r="AB350" i="1"/>
  <c r="AB351" i="1"/>
  <c r="AB352" i="1"/>
  <c r="AB353" i="1"/>
  <c r="AB354" i="1"/>
  <c r="AB355" i="1"/>
  <c r="AB356" i="1"/>
  <c r="AB384" i="1"/>
  <c r="Y336" i="1"/>
  <c r="Y337" i="1"/>
  <c r="Y338" i="1"/>
  <c r="Y339" i="1"/>
  <c r="Y350" i="1"/>
  <c r="Y351" i="1"/>
  <c r="Y352" i="1"/>
  <c r="Y353" i="1"/>
  <c r="Y354" i="1"/>
  <c r="V336" i="1"/>
  <c r="V337" i="1"/>
  <c r="V338" i="1"/>
  <c r="V339" i="1"/>
  <c r="V350" i="1"/>
  <c r="V351" i="1"/>
  <c r="V352" i="1"/>
  <c r="V353" i="1"/>
  <c r="V354" i="1"/>
  <c r="V355" i="1"/>
  <c r="S336" i="1"/>
  <c r="S338" i="1"/>
  <c r="S339" i="1"/>
  <c r="S350" i="1"/>
  <c r="S351" i="1"/>
  <c r="S352" i="1"/>
  <c r="S353" i="1"/>
  <c r="S354" i="1"/>
  <c r="Y355" i="1"/>
  <c r="S355" i="1"/>
  <c r="AE343" i="1" l="1"/>
  <c r="M343" i="1" s="1"/>
  <c r="AE347" i="1"/>
  <c r="M347" i="1" s="1"/>
  <c r="AE354" i="1"/>
  <c r="AG354" i="1" s="1"/>
  <c r="AE351" i="1"/>
  <c r="AG351" i="1" s="1"/>
  <c r="AE337" i="1"/>
  <c r="M337" i="1" s="1"/>
  <c r="AE350" i="1"/>
  <c r="AG350" i="1" s="1"/>
  <c r="AE352" i="1"/>
  <c r="AG352" i="1" s="1"/>
  <c r="AE338" i="1"/>
  <c r="AG338" i="1" s="1"/>
  <c r="AE345" i="1"/>
  <c r="AG345" i="1" s="1"/>
  <c r="AE341" i="1"/>
  <c r="AG341" i="1" s="1"/>
  <c r="AE346" i="1"/>
  <c r="AG346" i="1" s="1"/>
  <c r="AE342" i="1"/>
  <c r="M342" i="1" s="1"/>
  <c r="AE336" i="1"/>
  <c r="AG336" i="1" s="1"/>
  <c r="AE355" i="1"/>
  <c r="M355" i="1" s="1"/>
  <c r="AE339" i="1"/>
  <c r="AG339" i="1" s="1"/>
  <c r="AE353" i="1"/>
  <c r="AG353" i="1" s="1"/>
  <c r="AE348" i="1"/>
  <c r="AG348" i="1" s="1"/>
  <c r="AE344" i="1"/>
  <c r="AG344" i="1" s="1"/>
  <c r="AE340" i="1"/>
  <c r="AG340" i="1" s="1"/>
  <c r="M354" i="1" l="1"/>
  <c r="M344" i="1"/>
  <c r="M346" i="1"/>
  <c r="M341" i="1"/>
  <c r="M353" i="1"/>
  <c r="M351" i="1"/>
  <c r="M348" i="1"/>
  <c r="M336" i="1"/>
  <c r="M338" i="1"/>
  <c r="M345" i="1"/>
  <c r="M352" i="1"/>
  <c r="M340" i="1"/>
  <c r="M350" i="1"/>
  <c r="M339" i="1"/>
  <c r="AG337" i="1"/>
  <c r="AG347" i="1"/>
  <c r="AG342" i="1"/>
  <c r="AG343" i="1"/>
  <c r="AG355" i="1"/>
  <c r="AB11" i="1" l="1"/>
  <c r="AB12" i="1"/>
  <c r="Y11" i="1"/>
  <c r="Y12" i="1"/>
  <c r="V11" i="1"/>
  <c r="V12" i="1"/>
  <c r="S11" i="1"/>
  <c r="S12" i="1"/>
  <c r="AE11" i="1" l="1"/>
  <c r="M11" i="1" s="1"/>
  <c r="AE12" i="1"/>
  <c r="M12" i="1" s="1"/>
  <c r="S10" i="1"/>
  <c r="AG12" i="1" l="1"/>
  <c r="AG11" i="1"/>
  <c r="AB329" i="1"/>
  <c r="AB330" i="1"/>
  <c r="AB331" i="1"/>
  <c r="AB332" i="1"/>
  <c r="AB333" i="1"/>
  <c r="AB334" i="1"/>
  <c r="AB335" i="1"/>
  <c r="Y329" i="1"/>
  <c r="Y330" i="1"/>
  <c r="Y331" i="1"/>
  <c r="Y332" i="1"/>
  <c r="Y333" i="1"/>
  <c r="Y334" i="1"/>
  <c r="Y335" i="1"/>
  <c r="V329" i="1"/>
  <c r="V330" i="1"/>
  <c r="V331" i="1"/>
  <c r="V332" i="1"/>
  <c r="V333" i="1"/>
  <c r="V334" i="1"/>
  <c r="V335" i="1"/>
  <c r="S329" i="1"/>
  <c r="S330" i="1"/>
  <c r="S331" i="1"/>
  <c r="S332" i="1"/>
  <c r="S333" i="1"/>
  <c r="S334" i="1"/>
  <c r="AE333" i="1" l="1"/>
  <c r="AG333" i="1" s="1"/>
  <c r="AE335" i="1"/>
  <c r="M335" i="1" s="1"/>
  <c r="AE334" i="1"/>
  <c r="AG334" i="1" s="1"/>
  <c r="AE332" i="1"/>
  <c r="AG332" i="1" s="1"/>
  <c r="AE330" i="1"/>
  <c r="AG330" i="1" s="1"/>
  <c r="AE329" i="1"/>
  <c r="AG329" i="1" s="1"/>
  <c r="AE331" i="1"/>
  <c r="AG331" i="1" s="1"/>
  <c r="S196" i="1"/>
  <c r="M331" i="1" l="1"/>
  <c r="M332" i="1"/>
  <c r="M334" i="1"/>
  <c r="M329" i="1"/>
  <c r="M330" i="1"/>
  <c r="M333" i="1"/>
  <c r="AG335" i="1"/>
  <c r="S327" i="1"/>
  <c r="S229" i="1" l="1"/>
  <c r="S323" i="1" l="1"/>
  <c r="AB196" i="1" l="1"/>
  <c r="Y196" i="1"/>
  <c r="V196" i="1"/>
  <c r="AE196" i="1" l="1"/>
  <c r="M196" i="1" s="1"/>
  <c r="AG196" i="1" l="1"/>
  <c r="AB154" i="1"/>
  <c r="Y154" i="1"/>
  <c r="V154" i="1"/>
  <c r="S154" i="1"/>
  <c r="AE154" i="1" l="1"/>
  <c r="M154" i="1" s="1"/>
  <c r="AB319" i="1"/>
  <c r="AB318" i="1"/>
  <c r="Y318" i="1"/>
  <c r="AG154" i="1" l="1"/>
  <c r="AB199" i="1"/>
  <c r="Y199" i="1"/>
  <c r="V199" i="1"/>
  <c r="S199" i="1"/>
  <c r="AB317" i="1"/>
  <c r="V317" i="1"/>
  <c r="S317" i="1"/>
  <c r="AB320" i="1"/>
  <c r="AB321" i="1"/>
  <c r="AB322" i="1"/>
  <c r="AB323" i="1"/>
  <c r="AB324" i="1"/>
  <c r="AB325" i="1"/>
  <c r="AB326" i="1"/>
  <c r="AB327" i="1"/>
  <c r="AB328" i="1"/>
  <c r="Y319" i="1"/>
  <c r="Y320" i="1"/>
  <c r="Y321" i="1"/>
  <c r="Y322" i="1"/>
  <c r="Y323" i="1"/>
  <c r="Y324" i="1"/>
  <c r="Y325" i="1"/>
  <c r="Y326" i="1"/>
  <c r="Y327" i="1"/>
  <c r="Y328" i="1"/>
  <c r="Y356" i="1"/>
  <c r="Y384" i="1"/>
  <c r="V318" i="1"/>
  <c r="V319" i="1"/>
  <c r="V320" i="1"/>
  <c r="V321" i="1"/>
  <c r="V322" i="1"/>
  <c r="V323" i="1"/>
  <c r="V324" i="1"/>
  <c r="V325" i="1"/>
  <c r="V326" i="1"/>
  <c r="V327" i="1"/>
  <c r="V328" i="1"/>
  <c r="V356" i="1"/>
  <c r="V384" i="1"/>
  <c r="S318" i="1"/>
  <c r="S319" i="1"/>
  <c r="S320" i="1"/>
  <c r="S321" i="1"/>
  <c r="S322" i="1"/>
  <c r="S324" i="1"/>
  <c r="S325" i="1"/>
  <c r="S326" i="1"/>
  <c r="S328" i="1"/>
  <c r="S356" i="1"/>
  <c r="S384" i="1"/>
  <c r="AE325" i="1" l="1"/>
  <c r="AE323" i="1"/>
  <c r="M323" i="1" s="1"/>
  <c r="AE327" i="1"/>
  <c r="M327" i="1" s="1"/>
  <c r="AE328" i="1"/>
  <c r="AG328" i="1" s="1"/>
  <c r="AE321" i="1"/>
  <c r="AG321" i="1" s="1"/>
  <c r="AE319" i="1"/>
  <c r="AG319" i="1" s="1"/>
  <c r="AE324" i="1"/>
  <c r="M324" i="1" s="1"/>
  <c r="AE320" i="1"/>
  <c r="AG320" i="1" s="1"/>
  <c r="AE384" i="1"/>
  <c r="AG384" i="1" s="1"/>
  <c r="AE199" i="1"/>
  <c r="M199" i="1" s="1"/>
  <c r="AE317" i="1"/>
  <c r="AG317" i="1" s="1"/>
  <c r="AE356" i="1"/>
  <c r="AG356" i="1" s="1"/>
  <c r="AE326" i="1"/>
  <c r="AG326" i="1" s="1"/>
  <c r="AE322" i="1"/>
  <c r="AG322" i="1" s="1"/>
  <c r="AE318" i="1"/>
  <c r="M318" i="1" s="1"/>
  <c r="Y316" i="1"/>
  <c r="AB316" i="1"/>
  <c r="V316" i="1"/>
  <c r="S316" i="1"/>
  <c r="M320" i="1" l="1"/>
  <c r="M328" i="1"/>
  <c r="M322" i="1"/>
  <c r="M356" i="1"/>
  <c r="M321" i="1"/>
  <c r="M384" i="1"/>
  <c r="M325" i="1"/>
  <c r="M317" i="1"/>
  <c r="M326" i="1"/>
  <c r="M319" i="1"/>
  <c r="AG327" i="1"/>
  <c r="AG199" i="1"/>
  <c r="AG325" i="1"/>
  <c r="AG324" i="1"/>
  <c r="AG323" i="1"/>
  <c r="AG318" i="1"/>
  <c r="AE316" i="1"/>
  <c r="AG316" i="1" s="1"/>
  <c r="AB315" i="1"/>
  <c r="Y315" i="1"/>
  <c r="V315" i="1"/>
  <c r="S315" i="1"/>
  <c r="M316" i="1" l="1"/>
  <c r="AE315" i="1"/>
  <c r="AG315" i="1" s="1"/>
  <c r="AB300" i="1"/>
  <c r="M315" i="1" l="1"/>
  <c r="V168" i="1"/>
  <c r="V169" i="1"/>
  <c r="Y168" i="1"/>
  <c r="Y169" i="1"/>
  <c r="AB167" i="1"/>
  <c r="Y167" i="1"/>
  <c r="V167" i="1"/>
  <c r="AB168" i="1"/>
  <c r="AB169" i="1"/>
  <c r="S168" i="1"/>
  <c r="S169" i="1"/>
  <c r="AE169" i="1" l="1"/>
  <c r="AG169" i="1" s="1"/>
  <c r="AE168" i="1"/>
  <c r="M168" i="1" s="1"/>
  <c r="AE307" i="1"/>
  <c r="M307" i="1" s="1"/>
  <c r="M169" i="1" l="1"/>
  <c r="AG168" i="1"/>
  <c r="S304" i="1"/>
  <c r="S305" i="1"/>
  <c r="S306" i="1"/>
  <c r="S308" i="1"/>
  <c r="S309" i="1"/>
  <c r="S310" i="1"/>
  <c r="S311" i="1"/>
  <c r="S312" i="1"/>
  <c r="AB299" i="1" l="1"/>
  <c r="AB301" i="1"/>
  <c r="AB302" i="1"/>
  <c r="AB303" i="1"/>
  <c r="AB304" i="1"/>
  <c r="AB305" i="1"/>
  <c r="AB306" i="1"/>
  <c r="AB308" i="1"/>
  <c r="AB309" i="1"/>
  <c r="AB310" i="1"/>
  <c r="AB311" i="1"/>
  <c r="AB312" i="1"/>
  <c r="AB313" i="1"/>
  <c r="AB314" i="1"/>
  <c r="Y301" i="1"/>
  <c r="Y302" i="1"/>
  <c r="Y303" i="1"/>
  <c r="Y304" i="1"/>
  <c r="Y305" i="1"/>
  <c r="Y306" i="1"/>
  <c r="Y308" i="1"/>
  <c r="Y309" i="1"/>
  <c r="Y310" i="1"/>
  <c r="Y311" i="1"/>
  <c r="Y312" i="1"/>
  <c r="Y313" i="1"/>
  <c r="Y314" i="1"/>
  <c r="V303" i="1"/>
  <c r="V304" i="1"/>
  <c r="V305" i="1"/>
  <c r="V306" i="1"/>
  <c r="V308" i="1"/>
  <c r="V309" i="1"/>
  <c r="V310" i="1"/>
  <c r="V311" i="1"/>
  <c r="V312" i="1"/>
  <c r="V313" i="1"/>
  <c r="V314" i="1"/>
  <c r="S303" i="1"/>
  <c r="S313" i="1"/>
  <c r="AE306" i="1" l="1"/>
  <c r="M306" i="1" s="1"/>
  <c r="AE310" i="1"/>
  <c r="M310" i="1" s="1"/>
  <c r="AE309" i="1"/>
  <c r="M309" i="1" s="1"/>
  <c r="AE312" i="1"/>
  <c r="M312" i="1" s="1"/>
  <c r="AE308" i="1"/>
  <c r="M308" i="1" s="1"/>
  <c r="AE313" i="1"/>
  <c r="AG313" i="1" s="1"/>
  <c r="AE305" i="1"/>
  <c r="M305" i="1" s="1"/>
  <c r="AE311" i="1"/>
  <c r="M311" i="1" s="1"/>
  <c r="AE304" i="1"/>
  <c r="M304" i="1" s="1"/>
  <c r="AE303" i="1"/>
  <c r="M303" i="1" s="1"/>
  <c r="S34" i="1"/>
  <c r="Y34" i="1"/>
  <c r="V34" i="1"/>
  <c r="M313" i="1" l="1"/>
  <c r="AG311" i="1"/>
  <c r="AG310" i="1"/>
  <c r="AG303" i="1"/>
  <c r="AG309" i="1"/>
  <c r="AG307" i="1"/>
  <c r="AG305" i="1"/>
  <c r="AG306" i="1"/>
  <c r="AG312" i="1"/>
  <c r="AG308" i="1"/>
  <c r="AG304" i="1"/>
  <c r="AE34" i="1"/>
  <c r="M34" i="1" s="1"/>
  <c r="S298" i="1"/>
  <c r="AB298" i="1"/>
  <c r="AG34" i="1" l="1"/>
  <c r="Y297" i="1"/>
  <c r="Y296" i="1"/>
  <c r="V297" i="1"/>
  <c r="V296" i="1"/>
  <c r="S297" i="1"/>
  <c r="S296" i="1"/>
  <c r="AB139" i="1" l="1"/>
  <c r="Y139" i="1"/>
  <c r="V139" i="1"/>
  <c r="S139" i="1"/>
  <c r="M139" i="1" s="1"/>
  <c r="AB296" i="1" l="1"/>
  <c r="AE296" i="1" s="1"/>
  <c r="M296" i="1" s="1"/>
  <c r="AB297" i="1"/>
  <c r="AE297" i="1" s="1"/>
  <c r="M297" i="1" s="1"/>
  <c r="Y298" i="1"/>
  <c r="Y299" i="1"/>
  <c r="Y300" i="1"/>
  <c r="V298" i="1"/>
  <c r="V299" i="1"/>
  <c r="V300" i="1"/>
  <c r="V301" i="1"/>
  <c r="V302" i="1"/>
  <c r="S299" i="1"/>
  <c r="S300" i="1"/>
  <c r="S301" i="1"/>
  <c r="S302" i="1"/>
  <c r="S314" i="1"/>
  <c r="AE314" i="1" l="1"/>
  <c r="AG314" i="1" s="1"/>
  <c r="AG297" i="1"/>
  <c r="AE300" i="1"/>
  <c r="M300" i="1" s="1"/>
  <c r="AE301" i="1"/>
  <c r="M301" i="1" s="1"/>
  <c r="AE299" i="1"/>
  <c r="M299" i="1" s="1"/>
  <c r="AE302" i="1"/>
  <c r="M302" i="1" s="1"/>
  <c r="AE298" i="1"/>
  <c r="M298" i="1" s="1"/>
  <c r="AG296" i="1"/>
  <c r="AB294" i="1"/>
  <c r="Y294" i="1"/>
  <c r="V294" i="1"/>
  <c r="S294" i="1"/>
  <c r="M314" i="1" l="1"/>
  <c r="AE294" i="1"/>
  <c r="M294" i="1" s="1"/>
  <c r="AG301" i="1"/>
  <c r="AG299" i="1"/>
  <c r="AG298" i="1"/>
  <c r="AG300" i="1"/>
  <c r="AG302" i="1"/>
  <c r="S293" i="1"/>
  <c r="AG294" i="1" l="1"/>
  <c r="AB292" i="1" l="1"/>
  <c r="Y292" i="1"/>
  <c r="V292" i="1"/>
  <c r="S292" i="1"/>
  <c r="AE292" i="1" l="1"/>
  <c r="M292" i="1" s="1"/>
  <c r="AG292" i="1" l="1"/>
  <c r="V249" i="1"/>
  <c r="V223" i="1" l="1"/>
  <c r="V224" i="1"/>
  <c r="V225" i="1"/>
  <c r="V226" i="1"/>
  <c r="V227" i="1"/>
  <c r="V228" i="1"/>
  <c r="V230" i="1"/>
  <c r="V231" i="1"/>
  <c r="V232" i="1"/>
  <c r="V233" i="1"/>
  <c r="V234" i="1"/>
  <c r="V235" i="1"/>
  <c r="V236" i="1"/>
  <c r="V237" i="1"/>
  <c r="V238" i="1"/>
  <c r="V239" i="1"/>
  <c r="V240" i="1"/>
  <c r="V241" i="1"/>
  <c r="V242" i="1"/>
  <c r="V243" i="1"/>
  <c r="V244" i="1"/>
  <c r="V245" i="1"/>
  <c r="V246" i="1"/>
  <c r="V247" i="1"/>
  <c r="V248"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3" i="1"/>
  <c r="V295" i="1"/>
  <c r="AB210" i="1" l="1"/>
  <c r="Y204" i="1"/>
  <c r="Y205" i="1"/>
  <c r="Y210" i="1"/>
  <c r="Y203" i="1"/>
  <c r="S204" i="1"/>
  <c r="S205" i="1"/>
  <c r="S210" i="1"/>
  <c r="S203" i="1"/>
  <c r="Y202" i="1"/>
  <c r="Y200" i="1"/>
  <c r="Y198" i="1"/>
  <c r="Y197" i="1"/>
  <c r="Y194" i="1"/>
  <c r="Y189" i="1"/>
  <c r="S202" i="1"/>
  <c r="S200" i="1"/>
  <c r="S198" i="1"/>
  <c r="S197" i="1"/>
  <c r="S194" i="1"/>
  <c r="S189" i="1"/>
  <c r="S167" i="1"/>
  <c r="S186" i="1"/>
  <c r="S178" i="1"/>
  <c r="S174" i="1"/>
  <c r="S163" i="1"/>
  <c r="S164" i="1"/>
  <c r="V163" i="1"/>
  <c r="V164" i="1"/>
  <c r="Y163" i="1"/>
  <c r="Y164" i="1"/>
  <c r="AB155" i="1"/>
  <c r="Y155" i="1"/>
  <c r="S155" i="1"/>
  <c r="S151" i="1"/>
  <c r="Y145" i="1"/>
  <c r="S149" i="1"/>
  <c r="S146" i="1"/>
  <c r="S138" i="1"/>
  <c r="Y131" i="1"/>
  <c r="V131" i="1"/>
  <c r="S129" i="1"/>
  <c r="AB118" i="1"/>
  <c r="AB119" i="1"/>
  <c r="Y118" i="1"/>
  <c r="Y119" i="1"/>
  <c r="V119" i="1"/>
  <c r="S118" i="1"/>
  <c r="S119" i="1"/>
  <c r="AB84" i="1"/>
  <c r="AB85" i="1"/>
  <c r="AB86" i="1"/>
  <c r="Y85" i="1"/>
  <c r="Y86" i="1"/>
  <c r="Y84" i="1"/>
  <c r="V85" i="1"/>
  <c r="V86" i="1"/>
  <c r="S85" i="1"/>
  <c r="S86" i="1"/>
  <c r="S108" i="1"/>
  <c r="AB99" i="1"/>
  <c r="AB102" i="1"/>
  <c r="Y99" i="1"/>
  <c r="Y102" i="1"/>
  <c r="V99" i="1"/>
  <c r="V102" i="1"/>
  <c r="S99" i="1"/>
  <c r="S102" i="1"/>
  <c r="AB96" i="1"/>
  <c r="Y96" i="1"/>
  <c r="V96" i="1"/>
  <c r="S96" i="1"/>
  <c r="S94" i="1"/>
  <c r="Y89" i="1"/>
  <c r="S90" i="1"/>
  <c r="S89" i="1"/>
  <c r="S84" i="1"/>
  <c r="S83" i="1"/>
  <c r="Y82" i="1"/>
  <c r="S82" i="1"/>
  <c r="V79" i="1"/>
  <c r="Y79" i="1"/>
  <c r="AB79" i="1"/>
  <c r="Y56" i="1"/>
  <c r="S56" i="1"/>
  <c r="Y49" i="1"/>
  <c r="Y50" i="1"/>
  <c r="V49" i="1"/>
  <c r="V50" i="1"/>
  <c r="S49" i="1"/>
  <c r="S50" i="1"/>
  <c r="Y48" i="1"/>
  <c r="S48" i="1"/>
  <c r="AE167" i="1" l="1"/>
  <c r="M167" i="1" s="1"/>
  <c r="AE119" i="1"/>
  <c r="M119" i="1" s="1"/>
  <c r="AE96" i="1"/>
  <c r="M96" i="1" s="1"/>
  <c r="AE86" i="1"/>
  <c r="M86" i="1" s="1"/>
  <c r="AE85" i="1"/>
  <c r="M85" i="1" s="1"/>
  <c r="AE102" i="1"/>
  <c r="M102" i="1" s="1"/>
  <c r="AE99" i="1"/>
  <c r="M99" i="1" s="1"/>
  <c r="AB48" i="1"/>
  <c r="AB49" i="1"/>
  <c r="AE49" i="1" s="1"/>
  <c r="M49" i="1" s="1"/>
  <c r="AB50" i="1"/>
  <c r="AE50" i="1" s="1"/>
  <c r="M50" i="1" s="1"/>
  <c r="AB55" i="1"/>
  <c r="AB56" i="1"/>
  <c r="AB66" i="1"/>
  <c r="AB67" i="1"/>
  <c r="AB74" i="1"/>
  <c r="AB75" i="1"/>
  <c r="AB82" i="1"/>
  <c r="AB83" i="1"/>
  <c r="AB89" i="1"/>
  <c r="AB90" i="1"/>
  <c r="AB94" i="1"/>
  <c r="AB95" i="1"/>
  <c r="AB98" i="1"/>
  <c r="AB107" i="1"/>
  <c r="AB113" i="1"/>
  <c r="AB117" i="1"/>
  <c r="AB124" i="1"/>
  <c r="AB129" i="1"/>
  <c r="AB130" i="1"/>
  <c r="AE130" i="1" s="1"/>
  <c r="M130" i="1" s="1"/>
  <c r="AE131" i="1"/>
  <c r="M131" i="1" s="1"/>
  <c r="AB138" i="1"/>
  <c r="AB140" i="1"/>
  <c r="AE140" i="1" s="1"/>
  <c r="M140" i="1" s="1"/>
  <c r="AB145" i="1"/>
  <c r="AB146" i="1"/>
  <c r="AB149" i="1"/>
  <c r="AB150" i="1"/>
  <c r="AB151" i="1"/>
  <c r="AB153" i="1"/>
  <c r="AB162" i="1"/>
  <c r="AB163" i="1"/>
  <c r="AB164" i="1"/>
  <c r="AE164" i="1" s="1"/>
  <c r="M164" i="1" s="1"/>
  <c r="AB166" i="1"/>
  <c r="AB172" i="1"/>
  <c r="AB174" i="1"/>
  <c r="AB178" i="1"/>
  <c r="AB181" i="1"/>
  <c r="AB182" i="1"/>
  <c r="AB186" i="1"/>
  <c r="AB188" i="1"/>
  <c r="AB189" i="1"/>
  <c r="AB194" i="1"/>
  <c r="AB197" i="1"/>
  <c r="AB198" i="1"/>
  <c r="AB200" i="1"/>
  <c r="AB202" i="1"/>
  <c r="AB203" i="1"/>
  <c r="AB204" i="1"/>
  <c r="AB205" i="1"/>
  <c r="AB222" i="1"/>
  <c r="AB223" i="1"/>
  <c r="AB224" i="1"/>
  <c r="AB225" i="1"/>
  <c r="AB226" i="1"/>
  <c r="AB227" i="1"/>
  <c r="AB228" i="1"/>
  <c r="AB229" i="1"/>
  <c r="AB230" i="1"/>
  <c r="AB47" i="1"/>
  <c r="AG47" i="1"/>
  <c r="V48" i="1"/>
  <c r="V56" i="1"/>
  <c r="V67" i="1"/>
  <c r="V82" i="1"/>
  <c r="V83" i="1"/>
  <c r="V84" i="1"/>
  <c r="AE84" i="1" s="1"/>
  <c r="M84" i="1" s="1"/>
  <c r="V89" i="1"/>
  <c r="V90" i="1"/>
  <c r="V94" i="1"/>
  <c r="V95" i="1"/>
  <c r="V98" i="1"/>
  <c r="V107" i="1"/>
  <c r="V108" i="1"/>
  <c r="V113" i="1"/>
  <c r="V117" i="1"/>
  <c r="V118" i="1"/>
  <c r="AE118" i="1" s="1"/>
  <c r="M118" i="1" s="1"/>
  <c r="V124" i="1"/>
  <c r="V129" i="1"/>
  <c r="V145" i="1"/>
  <c r="V146" i="1"/>
  <c r="V149" i="1"/>
  <c r="V150" i="1"/>
  <c r="V151" i="1"/>
  <c r="V153" i="1"/>
  <c r="V155" i="1"/>
  <c r="V162" i="1"/>
  <c r="V166" i="1"/>
  <c r="V172" i="1"/>
  <c r="V174" i="1"/>
  <c r="V178" i="1"/>
  <c r="V182" i="1"/>
  <c r="V186" i="1"/>
  <c r="V188" i="1"/>
  <c r="V189" i="1"/>
  <c r="V194" i="1"/>
  <c r="V197" i="1"/>
  <c r="V198" i="1"/>
  <c r="V200" i="1"/>
  <c r="V202" i="1"/>
  <c r="V203" i="1"/>
  <c r="V204" i="1"/>
  <c r="V205" i="1"/>
  <c r="V210" i="1"/>
  <c r="AE210" i="1" s="1"/>
  <c r="M210" i="1" s="1"/>
  <c r="V47" i="1"/>
  <c r="S47" i="1"/>
  <c r="M47" i="1" s="1"/>
  <c r="Y40" i="1"/>
  <c r="Y41" i="1"/>
  <c r="V40" i="1"/>
  <c r="V41" i="1"/>
  <c r="S40" i="1"/>
  <c r="S41" i="1"/>
  <c r="Y44" i="1"/>
  <c r="Y45" i="1"/>
  <c r="AB44" i="1"/>
  <c r="AB45" i="1"/>
  <c r="V44" i="1"/>
  <c r="V45" i="1"/>
  <c r="S44" i="1"/>
  <c r="S45" i="1"/>
  <c r="AB35" i="1"/>
  <c r="AB29" i="1"/>
  <c r="Y29" i="1"/>
  <c r="V29" i="1"/>
  <c r="S29" i="1"/>
  <c r="AB70" i="1"/>
  <c r="AB24" i="1"/>
  <c r="AB25" i="1"/>
  <c r="AB23" i="1"/>
  <c r="Y70" i="1"/>
  <c r="V70" i="1"/>
  <c r="V24" i="1"/>
  <c r="AE24" i="1" s="1"/>
  <c r="M24" i="1" s="1"/>
  <c r="S70" i="1"/>
  <c r="AG25" i="1"/>
  <c r="AB19" i="1"/>
  <c r="AB20" i="1"/>
  <c r="AB18" i="1"/>
  <c r="Y19" i="1"/>
  <c r="Y20" i="1"/>
  <c r="V19" i="1"/>
  <c r="V20" i="1"/>
  <c r="S19" i="1"/>
  <c r="S20" i="1"/>
  <c r="S9" i="1"/>
  <c r="V9" i="1"/>
  <c r="V10" i="1"/>
  <c r="Y9" i="1"/>
  <c r="Y10" i="1"/>
  <c r="AB8" i="1"/>
  <c r="AB9" i="1"/>
  <c r="AB10" i="1"/>
  <c r="AB7" i="1"/>
  <c r="S225"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3" i="1"/>
  <c r="AB295"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3" i="1"/>
  <c r="Y295" i="1"/>
  <c r="Y224" i="1"/>
  <c r="Y225" i="1"/>
  <c r="Y226" i="1"/>
  <c r="Y227" i="1"/>
  <c r="Y228" i="1"/>
  <c r="Y229" i="1"/>
  <c r="Y230" i="1"/>
  <c r="Y231" i="1"/>
  <c r="Y232" i="1"/>
  <c r="Y233" i="1"/>
  <c r="Y234" i="1"/>
  <c r="Y235" i="1"/>
  <c r="Y236" i="1"/>
  <c r="Y237" i="1"/>
  <c r="Y238" i="1"/>
  <c r="Y239" i="1"/>
  <c r="Y223" i="1"/>
  <c r="Y222" i="1"/>
  <c r="V222" i="1"/>
  <c r="S224" i="1"/>
  <c r="S226" i="1"/>
  <c r="S227" i="1"/>
  <c r="S228" i="1"/>
  <c r="S230" i="1"/>
  <c r="S231" i="1"/>
  <c r="S232" i="1"/>
  <c r="S233" i="1"/>
  <c r="S234" i="1"/>
  <c r="S235" i="1"/>
  <c r="S236" i="1"/>
  <c r="S237" i="1"/>
  <c r="S238" i="1"/>
  <c r="S239" i="1"/>
  <c r="S240"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1" i="1"/>
  <c r="S295" i="1"/>
  <c r="S223" i="1"/>
  <c r="S222" i="1"/>
  <c r="Y153" i="1"/>
  <c r="S153" i="1"/>
  <c r="Y166" i="1"/>
  <c r="S166" i="1"/>
  <c r="Y188" i="1"/>
  <c r="S188" i="1"/>
  <c r="AB43" i="1"/>
  <c r="Y43" i="1"/>
  <c r="V43" i="1"/>
  <c r="S43" i="1"/>
  <c r="Y162" i="1"/>
  <c r="S162" i="1"/>
  <c r="Y150" i="1"/>
  <c r="S150" i="1"/>
  <c r="Y138" i="1"/>
  <c r="Y124" i="1"/>
  <c r="S124" i="1"/>
  <c r="Y129" i="1"/>
  <c r="Y113" i="1"/>
  <c r="S113" i="1"/>
  <c r="Y117" i="1"/>
  <c r="S117" i="1"/>
  <c r="Y98" i="1"/>
  <c r="S98" i="1"/>
  <c r="Y107" i="1"/>
  <c r="S107" i="1"/>
  <c r="Y95" i="1"/>
  <c r="S95" i="1"/>
  <c r="S79" i="1"/>
  <c r="Y55" i="1"/>
  <c r="S55" i="1"/>
  <c r="Y37" i="1"/>
  <c r="V37" i="1"/>
  <c r="S37" i="1"/>
  <c r="Y23" i="1"/>
  <c r="V23" i="1"/>
  <c r="S23" i="1"/>
  <c r="Y18" i="1"/>
  <c r="V18" i="1"/>
  <c r="S18" i="1"/>
  <c r="Y8" i="1"/>
  <c r="V8" i="1"/>
  <c r="S8" i="1"/>
  <c r="Y7" i="1"/>
  <c r="V7" i="1"/>
  <c r="S7" i="1"/>
  <c r="M142" i="1" l="1"/>
  <c r="AE67" i="1"/>
  <c r="M67" i="1" s="1"/>
  <c r="AE35" i="1"/>
  <c r="M35" i="1" s="1"/>
  <c r="AE181" i="1"/>
  <c r="M181" i="1" s="1"/>
  <c r="AG86" i="1"/>
  <c r="AG85" i="1"/>
  <c r="AG164" i="1"/>
  <c r="AE146" i="1"/>
  <c r="M146" i="1" s="1"/>
  <c r="AE29" i="1"/>
  <c r="M29" i="1" s="1"/>
  <c r="AG50" i="1"/>
  <c r="AG102" i="1"/>
  <c r="AG130" i="1"/>
  <c r="AG96" i="1"/>
  <c r="AG49" i="1"/>
  <c r="AG131" i="1"/>
  <c r="AE145" i="1"/>
  <c r="M145" i="1" s="1"/>
  <c r="AG118" i="1"/>
  <c r="AG99" i="1"/>
  <c r="AG119" i="1"/>
  <c r="AG84" i="1"/>
  <c r="AG24" i="1"/>
  <c r="AG167" i="1"/>
  <c r="AE293" i="1"/>
  <c r="M293" i="1" s="1"/>
  <c r="AE37" i="1"/>
  <c r="AE23" i="1"/>
  <c r="AE90" i="1"/>
  <c r="M90" i="1" s="1"/>
  <c r="AE198" i="1"/>
  <c r="M198" i="1" s="1"/>
  <c r="AE70" i="1"/>
  <c r="M70" i="1" s="1"/>
  <c r="AE223" i="1"/>
  <c r="M223" i="1" s="1"/>
  <c r="AE8" i="1"/>
  <c r="M8" i="1" s="1"/>
  <c r="AE289" i="1"/>
  <c r="M289" i="1" s="1"/>
  <c r="AE285" i="1"/>
  <c r="M285" i="1" s="1"/>
  <c r="AE281" i="1"/>
  <c r="M281" i="1" s="1"/>
  <c r="AE277" i="1"/>
  <c r="M277" i="1" s="1"/>
  <c r="AE273" i="1"/>
  <c r="M273" i="1" s="1"/>
  <c r="AE268" i="1"/>
  <c r="M268" i="1" s="1"/>
  <c r="AE264" i="1"/>
  <c r="M264" i="1" s="1"/>
  <c r="AE260" i="1"/>
  <c r="M260" i="1" s="1"/>
  <c r="AE256" i="1"/>
  <c r="M256" i="1" s="1"/>
  <c r="AE252" i="1"/>
  <c r="M252" i="1" s="1"/>
  <c r="AE248" i="1"/>
  <c r="M248" i="1" s="1"/>
  <c r="AE244" i="1"/>
  <c r="M244" i="1" s="1"/>
  <c r="AE240" i="1"/>
  <c r="M240" i="1" s="1"/>
  <c r="AE236" i="1"/>
  <c r="M236" i="1" s="1"/>
  <c r="AE232" i="1"/>
  <c r="M232" i="1" s="1"/>
  <c r="AE228" i="1"/>
  <c r="M228" i="1" s="1"/>
  <c r="AE204" i="1"/>
  <c r="M204" i="1" s="1"/>
  <c r="AE200" i="1"/>
  <c r="M200" i="1" s="1"/>
  <c r="AE151" i="1"/>
  <c r="M151" i="1" s="1"/>
  <c r="AE7" i="1"/>
  <c r="AE288" i="1"/>
  <c r="M288" i="1" s="1"/>
  <c r="AE284" i="1"/>
  <c r="M284" i="1" s="1"/>
  <c r="AE280" i="1"/>
  <c r="M280" i="1" s="1"/>
  <c r="AE276" i="1"/>
  <c r="M276" i="1" s="1"/>
  <c r="AE272" i="1"/>
  <c r="M272" i="1" s="1"/>
  <c r="AE271" i="1"/>
  <c r="M271" i="1" s="1"/>
  <c r="AE267" i="1"/>
  <c r="M267" i="1" s="1"/>
  <c r="AE263" i="1"/>
  <c r="M263" i="1" s="1"/>
  <c r="AE259" i="1"/>
  <c r="M259" i="1" s="1"/>
  <c r="AE255" i="1"/>
  <c r="M255" i="1" s="1"/>
  <c r="AE251" i="1"/>
  <c r="M251" i="1" s="1"/>
  <c r="AE247" i="1"/>
  <c r="M247" i="1" s="1"/>
  <c r="AE243" i="1"/>
  <c r="M243" i="1" s="1"/>
  <c r="AE239" i="1"/>
  <c r="M239" i="1" s="1"/>
  <c r="AE235" i="1"/>
  <c r="M235" i="1" s="1"/>
  <c r="AE231" i="1"/>
  <c r="M231" i="1" s="1"/>
  <c r="AE227" i="1"/>
  <c r="M227" i="1" s="1"/>
  <c r="AE237" i="1"/>
  <c r="M237" i="1" s="1"/>
  <c r="AE233" i="1"/>
  <c r="M233" i="1" s="1"/>
  <c r="AE138" i="1"/>
  <c r="M138" i="1" s="1"/>
  <c r="AE83" i="1"/>
  <c r="M83" i="1" s="1"/>
  <c r="AE94" i="1"/>
  <c r="M94" i="1" s="1"/>
  <c r="AG210" i="1"/>
  <c r="AE48" i="1"/>
  <c r="M48" i="1" s="1"/>
  <c r="AE202" i="1"/>
  <c r="M202" i="1" s="1"/>
  <c r="AE197" i="1"/>
  <c r="M197" i="1" s="1"/>
  <c r="AE182" i="1"/>
  <c r="M182" i="1" s="1"/>
  <c r="AE149" i="1"/>
  <c r="M149" i="1" s="1"/>
  <c r="AE178" i="1"/>
  <c r="M178" i="1" s="1"/>
  <c r="AE172" i="1"/>
  <c r="M172" i="1" s="1"/>
  <c r="AE203" i="1"/>
  <c r="M203" i="1" s="1"/>
  <c r="AE194" i="1"/>
  <c r="M194" i="1" s="1"/>
  <c r="AE189" i="1"/>
  <c r="M189" i="1" s="1"/>
  <c r="AE186" i="1"/>
  <c r="M186" i="1" s="1"/>
  <c r="AE174" i="1"/>
  <c r="M174" i="1" s="1"/>
  <c r="AE56" i="1"/>
  <c r="M56" i="1" s="1"/>
  <c r="AE75" i="1"/>
  <c r="M75" i="1" s="1"/>
  <c r="AE98" i="1"/>
  <c r="AE89" i="1"/>
  <c r="M89" i="1" s="1"/>
  <c r="AE95" i="1"/>
  <c r="AE82" i="1"/>
  <c r="M82" i="1" s="1"/>
  <c r="AE108" i="1"/>
  <c r="M108" i="1" s="1"/>
  <c r="AE79" i="1"/>
  <c r="AE229" i="1"/>
  <c r="M229" i="1" s="1"/>
  <c r="AE66" i="1"/>
  <c r="M66" i="1" s="1"/>
  <c r="AE55" i="1"/>
  <c r="M55" i="1" s="1"/>
  <c r="AE258" i="1"/>
  <c r="M258" i="1" s="1"/>
  <c r="AE254" i="1"/>
  <c r="M254" i="1" s="1"/>
  <c r="AE246" i="1"/>
  <c r="M246" i="1" s="1"/>
  <c r="AE242" i="1"/>
  <c r="M242" i="1" s="1"/>
  <c r="AE74" i="1"/>
  <c r="M74" i="1" s="1"/>
  <c r="AE211" i="1"/>
  <c r="M211" i="1" s="1"/>
  <c r="AE162" i="1"/>
  <c r="AE150" i="1"/>
  <c r="M150" i="1" s="1"/>
  <c r="AE188" i="1"/>
  <c r="M188" i="1" s="1"/>
  <c r="AE153" i="1"/>
  <c r="M153" i="1" s="1"/>
  <c r="AE224" i="1"/>
  <c r="M224" i="1" s="1"/>
  <c r="AE9" i="1"/>
  <c r="M9" i="1" s="1"/>
  <c r="AE19" i="1"/>
  <c r="AG19" i="1" s="1"/>
  <c r="AE290" i="1"/>
  <c r="M290" i="1" s="1"/>
  <c r="AE286" i="1"/>
  <c r="M286" i="1" s="1"/>
  <c r="AE282" i="1"/>
  <c r="M282" i="1" s="1"/>
  <c r="AE278" i="1"/>
  <c r="M278" i="1" s="1"/>
  <c r="AE274" i="1"/>
  <c r="M274" i="1" s="1"/>
  <c r="AE269" i="1"/>
  <c r="M269" i="1" s="1"/>
  <c r="AE265" i="1"/>
  <c r="M265" i="1" s="1"/>
  <c r="AE261" i="1"/>
  <c r="M261" i="1" s="1"/>
  <c r="AE257" i="1"/>
  <c r="M257" i="1" s="1"/>
  <c r="AE253" i="1"/>
  <c r="M253" i="1" s="1"/>
  <c r="AE249" i="1"/>
  <c r="M249" i="1" s="1"/>
  <c r="AE245" i="1"/>
  <c r="M245" i="1" s="1"/>
  <c r="AE241" i="1"/>
  <c r="M241" i="1" s="1"/>
  <c r="AE113" i="1"/>
  <c r="M113" i="1" s="1"/>
  <c r="AE124" i="1"/>
  <c r="AE225" i="1"/>
  <c r="M225" i="1" s="1"/>
  <c r="AE117" i="1"/>
  <c r="AE295" i="1"/>
  <c r="M295" i="1" s="1"/>
  <c r="AE291" i="1"/>
  <c r="M291" i="1" s="1"/>
  <c r="AE287" i="1"/>
  <c r="M287" i="1" s="1"/>
  <c r="AE283" i="1"/>
  <c r="M283" i="1" s="1"/>
  <c r="AE279" i="1"/>
  <c r="M279" i="1" s="1"/>
  <c r="AE275" i="1"/>
  <c r="M275" i="1" s="1"/>
  <c r="AE270" i="1"/>
  <c r="M270" i="1" s="1"/>
  <c r="AE266" i="1"/>
  <c r="M266" i="1" s="1"/>
  <c r="AE262" i="1"/>
  <c r="M262" i="1" s="1"/>
  <c r="AE250" i="1"/>
  <c r="M250" i="1" s="1"/>
  <c r="AE238" i="1"/>
  <c r="M238" i="1" s="1"/>
  <c r="AE234" i="1"/>
  <c r="M234" i="1" s="1"/>
  <c r="AE230" i="1"/>
  <c r="M230" i="1" s="1"/>
  <c r="AE226" i="1"/>
  <c r="M226" i="1" s="1"/>
  <c r="AE222" i="1"/>
  <c r="M222" i="1" s="1"/>
  <c r="AE205" i="1"/>
  <c r="M205" i="1" s="1"/>
  <c r="AE166" i="1"/>
  <c r="AE163" i="1"/>
  <c r="M163" i="1" s="1"/>
  <c r="AE155" i="1"/>
  <c r="M155" i="1" s="1"/>
  <c r="AE129" i="1"/>
  <c r="M129" i="1" s="1"/>
  <c r="AE107" i="1"/>
  <c r="M107" i="1" s="1"/>
  <c r="AE41" i="1"/>
  <c r="M41" i="1" s="1"/>
  <c r="AE44" i="1"/>
  <c r="AG44" i="1" s="1"/>
  <c r="AE40" i="1"/>
  <c r="M40" i="1" s="1"/>
  <c r="AE20" i="1"/>
  <c r="M20" i="1" s="1"/>
  <c r="AE45" i="1"/>
  <c r="M45" i="1" s="1"/>
  <c r="AE10" i="1"/>
  <c r="M10" i="1" s="1"/>
  <c r="AE18" i="1"/>
  <c r="M18" i="1" s="1"/>
  <c r="AE43" i="1"/>
  <c r="M43" i="1" s="1"/>
  <c r="M162" i="1" l="1"/>
  <c r="M79" i="1"/>
  <c r="M95" i="1"/>
  <c r="M44" i="1"/>
  <c r="M98" i="1"/>
  <c r="M23" i="1"/>
  <c r="M166" i="1"/>
  <c r="M117" i="1"/>
  <c r="M124" i="1"/>
  <c r="M19" i="1"/>
  <c r="M37" i="1"/>
  <c r="AG41" i="1"/>
  <c r="AG35" i="1"/>
  <c r="AG194" i="1"/>
  <c r="AG166" i="1"/>
  <c r="AG142" i="1"/>
  <c r="AG197" i="1"/>
  <c r="AG45" i="1"/>
  <c r="AG29" i="1"/>
  <c r="AG20" i="1"/>
  <c r="AG211" i="1"/>
  <c r="AG75" i="1"/>
  <c r="AG149" i="1"/>
  <c r="AG200" i="1"/>
  <c r="AG108" i="1"/>
  <c r="AG202" i="1"/>
  <c r="AG198" i="1"/>
  <c r="AG146" i="1"/>
  <c r="AG155" i="1"/>
  <c r="AG74" i="1"/>
  <c r="AG174" i="1"/>
  <c r="AG189" i="1"/>
  <c r="AG94" i="1"/>
  <c r="AG67" i="1"/>
  <c r="AG151" i="1"/>
  <c r="AG140" i="1"/>
  <c r="AG90" i="1"/>
  <c r="AG182" i="1"/>
  <c r="AG163" i="1"/>
  <c r="AG10" i="1"/>
  <c r="AG226" i="1"/>
  <c r="AG270" i="1"/>
  <c r="AG283" i="1"/>
  <c r="AG225" i="1"/>
  <c r="AG253" i="1"/>
  <c r="AG269" i="1"/>
  <c r="AG282" i="1"/>
  <c r="AG246" i="1"/>
  <c r="AG203" i="1"/>
  <c r="AG237" i="1"/>
  <c r="AG239" i="1"/>
  <c r="AG271" i="1"/>
  <c r="AG284" i="1"/>
  <c r="AG204" i="1"/>
  <c r="AG228" i="1"/>
  <c r="AG244" i="1"/>
  <c r="AG260" i="1"/>
  <c r="AG273" i="1"/>
  <c r="AG289" i="1"/>
  <c r="AG230" i="1"/>
  <c r="AG287" i="1"/>
  <c r="AG241" i="1"/>
  <c r="AG286" i="1"/>
  <c r="AG254" i="1"/>
  <c r="AG55" i="1"/>
  <c r="AG227" i="1"/>
  <c r="AG243" i="1"/>
  <c r="AG259" i="1"/>
  <c r="AG272" i="1"/>
  <c r="AG288" i="1"/>
  <c r="AG232" i="1"/>
  <c r="AG248" i="1"/>
  <c r="AG264" i="1"/>
  <c r="AG277" i="1"/>
  <c r="AG8" i="1"/>
  <c r="AG70" i="1"/>
  <c r="AG293" i="1"/>
  <c r="AG205" i="1"/>
  <c r="AG234" i="1"/>
  <c r="AG262" i="1"/>
  <c r="AG245" i="1"/>
  <c r="AG274" i="1"/>
  <c r="AG290" i="1"/>
  <c r="AG9" i="1"/>
  <c r="AG224" i="1"/>
  <c r="AG258" i="1"/>
  <c r="AG138" i="1"/>
  <c r="AG231" i="1"/>
  <c r="AG247" i="1"/>
  <c r="AG263" i="1"/>
  <c r="AG276" i="1"/>
  <c r="AG236" i="1"/>
  <c r="AG252" i="1"/>
  <c r="AG268" i="1"/>
  <c r="AG281" i="1"/>
  <c r="AG223" i="1"/>
  <c r="AG238" i="1"/>
  <c r="AG279" i="1"/>
  <c r="AG295" i="1"/>
  <c r="AG249" i="1"/>
  <c r="AG265" i="1"/>
  <c r="AG278" i="1"/>
  <c r="AG242" i="1"/>
  <c r="AG229" i="1"/>
  <c r="AG83" i="1"/>
  <c r="AG233" i="1"/>
  <c r="AG235" i="1"/>
  <c r="AG251" i="1"/>
  <c r="AG267" i="1"/>
  <c r="AG280" i="1"/>
  <c r="AG240" i="1"/>
  <c r="AG256" i="1"/>
  <c r="AG285" i="1"/>
  <c r="AG222" i="1"/>
  <c r="AG56" i="1"/>
  <c r="AG291" i="1"/>
  <c r="AG98" i="1"/>
  <c r="AG95" i="1"/>
  <c r="AG48" i="1"/>
  <c r="AG255" i="1"/>
  <c r="AG145" i="1"/>
  <c r="AG150" i="1"/>
  <c r="AG178" i="1"/>
  <c r="AG129" i="1"/>
  <c r="AG117" i="1"/>
  <c r="AG124" i="1"/>
  <c r="AG153" i="1"/>
  <c r="AG186" i="1"/>
  <c r="AG181" i="1"/>
  <c r="AG113" i="1"/>
  <c r="AG188" i="1"/>
  <c r="AG162" i="1"/>
  <c r="AG172" i="1"/>
  <c r="AG89" i="1"/>
  <c r="AG82" i="1"/>
  <c r="AG107" i="1"/>
  <c r="AG79" i="1"/>
  <c r="AG66" i="1"/>
  <c r="AG40" i="1"/>
  <c r="AG261" i="1"/>
  <c r="AG18" i="1"/>
  <c r="AG257" i="1"/>
  <c r="AG275" i="1"/>
  <c r="AG266" i="1"/>
  <c r="AG250" i="1"/>
  <c r="AG37" i="1"/>
  <c r="M7" i="1"/>
  <c r="AG43" i="1"/>
  <c r="AG23" i="1"/>
  <c r="AG7" i="1"/>
  <c r="AB115" i="1" l="1"/>
  <c r="AE115" i="1" l="1"/>
  <c r="M115" i="1" s="1"/>
  <c r="AG115" i="1" l="1"/>
</calcChain>
</file>

<file path=xl/sharedStrings.xml><?xml version="1.0" encoding="utf-8"?>
<sst xmlns="http://schemas.openxmlformats.org/spreadsheetml/2006/main" count="6080" uniqueCount="2180">
  <si>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</si>
  <si>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</si>
  <si>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</si>
  <si>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</si>
  <si>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</si>
  <si>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</si>
  <si>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</si>
  <si>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</si>
  <si>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</si>
  <si>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</si>
  <si>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</si>
  <si>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</si>
  <si>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</si>
  <si>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</si>
  <si>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</si>
  <si>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</si>
  <si>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</si>
  <si>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</si>
  <si>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</si>
  <si>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</si>
  <si>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</si>
  <si>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</si>
  <si>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</si>
  <si>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</si>
  <si>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</si>
  <si>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</si>
  <si>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</si>
  <si>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</si>
  <si>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</si>
  <si>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</si>
  <si>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</si>
  <si>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</si>
  <si>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</si>
  <si>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</si>
  <si>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</si>
  <si>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</si>
  <si>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</si>
  <si>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</si>
  <si>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</si>
  <si>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</si>
  <si>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</si>
  <si>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</si>
  <si>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</si>
  <si>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</si>
  <si>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</si>
  <si>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</si>
  <si>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</si>
  <si>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</si>
  <si>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</si>
  <si>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</si>
  <si>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</si>
  <si>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</si>
  <si>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</si>
  <si>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</si>
  <si>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</si>
  <si>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</si>
  <si>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</si>
  <si>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</si>
  <si>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</si>
  <si>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</si>
  <si>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</si>
  <si>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</si>
  <si>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</si>
  <si>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</si>
  <si>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</si>
  <si>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</si>
  <si>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</si>
  <si>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</si>
  <si>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</si>
  <si>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</si>
  <si>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</si>
  <si>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</si>
  <si>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</si>
  <si>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</si>
  <si>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</si>
  <si>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</si>
  <si>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</si>
  <si>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</si>
  <si>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</si>
  <si>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</si>
  <si>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</si>
  <si>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</si>
  <si>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</si>
  <si>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</si>
  <si>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</si>
  <si>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</si>
  <si>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</si>
  <si>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</si>
  <si>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</si>
  <si>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</si>
  <si>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</si>
  <si>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</si>
  <si>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</si>
  <si>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</si>
  <si>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</si>
  <si>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</si>
  <si>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</si>
  <si>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</si>
  <si>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</si>
  <si>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</si>
  <si>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</si>
  <si>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</si>
  <si>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</si>
  <si>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</si>
  <si>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</si>
  <si>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</si>
  <si>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</si>
  <si>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</si>
  <si>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</si>
  <si>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</si>
  <si>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</si>
  <si>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</si>
  <si>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</si>
  <si>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</si>
  <si>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</si>
  <si>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</si>
  <si>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</si>
  <si>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</si>
  <si>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</si>
  <si>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</si>
  <si>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</si>
  <si>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</si>
  <si>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</si>
  <si>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</si>
  <si>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</si>
  <si>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</si>
  <si>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</si>
  <si>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</si>
  <si>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</si>
  <si>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</si>
  <si>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</si>
  <si>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</si>
  <si>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</si>
  <si>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</si>
  <si>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</si>
  <si>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</si>
  <si>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</si>
  <si>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</si>
  <si>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</si>
  <si>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</si>
  <si>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</si>
  <si>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</si>
  <si>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</si>
  <si>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</si>
  <si>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</si>
  <si>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</si>
  <si>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</si>
  <si>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</si>
  <si>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</si>
  <si>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</si>
  <si>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</si>
  <si>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</si>
  <si>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</si>
  <si>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</si>
  <si>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</si>
  <si>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</si>
  <si>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OFP</t>
  </si>
  <si>
    <t>AP3/  /3.1</t>
  </si>
  <si>
    <t>AP3/  /3.2</t>
  </si>
  <si>
    <t>MP</t>
  </si>
  <si>
    <t>Cod apel</t>
  </si>
  <si>
    <t>AP1/11i /1.1</t>
  </si>
  <si>
    <t>AP1/11i /1.4</t>
  </si>
  <si>
    <t>AP 2/11i  /2.2</t>
  </si>
  <si>
    <t>DV</t>
  </si>
  <si>
    <t xml:space="preserve">AP1/11i /1.3 </t>
  </si>
  <si>
    <t>CA</t>
  </si>
  <si>
    <t>GD</t>
  </si>
  <si>
    <t>RG</t>
  </si>
  <si>
    <t>RB</t>
  </si>
  <si>
    <t>AI</t>
  </si>
  <si>
    <t>OD</t>
  </si>
  <si>
    <t>MN</t>
  </si>
  <si>
    <t>MM</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</si>
  <si>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</si>
  <si>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</si>
  <si>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</si>
  <si>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</si>
  <si>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</si>
  <si>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</si>
  <si>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</si>
  <si>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</si>
  <si>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</si>
  <si>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</si>
  <si>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</si>
  <si>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</si>
  <si>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</si>
  <si>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</si>
  <si>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</si>
  <si>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</si>
  <si>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</si>
  <si>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</si>
  <si>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</si>
  <si>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</si>
  <si>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</si>
  <si>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</si>
  <si>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</si>
  <si>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</si>
  <si>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</si>
  <si>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</si>
  <si>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</si>
  <si>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</si>
  <si>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</si>
  <si>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</si>
  <si>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</si>
  <si>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</si>
  <si>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</si>
  <si>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</si>
  <si>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</si>
  <si>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</si>
  <si>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</si>
  <si>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</si>
  <si>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</si>
  <si>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</si>
  <si>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</si>
  <si>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</si>
  <si>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</si>
  <si>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</si>
  <si>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</si>
  <si>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</si>
  <si>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</si>
  <si>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</si>
  <si>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</si>
  <si>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</si>
  <si>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</si>
  <si>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</si>
  <si>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</si>
  <si>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</si>
  <si>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</si>
  <si>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</si>
  <si>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</si>
  <si>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</si>
  <si>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</si>
  <si>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</si>
  <si>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</si>
  <si>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</si>
  <si>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</si>
  <si>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</si>
  <si>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</si>
  <si>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</si>
  <si>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</si>
  <si>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</si>
  <si>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</si>
  <si>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</si>
  <si>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</si>
  <si>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</si>
  <si>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</si>
  <si>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</si>
  <si>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</si>
  <si>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</si>
  <si>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</si>
  <si>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</si>
  <si>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</si>
  <si>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</si>
  <si>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</si>
  <si>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</si>
  <si>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</si>
  <si>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</si>
  <si>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</si>
  <si>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</si>
  <si>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</si>
  <si>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</si>
  <si>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</si>
  <si>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</si>
  <si>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</si>
  <si>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</si>
  <si>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</si>
  <si>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</si>
  <si>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</si>
  <si>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</si>
  <si>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</si>
  <si>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</si>
  <si>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</si>
  <si>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</si>
  <si>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</si>
  <si>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</si>
  <si>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</si>
  <si>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</si>
  <si>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</si>
  <si>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</si>
  <si>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</si>
  <si>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</si>
  <si>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</si>
  <si>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</si>
  <si>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</si>
  <si>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</si>
  <si>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</si>
  <si>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</si>
  <si>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</si>
  <si>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</si>
  <si>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</si>
  <si>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</si>
  <si>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</si>
  <si>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</si>
  <si>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</si>
  <si>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</si>
  <si>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</si>
  <si>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</si>
  <si>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</si>
  <si>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</si>
  <si>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</si>
  <si>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</si>
  <si>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</si>
  <si>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</si>
  <si>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</si>
  <si>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</si>
  <si>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</si>
  <si>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</si>
  <si>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</si>
  <si>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</si>
  <si>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</si>
  <si>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</si>
  <si>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</si>
  <si>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</si>
  <si>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</si>
  <si>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</si>
  <si>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</si>
  <si>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</si>
  <si>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</si>
  <si>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</si>
  <si>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</si>
  <si>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</si>
  <si>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</si>
  <si>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</si>
  <si>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</si>
  <si>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</si>
  <si>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</si>
  <si>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</si>
  <si>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</si>
  <si>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</si>
  <si>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</si>
  <si>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</si>
  <si>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</si>
  <si>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</si>
  <si>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</si>
  <si>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</si>
  <si>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</si>
  <si>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</si>
  <si>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</si>
  <si>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</si>
  <si>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</si>
  <si>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</si>
  <si>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</si>
  <si>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</si>
  <si>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</si>
  <si>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</si>
  <si>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</si>
  <si>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</si>
  <si>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</si>
  <si>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</si>
  <si>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</si>
  <si>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</si>
  <si>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</si>
  <si>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</si>
  <si>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</si>
  <si>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</si>
  <si>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</si>
  <si>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</si>
  <si>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</si>
  <si>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</si>
  <si>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</si>
  <si>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</si>
  <si>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</si>
  <si>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</si>
  <si>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</si>
  <si>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</si>
  <si>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</si>
  <si>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</si>
  <si>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</si>
  <si>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</si>
  <si>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</si>
  <si>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</si>
  <si>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</si>
  <si>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</si>
  <si>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</si>
  <si>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</si>
  <si>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</si>
  <si>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</si>
  <si>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</si>
  <si>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</si>
  <si>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</si>
  <si>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</si>
  <si>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</si>
  <si>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</si>
  <si>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</si>
  <si>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</si>
  <si>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</si>
  <si>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</si>
  <si>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</si>
  <si>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</si>
  <si>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</si>
  <si>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</si>
  <si>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</si>
  <si>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</si>
  <si>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</si>
  <si>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</si>
  <si>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</si>
  <si>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</si>
  <si>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</si>
  <si>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</si>
  <si>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</si>
  <si>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</si>
  <si>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</si>
  <si>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</si>
  <si>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</si>
  <si>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</si>
  <si>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</si>
  <si>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</si>
  <si>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</si>
  <si>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</si>
  <si>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</si>
  <si>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</si>
  <si>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</si>
  <si>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</si>
  <si>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</si>
  <si>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</si>
  <si>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</si>
  <si>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</si>
  <si>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</si>
  <si>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</si>
  <si>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</si>
  <si>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</si>
  <si>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</si>
  <si>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</si>
  <si>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</si>
  <si>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</si>
  <si>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</si>
  <si>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</si>
  <si>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</si>
  <si>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</si>
  <si>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</si>
  <si>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</si>
  <si>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</si>
  <si>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</si>
  <si>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</si>
  <si>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</si>
  <si>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</si>
  <si>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</si>
  <si>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</si>
  <si>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</si>
  <si>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</si>
  <si>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</si>
  <si>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</si>
  <si>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</si>
  <si>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</si>
  <si>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</si>
  <si>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</si>
  <si>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</si>
  <si>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</si>
  <si>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</si>
  <si>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</si>
  <si>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</si>
  <si>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</si>
  <si>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</si>
  <si>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</si>
  <si>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</si>
  <si>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</si>
  <si>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</si>
  <si>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</si>
  <si>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</si>
  <si>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</si>
  <si>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</si>
  <si>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</si>
  <si>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</si>
  <si>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</si>
  <si>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</si>
  <si>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</si>
  <si>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</si>
  <si>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</si>
  <si>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</si>
  <si>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</si>
  <si>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</si>
  <si>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</si>
  <si>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</si>
  <si>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</si>
  <si>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</si>
  <si>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</si>
  <si>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</si>
  <si>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</si>
  <si>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</si>
  <si>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</si>
  <si>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</si>
  <si>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</si>
  <si>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</si>
  <si>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</si>
  <si>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</si>
  <si>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</si>
  <si>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</si>
  <si>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</si>
  <si>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</si>
  <si>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</si>
  <si>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</si>
  <si>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</si>
  <si>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</si>
  <si>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</si>
  <si>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</si>
  <si>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</si>
  <si>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</si>
  <si>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</si>
  <si>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</si>
  <si>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</si>
  <si>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</si>
  <si>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</si>
  <si>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</si>
  <si>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</si>
  <si>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</si>
  <si>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</si>
  <si>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</si>
  <si>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</si>
  <si>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</si>
  <si>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</si>
  <si>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</si>
  <si>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</si>
  <si>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</si>
  <si>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</si>
  <si>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</si>
  <si>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</si>
  <si>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</si>
  <si>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</si>
  <si>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</si>
  <si>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</si>
  <si>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</si>
  <si>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</si>
  <si>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</si>
  <si>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</si>
  <si>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</si>
  <si>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</si>
  <si>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</si>
  <si>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</si>
  <si>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</si>
  <si>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</si>
  <si>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</si>
  <si>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</si>
  <si>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</si>
  <si>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</si>
  <si>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</si>
  <si>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</si>
  <si>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</si>
  <si>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</si>
  <si>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</si>
  <si>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</si>
  <si>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</si>
  <si>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</si>
  <si>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</si>
  <si>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</si>
  <si>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</si>
  <si>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</si>
  <si>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</si>
  <si>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</si>
  <si>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</si>
  <si>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</si>
  <si>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</si>
  <si>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</si>
  <si>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</si>
  <si>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</si>
  <si>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</si>
  <si>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</si>
  <si>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</si>
  <si>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</si>
  <si>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</si>
  <si>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</si>
  <si>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</si>
  <si>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</si>
  <si>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</si>
  <si>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</si>
  <si>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</si>
  <si>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</si>
  <si>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</si>
  <si>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</si>
  <si>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</si>
  <si>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</si>
  <si>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</si>
  <si>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</si>
  <si>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</si>
  <si>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</si>
  <si>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</si>
  <si>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</si>
  <si>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</si>
  <si>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</si>
  <si>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</si>
  <si>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</si>
  <si>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</si>
  <si>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</si>
  <si>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</si>
  <si>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</si>
  <si>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</si>
  <si>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</si>
  <si>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</si>
  <si>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</si>
  <si>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</si>
  <si>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</si>
  <si>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</si>
  <si>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</si>
  <si>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</si>
  <si>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</si>
  <si>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</si>
  <si>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</si>
  <si>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</si>
  <si>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</si>
  <si>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</si>
  <si>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</si>
  <si>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</si>
  <si>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</si>
  <si>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</si>
  <si>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</si>
  <si>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</si>
  <si>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</si>
  <si>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</si>
  <si>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</si>
  <si>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</si>
  <si>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</si>
  <si>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</si>
  <si>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</si>
  <si>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</si>
  <si>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</si>
  <si>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</si>
  <si>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</si>
  <si>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</si>
  <si>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</si>
  <si>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</si>
  <si>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</si>
  <si>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</si>
  <si>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</si>
  <si>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</si>
  <si>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</si>
  <si>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</si>
  <si>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</si>
  <si>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</si>
  <si>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</si>
  <si>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</si>
  <si>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</si>
  <si>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</si>
  <si>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</si>
  <si>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</si>
  <si>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</si>
  <si>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</si>
  <si>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</si>
  <si>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</si>
  <si>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</si>
  <si>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</si>
  <si>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</si>
  <si>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</si>
  <si>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</si>
  <si>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</si>
  <si>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</si>
  <si>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</si>
  <si>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</si>
  <si>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</si>
  <si>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</si>
  <si>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</si>
  <si>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</si>
  <si>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</si>
  <si>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</si>
  <si>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</si>
  <si>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</si>
  <si>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</si>
  <si>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</si>
  <si>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</si>
  <si>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</si>
  <si>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</si>
  <si>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</si>
  <si>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</si>
  <si>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</si>
  <si>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</si>
  <si>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</si>
  <si>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</si>
  <si>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</si>
  <si>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</si>
  <si>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</si>
  <si>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</si>
  <si>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</si>
  <si>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</si>
  <si>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</si>
  <si>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</si>
  <si>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</si>
  <si>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</si>
  <si>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</si>
  <si>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</si>
  <si>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</si>
  <si>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</si>
  <si>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</si>
  <si>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</si>
  <si>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</si>
  <si>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</si>
  <si>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</si>
  <si>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</si>
  <si>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</si>
  <si>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</si>
  <si>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</si>
  <si>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</si>
  <si>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</si>
  <si>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</si>
  <si>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</si>
  <si>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</si>
  <si>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</si>
  <si>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</si>
  <si>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</si>
  <si>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</si>
  <si>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</si>
  <si>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</si>
  <si>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</si>
  <si>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</si>
  <si>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</si>
  <si>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</si>
  <si>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</si>
  <si>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</si>
  <si>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</si>
  <si>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</si>
  <si>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</si>
  <si>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</si>
  <si>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</si>
  <si>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</si>
  <si>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</si>
  <si>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</si>
  <si>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</si>
  <si>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</si>
  <si>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</si>
  <si>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</si>
  <si>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</si>
  <si>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</si>
  <si>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</si>
  <si>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</si>
  <si>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</si>
  <si>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</si>
  <si>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</si>
  <si>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</si>
  <si>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</si>
  <si>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</si>
  <si>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</si>
  <si>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</si>
  <si>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</si>
  <si>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</si>
  <si>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</si>
  <si>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</si>
  <si>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</si>
  <si>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</si>
  <si>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</si>
  <si>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</si>
  <si>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</si>
  <si>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</si>
  <si>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</si>
  <si>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</si>
  <si>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</si>
  <si>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</si>
  <si>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</si>
  <si>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</si>
  <si>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</si>
  <si>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</si>
  <si>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</si>
  <si>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</si>
  <si>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</si>
  <si>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</si>
  <si>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</si>
  <si>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</si>
  <si>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</si>
  <si>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</si>
  <si>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</si>
  <si>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</si>
  <si>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</si>
  <si>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</si>
  <si>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</si>
  <si>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</si>
  <si>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</si>
  <si>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</si>
  <si>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</si>
  <si>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</si>
  <si>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</si>
  <si>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</si>
  <si>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</si>
  <si>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</si>
  <si>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</si>
  <si>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</si>
  <si>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</si>
  <si>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</si>
  <si>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</si>
  <si>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</si>
  <si>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</si>
  <si>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</si>
  <si>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</si>
  <si>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</si>
  <si>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</si>
  <si>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</si>
  <si>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</si>
  <si>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</si>
  <si>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</si>
  <si>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</si>
  <si>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</si>
  <si>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</si>
  <si>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</si>
  <si>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</si>
  <si>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</si>
  <si>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</si>
  <si>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</si>
  <si>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</si>
  <si>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</si>
  <si>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</si>
  <si>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</si>
  <si>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</si>
  <si>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</si>
  <si>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</si>
  <si>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</si>
  <si>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</si>
  <si>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</si>
  <si>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</si>
  <si>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</si>
  <si>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</si>
  <si>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</si>
  <si>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</si>
  <si>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</si>
  <si>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</si>
  <si>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</si>
  <si>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</si>
  <si>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</si>
  <si>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</si>
  <si>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</si>
  <si>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</si>
  <si>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</si>
  <si>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</si>
  <si>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</si>
  <si>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</si>
  <si>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</si>
  <si>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</si>
  <si>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</si>
  <si>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</si>
  <si>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</si>
  <si>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</si>
  <si>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</si>
  <si>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</si>
  <si>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</si>
  <si>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</si>
  <si>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</si>
  <si>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</si>
  <si>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</si>
  <si>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</si>
  <si>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</si>
  <si>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</si>
  <si>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</si>
  <si>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</si>
  <si>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</si>
  <si>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</si>
  <si>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</si>
  <si>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</si>
  <si>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</si>
  <si>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</si>
  <si>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</si>
  <si>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</si>
  <si>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</si>
  <si>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</si>
  <si>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</si>
  <si>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</si>
  <si>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</si>
  <si>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</si>
  <si>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</si>
  <si>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</si>
  <si>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</si>
  <si>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</si>
  <si>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</si>
  <si>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</si>
  <si>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</si>
  <si>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</si>
  <si>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</si>
  <si>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</si>
  <si>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</si>
  <si>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</si>
  <si>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</si>
  <si>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</si>
  <si>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</si>
  <si>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</si>
  <si>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</si>
  <si>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</si>
  <si>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</si>
  <si>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</si>
  <si>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</si>
  <si>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</si>
  <si>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</si>
  <si>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</si>
  <si>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</si>
  <si>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</si>
  <si>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</si>
  <si>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</si>
  <si>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</si>
  <si>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</si>
  <si>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</si>
  <si>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</si>
  <si>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</si>
  <si>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</si>
  <si>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</si>
  <si>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</si>
  <si>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</si>
  <si>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</si>
  <si>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</si>
  <si>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</si>
  <si>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</si>
  <si>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</si>
  <si>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</si>
  <si>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</si>
  <si>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</si>
  <si>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</si>
  <si>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</si>
  <si>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</si>
  <si>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</si>
  <si>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</si>
  <si>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</si>
  <si>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</si>
  <si>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</si>
  <si>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</si>
  <si>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</si>
  <si>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</si>
  <si>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</si>
  <si>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</si>
  <si>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</si>
  <si>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</si>
  <si>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</si>
  <si>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</si>
  <si>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</si>
  <si>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</si>
  <si>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</si>
  <si>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</si>
  <si>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</si>
  <si>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</si>
  <si>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</si>
  <si>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</si>
  <si>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</si>
  <si>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</si>
  <si>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</si>
  <si>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</si>
  <si>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</si>
  <si>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</si>
  <si>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</si>
  <si>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</si>
  <si>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</si>
  <si>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</si>
  <si>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</si>
  <si>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</si>
  <si>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</si>
  <si>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</si>
  <si>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</si>
  <si>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</si>
  <si>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</si>
  <si>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</si>
  <si>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</si>
  <si>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</si>
  <si>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</si>
  <si>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</si>
  <si>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</si>
  <si>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</si>
  <si>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</si>
  <si>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</si>
  <si>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</si>
  <si>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</si>
  <si>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</si>
  <si>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</si>
  <si>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</si>
  <si>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</si>
  <si>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</si>
  <si>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</si>
  <si>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</si>
  <si>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</si>
  <si>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</si>
  <si>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</si>
  <si>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</si>
  <si>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</si>
  <si>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</si>
  <si>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</si>
  <si>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</si>
  <si>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</si>
  <si>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</si>
  <si>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</si>
  <si>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</si>
  <si>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</si>
  <si>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</si>
  <si>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</si>
  <si>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</si>
  <si>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</si>
  <si>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</si>
  <si>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</si>
  <si>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</si>
  <si>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</si>
  <si>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</si>
  <si>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</si>
  <si>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</si>
  <si>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</si>
  <si>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</si>
  <si>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</si>
  <si>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</si>
  <si>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</si>
  <si>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</si>
  <si>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</si>
  <si>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</si>
  <si>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</si>
  <si>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</si>
  <si>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</si>
  <si>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</si>
  <si>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</si>
  <si>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</si>
  <si>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</si>
  <si>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</si>
  <si>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</si>
  <si>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</si>
  <si>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</si>
  <si>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</si>
  <si>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</si>
  <si>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</si>
  <si>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</si>
  <si>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</si>
  <si>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</si>
  <si>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</si>
  <si>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</si>
  <si>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</si>
  <si>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</si>
  <si>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</si>
  <si>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</si>
  <si>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</si>
  <si>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</si>
  <si>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</si>
  <si>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</si>
  <si>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</si>
  <si>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</si>
  <si>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</si>
  <si>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</si>
  <si>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</si>
  <si>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</si>
  <si>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</si>
  <si>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</si>
  <si>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</si>
  <si>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</si>
  <si>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</si>
  <si>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</si>
  <si>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</si>
  <si>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</si>
  <si>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</si>
  <si>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</si>
  <si>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</si>
  <si>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</si>
  <si>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</si>
  <si>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</si>
  <si>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</si>
  <si>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</si>
  <si>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</si>
  <si>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</si>
  <si>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</si>
  <si>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</si>
  <si>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</si>
  <si>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</si>
  <si>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</si>
  <si>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</si>
  <si>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</si>
  <si>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</si>
  <si>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</si>
  <si>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</si>
  <si>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</si>
  <si>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</si>
  <si>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</si>
  <si>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</si>
  <si>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</si>
  <si>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</si>
  <si>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</si>
  <si>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</si>
  <si>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</si>
  <si>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</si>
  <si>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</si>
  <si>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</si>
  <si>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</si>
  <si>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</si>
  <si>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</si>
  <si>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</si>
  <si>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</si>
  <si>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</si>
  <si>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</si>
  <si>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</si>
  <si>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</si>
  <si>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</si>
  <si>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</si>
  <si>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</si>
  <si>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</si>
  <si>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</si>
  <si>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</si>
  <si>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</si>
  <si>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</si>
  <si>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</si>
  <si>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</si>
  <si>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</si>
  <si>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</si>
  <si>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</si>
  <si>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</si>
  <si>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</si>
  <si>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</si>
  <si>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</si>
  <si>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</si>
  <si>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</si>
  <si>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</si>
  <si>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</si>
  <si>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</si>
  <si>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</si>
  <si>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</si>
  <si>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</si>
  <si>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</si>
  <si>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</si>
  <si>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</si>
  <si>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</si>
  <si>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</si>
  <si>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</si>
  <si>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</si>
  <si>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</si>
  <si>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</si>
  <si>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</si>
  <si>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</si>
  <si>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</si>
  <si>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</si>
  <si>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</si>
  <si>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</si>
  <si>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</si>
  <si>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</si>
  <si>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</si>
  <si>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</si>
  <si>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</si>
  <si>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</si>
  <si>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</si>
  <si>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</si>
  <si>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</si>
  <si>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</si>
  <si>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</si>
  <si>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</si>
  <si>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</si>
  <si>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</si>
  <si>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</si>
  <si>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</si>
  <si>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</si>
  <si>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</si>
  <si>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</si>
  <si>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</si>
  <si>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</si>
  <si>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</si>
  <si>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</si>
  <si>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</si>
  <si>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</si>
  <si>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</si>
  <si>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</si>
  <si>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</si>
  <si>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</si>
  <si>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</si>
  <si>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</si>
  <si>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</si>
  <si>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</si>
  <si>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</si>
  <si>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</si>
  <si>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</si>
  <si>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</si>
  <si>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</si>
  <si>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</si>
  <si>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</si>
  <si>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</si>
  <si>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</si>
  <si>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</si>
  <si>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</si>
  <si>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</si>
  <si>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</si>
  <si>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</si>
  <si>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</si>
  <si>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</si>
  <si>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</si>
  <si>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</si>
  <si>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</si>
  <si>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</si>
  <si>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</si>
  <si>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</si>
  <si>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</si>
  <si>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</si>
  <si>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</si>
  <si>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</si>
  <si>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</si>
  <si>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</si>
  <si>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</si>
  <si>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</si>
  <si>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</si>
  <si>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</si>
  <si>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</si>
  <si>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</si>
  <si>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</si>
  <si>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</si>
  <si>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</si>
  <si>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</si>
  <si>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</si>
  <si>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</si>
  <si>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</si>
  <si>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</si>
  <si>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</si>
  <si>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</si>
  <si>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</si>
  <si>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</si>
  <si>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</si>
  <si>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</si>
  <si>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</si>
  <si>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</si>
  <si>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</si>
  <si>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</si>
  <si>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</si>
  <si>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</si>
  <si>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</si>
  <si>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</si>
  <si>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</si>
  <si>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</si>
  <si>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</si>
  <si>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</si>
  <si>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</si>
  <si>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</si>
  <si>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</si>
  <si>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</si>
  <si>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</si>
  <si>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</si>
  <si>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</si>
  <si>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</si>
  <si>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</si>
  <si>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</si>
  <si>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</si>
  <si>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</si>
  <si>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</si>
  <si>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</si>
  <si>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</si>
  <si>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</si>
  <si>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</si>
  <si>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</si>
  <si>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</si>
  <si>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</si>
  <si>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</si>
  <si>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</si>
  <si>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</si>
  <si>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</si>
  <si>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</si>
  <si>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</si>
  <si>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</si>
  <si>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</si>
  <si>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</si>
  <si>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</si>
  <si>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</si>
  <si>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</si>
  <si>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</si>
  <si>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</si>
  <si>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</si>
  <si>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</si>
  <si>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</si>
  <si>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</si>
  <si>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</si>
  <si>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</si>
  <si>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</si>
  <si>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</si>
  <si>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</si>
  <si>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</si>
  <si>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</si>
  <si>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</si>
  <si>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</si>
  <si>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</si>
  <si>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</si>
  <si>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</si>
  <si>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</si>
  <si>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</si>
  <si>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</si>
  <si>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</si>
  <si>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</si>
  <si>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</si>
  <si>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</si>
  <si>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</si>
  <si>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</si>
  <si>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</si>
  <si>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AA1/ 04.02.2019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</si>
  <si>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</si>
  <si>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</si>
  <si>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</si>
  <si>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</si>
  <si>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</si>
  <si>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</si>
  <si>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</si>
  <si>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</si>
  <si>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</si>
  <si>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</si>
  <si>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</si>
  <si>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</si>
  <si>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</si>
  <si>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</si>
  <si>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</si>
  <si>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</si>
  <si>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</si>
  <si>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</si>
  <si>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</si>
  <si>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</si>
  <si>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</si>
  <si>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</si>
  <si>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</si>
  <si>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</si>
  <si>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</si>
  <si>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</si>
  <si>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</si>
  <si>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</si>
  <si>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</si>
  <si>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</si>
  <si>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</si>
  <si>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</si>
  <si>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</si>
  <si>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</si>
  <si>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</si>
  <si>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</si>
  <si>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</si>
  <si>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</si>
  <si>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</si>
  <si>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</si>
  <si>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</si>
  <si>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</si>
  <si>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</si>
  <si>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</si>
  <si>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</si>
  <si>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</si>
  <si>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</si>
  <si>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</si>
  <si>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</si>
  <si>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</si>
  <si>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</si>
  <si>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</si>
  <si>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</si>
  <si>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</si>
  <si>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</si>
  <si>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</si>
  <si>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</si>
  <si>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</si>
  <si>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</si>
  <si>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</si>
  <si>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</si>
  <si>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</si>
  <si>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</si>
  <si>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</si>
  <si>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</si>
  <si>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</si>
  <si>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</si>
  <si>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</si>
  <si>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</si>
  <si>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</si>
  <si>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</si>
  <si>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</si>
  <si>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</si>
  <si>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</si>
  <si>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</si>
  <si>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</si>
  <si>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</si>
  <si>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</si>
  <si>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</si>
  <si>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</si>
  <si>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</si>
  <si>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</si>
  <si>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</si>
  <si>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</si>
  <si>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</si>
  <si>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</si>
  <si>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</si>
  <si>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</si>
  <si>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</si>
  <si>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</si>
  <si>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</si>
  <si>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</si>
  <si>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</si>
  <si>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</si>
  <si>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</si>
  <si>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</si>
  <si>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</si>
  <si>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</si>
  <si>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</si>
  <si>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</si>
  <si>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</si>
  <si>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</si>
  <si>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</si>
  <si>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</si>
  <si>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</si>
  <si>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</si>
  <si>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</si>
  <si>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</si>
  <si>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</si>
  <si>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</si>
  <si>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</si>
  <si>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</si>
  <si>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AA2/08.04.2019</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</si>
  <si>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</si>
  <si>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</si>
  <si>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</si>
  <si>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</si>
  <si>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</si>
  <si>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</si>
  <si>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</si>
  <si>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</si>
  <si>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</si>
  <si>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</si>
  <si>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</si>
  <si>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</si>
  <si>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</si>
  <si>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</si>
  <si>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</si>
  <si>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</si>
  <si>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</si>
  <si>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</si>
  <si>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AA1/24.04.2019</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</si>
  <si>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</si>
  <si>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</si>
  <si>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</si>
  <si>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</si>
  <si>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</si>
  <si>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</si>
  <si>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</si>
  <si>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AA1/10.05.2019</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</si>
  <si>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</si>
  <si>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</si>
  <si>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MINISTERUL MUNCII ȘI JUSTIȚIEI SOCIALE</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</si>
  <si>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</si>
  <si>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</si>
  <si>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</si>
  <si>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</si>
  <si>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</si>
  <si>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</si>
  <si>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</si>
  <si>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MINISTERUL CERCETARII SI INOVARII</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</si>
  <si>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</si>
  <si>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</si>
  <si>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</si>
  <si>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</si>
  <si>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</si>
  <si>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</si>
  <si>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</si>
  <si>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</si>
  <si>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</si>
  <si>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</si>
  <si>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</si>
  <si>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</si>
  <si>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</si>
  <si>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</si>
  <si>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</si>
  <si>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MINISTERUL DEZVOLTARII REGIONALE ȘI ADMINISTRAȚIEI PUBLICE</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</si>
  <si>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</si>
  <si>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</si>
  <si>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</si>
  <si>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</si>
  <si>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</si>
  <si>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</si>
  <si>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</si>
  <si>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</si>
  <si>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</si>
  <si>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</si>
  <si>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</si>
  <si>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</si>
  <si>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</si>
  <si>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</si>
  <si>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</si>
  <si>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</si>
  <si>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</si>
  <si>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</si>
  <si>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</si>
  <si>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</si>
  <si>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</si>
  <si>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</si>
  <si>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</si>
  <si>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</si>
  <si>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</si>
  <si>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</si>
  <si>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</si>
  <si>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</si>
  <si>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</si>
  <si>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</si>
  <si>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</si>
  <si>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</si>
  <si>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</si>
  <si>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</si>
  <si>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</si>
  <si>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</si>
  <si>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</si>
  <si>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</si>
  <si>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</si>
  <si>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</si>
  <si>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</si>
  <si>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</si>
  <si>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</si>
  <si>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</si>
  <si>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</si>
  <si>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</si>
  <si>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</si>
  <si>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</si>
  <si>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</si>
  <si>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</si>
  <si>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</si>
  <si>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</si>
  <si>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</si>
  <si>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</si>
  <si>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</si>
  <si>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</si>
  <si>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</si>
  <si>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</si>
  <si>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</si>
  <si>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</si>
  <si>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</si>
  <si>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</si>
  <si>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</si>
  <si>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</si>
  <si>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</si>
  <si>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</si>
  <si>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</si>
  <si>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</si>
  <si>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</si>
  <si>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</si>
  <si>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</si>
  <si>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</si>
  <si>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</si>
  <si>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</si>
  <si>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</si>
  <si>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</si>
  <si>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</si>
  <si>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</si>
  <si>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</si>
  <si>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</si>
  <si>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</si>
  <si>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</si>
  <si>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</si>
  <si>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</si>
  <si>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</si>
  <si>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</si>
  <si>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</si>
  <si>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</si>
  <si>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</si>
  <si>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</si>
  <si>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</si>
  <si>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</si>
  <si>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</si>
  <si>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</si>
  <si>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</si>
  <si>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</si>
  <si>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</si>
  <si>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</si>
  <si>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</si>
  <si>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</si>
  <si>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</si>
  <si>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</si>
  <si>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</si>
  <si>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</si>
  <si>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</si>
  <si>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</si>
  <si>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</si>
  <si>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</si>
  <si>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</si>
  <si>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</si>
  <si>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</si>
  <si>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</si>
  <si>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</si>
  <si>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</si>
  <si>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</si>
  <si>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</si>
  <si>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</si>
  <si>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</si>
  <si>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</si>
  <si>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</si>
  <si>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</si>
  <si>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</si>
  <si>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</si>
  <si>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</si>
  <si>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</si>
  <si>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</si>
  <si>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FINALIZAT</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</si>
  <si>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</si>
  <si>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</si>
  <si>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</si>
  <si>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</si>
  <si>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</si>
  <si>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</si>
  <si>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</si>
  <si>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</si>
  <si>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</si>
  <si>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</si>
  <si>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</si>
  <si>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</si>
  <si>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</si>
  <si>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</si>
  <si>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</si>
  <si>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AA 1/16.07.2019 realocare sume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</si>
  <si>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</si>
  <si>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</si>
  <si>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</si>
  <si>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</si>
  <si>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</si>
  <si>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</si>
  <si>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</si>
  <si>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</si>
  <si>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</si>
  <si>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</si>
  <si>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</si>
  <si>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</si>
  <si>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</si>
  <si>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</si>
  <si>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</si>
  <si>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</si>
  <si>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AGENTIA NATIONALĂ+H466 PENTRU ARII NATURALE PROTEJATE</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</si>
  <si>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</si>
  <si>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</si>
  <si>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</si>
  <si>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</si>
  <si>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</si>
  <si>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</si>
  <si>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</si>
  <si>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</si>
  <si>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AA2/29.07.2019</t>
  </si>
  <si>
    <t>39696,21+X333:Y334</t>
  </si>
  <si>
    <t>Cod SIPOCA</t>
  </si>
  <si>
    <t>Planificare strategica si simplificarea procedurilor administrative la nivelul Municipiului Tarnaveni</t>
  </si>
  <si>
    <t>Municipiul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</si>
  <si>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</si>
  <si>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</si>
  <si>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</si>
  <si>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</si>
  <si>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</si>
  <si>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</si>
  <si>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</si>
  <si>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</si>
  <si>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</si>
  <si>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AUTORITATEA NATIONALA PENTRU PROTECTIA DREPTURILOR COPILULUI SI ADOPTIE</t>
  </si>
  <si>
    <t>Ministerul Energiei/ME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</si>
  <si>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</si>
  <si>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</si>
  <si>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</si>
  <si>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</si>
  <si>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</si>
  <si>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</si>
  <si>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</si>
  <si>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MINISTERUL APELOR SI PADURILOR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</si>
  <si>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</si>
  <si>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</si>
  <si>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</si>
  <si>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</si>
  <si>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</si>
  <si>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</si>
  <si>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</si>
  <si>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r>
      <rPr>
        <sz val="12"/>
        <rFont val="Calibri"/>
        <family val="2"/>
        <scheme val="minor"/>
      </rPr>
      <t>Obiectivul general</t>
    </r>
    <r>
      <rPr>
        <sz val="12"/>
        <rFont val="Calibri"/>
        <family val="2"/>
        <charset val="238"/>
        <scheme val="minor"/>
      </rPr>
      <t xml:space="preserve">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r>
  </si>
  <si>
    <t>AA1/27.11.2018</t>
  </si>
  <si>
    <t>AA1/05.05.2017; AA2/29.05.2017; AA3/18.12.2017; AA4/27.07.2018; AA5/27.05.2019</t>
  </si>
  <si>
    <t xml:space="preserve">                                                 AA1/08.12.2016; AA2/28.04.2017; AA3/18.01.2018; AA4/08.04.2019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</si>
  <si>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</si>
  <si>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</si>
  <si>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</si>
  <si>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</si>
  <si>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Autoritatea Națională pentru Persoanele cu Dizabilități</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</si>
  <si>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</si>
  <si>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</si>
  <si>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</si>
  <si>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AA1/09.11.2018; AA2/09.08.2019</t>
  </si>
  <si>
    <t>AA1/09.08.2019</t>
  </si>
  <si>
    <t>AA1/03.05.2017; AA2/28.06.2017; AA3/30.07.2018; AA4/12.08.2019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</si>
  <si>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</si>
  <si>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</si>
  <si>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</si>
  <si>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</si>
  <si>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</si>
  <si>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</si>
  <si>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</si>
  <si>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</si>
  <si>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</si>
  <si>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</si>
  <si>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</si>
  <si>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</si>
  <si>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</si>
  <si>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r>
      <t>As</t>
    </r>
    <r>
      <rPr>
        <sz val="11"/>
        <color theme="1"/>
        <rFont val="Trebuchet MS"/>
        <family val="2"/>
      </rPr>
      <t>ociația "Institutul pentru Politici Publice"</t>
    </r>
  </si>
  <si>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</si>
  <si>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</si>
  <si>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</si>
  <si>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</si>
  <si>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</si>
  <si>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AA1/19.08.2019</t>
  </si>
  <si>
    <t>Național</t>
  </si>
  <si>
    <t>20.08.2022</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</si>
  <si>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</si>
  <si>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</si>
  <si>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</si>
  <si>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</si>
  <si>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</si>
  <si>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</si>
  <si>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</si>
  <si>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</si>
  <si>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</si>
  <si>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</si>
  <si>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20.08.2021</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</si>
  <si>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</si>
  <si>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</si>
  <si>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</si>
  <si>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</si>
  <si>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</si>
  <si>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</si>
  <si>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21.02.2022</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</si>
  <si>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</si>
  <si>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</si>
  <si>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AA1/20.08.2019</t>
  </si>
  <si>
    <t>AA2/26.08.2019</t>
  </si>
  <si>
    <t>-</t>
  </si>
  <si>
    <t>26.08.2022</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</si>
  <si>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</si>
  <si>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</si>
  <si>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</si>
  <si>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</si>
  <si>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AA1/26.08.2019</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</si>
  <si>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</si>
  <si>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</si>
  <si>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</si>
  <si>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27.05.2022</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</si>
  <si>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</si>
  <si>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</si>
  <si>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</si>
  <si>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</si>
  <si>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</si>
  <si>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</si>
  <si>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</si>
  <si>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</si>
  <si>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</si>
  <si>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</si>
  <si>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</si>
  <si>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</si>
  <si>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</si>
  <si>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</si>
  <si>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</si>
  <si>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</si>
  <si>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05.06.2021</t>
  </si>
  <si>
    <t>AA3/04.09.2019</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</si>
  <si>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</si>
  <si>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</si>
  <si>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</si>
  <si>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În implementare</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</si>
  <si>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</si>
  <si>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AA1/03.09.2019</t>
  </si>
  <si>
    <t>AA2 din 06.09.2019</t>
  </si>
  <si>
    <t>AA1/06.09.2019</t>
  </si>
  <si>
    <t>AA2/06.09.2019</t>
  </si>
  <si>
    <t>CP12 less /2018</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</si>
  <si>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</si>
  <si>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</si>
  <si>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</si>
  <si>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</si>
  <si>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</si>
  <si>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09.09.2022</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</si>
  <si>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</si>
  <si>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</si>
  <si>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</si>
  <si>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</si>
  <si>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</si>
  <si>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1. Patronatul Serviciilor Publice
2. Ministerul Dezvoltării Regionale și Administrației Publice</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</si>
  <si>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</si>
  <si>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</si>
  <si>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</si>
  <si>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31.09.2021</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</si>
  <si>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</si>
  <si>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MADR</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</si>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</sst>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e_i_-;\-* #,##0.00\ _l_e_i_-;_-* &quot;-&quot;??\ _l_e_i_-;_-@_-"/>
    <numFmt numFmtId="165" formatCode="0.000000000"/>
    <numFmt numFmtId="166" formatCode="#,##0.00_ ;\-#,##0.00\ "/>
  </numFmts>
  <fonts count="6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
      <sz val="11"/>
      <color rgb="FFFA7D00"/>
      <name val="Calibri"/>
      <family val="2"/>
      <charset val="238"/>
      <scheme val="minor"/>
    </font>
    <font>
      <sz val="12"/>
      <name val="Trebuchet MS"/>
      <family val="2"/>
      <charset val="238"/>
    </font>
    <font>
      <u/>
      <sz val="12"/>
      <name val="Calibri"/>
      <family val="2"/>
      <scheme val="minor"/>
    </font>
    <font>
      <sz val="8"/>
      <name val="Calibri"/>
      <family val="2"/>
      <charset val="238"/>
      <scheme val="minor"/>
    </font>
    <font>
      <sz val="11"/>
      <name val="Trebuchet MS"/>
      <family val="2"/>
    </font>
    <font>
      <sz val="12"/>
      <name val="Trebuchet MS"/>
      <family val="2"/>
    </font>
    <font>
      <sz val="11"/>
      <color theme="1"/>
      <name val="Trebuchet MS"/>
      <family val="2"/>
    </font>
    <font>
      <sz val="12"/>
      <name val="Calibri"/>
      <family val="2"/>
    </font>
    <font>
      <b/>
      <sz val="12"/>
      <name val="Trebuchet MS"/>
      <family val="2"/>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6">
    <xf numFmtId="0" fontId="0" fillId="0" borderId="0"/>
    <xf numFmtId="164" fontId="18" fillId="0" borderId="0" applyFont="0" applyFill="0" applyBorder="0" applyAlignment="0" applyProtection="0"/>
    <xf numFmtId="164" fontId="18" fillId="0" borderId="0" applyFont="0" applyFill="0" applyBorder="0" applyAlignment="0" applyProtection="0"/>
    <xf numFmtId="0" fontId="45" fillId="0" borderId="0"/>
    <xf numFmtId="0" fontId="18"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7" fillId="0" borderId="0"/>
    <xf numFmtId="0" fontId="18" fillId="0" borderId="0"/>
    <xf numFmtId="0" fontId="18" fillId="0" borderId="0"/>
    <xf numFmtId="0" fontId="29" fillId="0" borderId="0"/>
    <xf numFmtId="0" fontId="11" fillId="0" borderId="0"/>
    <xf numFmtId="0" fontId="11" fillId="0" borderId="0"/>
  </cellStyleXfs>
  <cellXfs count="469">
    <xf numFmtId="0" fontId="0" fillId="0" borderId="0" xfId="0"/>
    <xf numFmtId="0" fontId="17" fillId="0" borderId="0" xfId="0" applyFont="1"/>
    <xf numFmtId="0" fontId="19" fillId="0" borderId="3" xfId="0" applyFont="1" applyBorder="1" applyAlignment="1">
      <alignment horizontal="center" vertical="center" wrapText="1"/>
    </xf>
    <xf numFmtId="0" fontId="19" fillId="0" borderId="3" xfId="0" applyFont="1" applyBorder="1" applyAlignment="1">
      <alignment horizontal="justify" vertical="center" wrapText="1"/>
    </xf>
    <xf numFmtId="14" fontId="19" fillId="0" borderId="3" xfId="0" applyNumberFormat="1" applyFont="1" applyBorder="1" applyAlignment="1">
      <alignment horizontal="center" vertical="center" wrapText="1"/>
    </xf>
    <xf numFmtId="165" fontId="19" fillId="0" borderId="3" xfId="0" applyNumberFormat="1" applyFont="1" applyBorder="1" applyAlignment="1">
      <alignment horizontal="center" vertical="center" wrapText="1"/>
    </xf>
    <xf numFmtId="0" fontId="19" fillId="2" borderId="3" xfId="0" applyFont="1" applyFill="1" applyBorder="1" applyAlignment="1">
      <alignment horizontal="center" vertical="center" wrapText="1"/>
    </xf>
    <xf numFmtId="0" fontId="0" fillId="0" borderId="0" xfId="0" applyAlignment="1">
      <alignment wrapText="1"/>
    </xf>
    <xf numFmtId="0" fontId="22"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19" fillId="0" borderId="3" xfId="0" applyFont="1" applyBorder="1" applyAlignment="1">
      <alignment horizontal="left" vertical="center" wrapText="1"/>
    </xf>
    <xf numFmtId="0" fontId="0" fillId="0" borderId="0" xfId="0" applyAlignment="1">
      <alignment horizontal="left"/>
    </xf>
    <xf numFmtId="0" fontId="0" fillId="6" borderId="0" xfId="0" applyFill="1"/>
    <xf numFmtId="0" fontId="22" fillId="0" borderId="3" xfId="0" applyFont="1" applyBorder="1" applyAlignment="1">
      <alignment horizontal="left" vertical="center" wrapText="1"/>
    </xf>
    <xf numFmtId="14" fontId="22" fillId="0" borderId="3" xfId="0" applyNumberFormat="1" applyFont="1" applyBorder="1" applyAlignment="1">
      <alignment horizontal="center" vertical="center" wrapText="1"/>
    </xf>
    <xf numFmtId="0" fontId="22" fillId="2" borderId="3" xfId="0" applyFont="1" applyFill="1" applyBorder="1" applyAlignment="1">
      <alignment horizontal="left" vertical="center" wrapText="1"/>
    </xf>
    <xf numFmtId="0" fontId="24" fillId="0" borderId="3" xfId="0" applyFont="1" applyBorder="1" applyAlignment="1">
      <alignment horizontal="left" vertical="center" wrapText="1"/>
    </xf>
    <xf numFmtId="0" fontId="24" fillId="0" borderId="0" xfId="0" applyFont="1" applyAlignment="1">
      <alignment horizontal="left" vertical="center"/>
    </xf>
    <xf numFmtId="4" fontId="16" fillId="0" borderId="1" xfId="0" applyNumberFormat="1" applyFont="1" applyBorder="1" applyAlignment="1">
      <alignment vertical="center" wrapText="1"/>
    </xf>
    <xf numFmtId="0" fontId="16" fillId="0" borderId="3" xfId="0" applyFont="1" applyBorder="1" applyAlignment="1">
      <alignment vertical="center" wrapText="1"/>
    </xf>
    <xf numFmtId="0" fontId="0" fillId="0" borderId="0" xfId="0" applyAlignment="1">
      <alignment horizontal="center"/>
    </xf>
    <xf numFmtId="0" fontId="24" fillId="2" borderId="3" xfId="0" applyFont="1" applyFill="1" applyBorder="1" applyAlignment="1">
      <alignment horizontal="left" vertical="center" wrapText="1"/>
    </xf>
    <xf numFmtId="0" fontId="19" fillId="0" borderId="3" xfId="0" applyFont="1" applyBorder="1" applyAlignment="1">
      <alignment horizontal="justify" vertical="top" wrapText="1"/>
    </xf>
    <xf numFmtId="166" fontId="19" fillId="0" borderId="3" xfId="1" applyNumberFormat="1" applyFont="1" applyBorder="1" applyAlignment="1">
      <alignment horizontal="center" vertical="center" wrapText="1"/>
    </xf>
    <xf numFmtId="0" fontId="19" fillId="2" borderId="3" xfId="0" applyFont="1" applyFill="1" applyBorder="1" applyAlignment="1">
      <alignment horizontal="left" vertical="center" wrapText="1"/>
    </xf>
    <xf numFmtId="0" fontId="22" fillId="0" borderId="3" xfId="0" applyFont="1" applyBorder="1" applyAlignment="1">
      <alignment horizontal="center" vertical="center" wrapText="1"/>
    </xf>
    <xf numFmtId="0" fontId="24" fillId="0" borderId="0" xfId="0" applyFont="1" applyAlignment="1">
      <alignment horizontal="left" vertical="center" wrapText="1"/>
    </xf>
    <xf numFmtId="0" fontId="22" fillId="0" borderId="3" xfId="0" applyFont="1" applyBorder="1" applyAlignment="1">
      <alignment horizontal="justify" vertical="top" wrapText="1"/>
    </xf>
    <xf numFmtId="0" fontId="24" fillId="0" borderId="0" xfId="0" applyFont="1"/>
    <xf numFmtId="0" fontId="24" fillId="0" borderId="3" xfId="0" applyFont="1" applyBorder="1" applyAlignment="1">
      <alignment vertical="center" wrapText="1"/>
    </xf>
    <xf numFmtId="0" fontId="19" fillId="0" borderId="3" xfId="0" applyFont="1" applyBorder="1" applyAlignment="1">
      <alignment horizontal="left" vertical="top" wrapText="1"/>
    </xf>
    <xf numFmtId="0" fontId="21" fillId="0" borderId="3" xfId="0" applyFont="1" applyBorder="1" applyAlignment="1">
      <alignment horizontal="center" vertical="center" wrapText="1"/>
    </xf>
    <xf numFmtId="0" fontId="33" fillId="0" borderId="0" xfId="0" applyFont="1" applyAlignment="1">
      <alignment vertical="center" wrapText="1"/>
    </xf>
    <xf numFmtId="0" fontId="33" fillId="0" borderId="3" xfId="0" applyFont="1" applyBorder="1" applyAlignment="1">
      <alignment vertical="center" wrapText="1"/>
    </xf>
    <xf numFmtId="0" fontId="32" fillId="0" borderId="3" xfId="0" applyFont="1" applyBorder="1" applyAlignment="1">
      <alignment vertical="top" wrapText="1"/>
    </xf>
    <xf numFmtId="0" fontId="36" fillId="0" borderId="3" xfId="0" applyFont="1" applyBorder="1" applyAlignment="1">
      <alignment horizontal="justify" vertical="top" wrapText="1"/>
    </xf>
    <xf numFmtId="0" fontId="36" fillId="0" borderId="3" xfId="0" applyFont="1" applyBorder="1" applyAlignment="1">
      <alignment horizontal="left" vertical="center" wrapText="1"/>
    </xf>
    <xf numFmtId="0" fontId="33" fillId="0" borderId="3" xfId="0" applyFont="1" applyBorder="1" applyAlignment="1">
      <alignment vertical="center"/>
    </xf>
    <xf numFmtId="0" fontId="39" fillId="0" borderId="3" xfId="0" applyFont="1" applyBorder="1" applyAlignment="1">
      <alignment horizontal="left" vertical="center" wrapText="1"/>
    </xf>
    <xf numFmtId="0" fontId="40" fillId="0" borderId="20"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wrapText="1"/>
    </xf>
    <xf numFmtId="4" fontId="16" fillId="4" borderId="3" xfId="0" applyNumberFormat="1" applyFont="1" applyFill="1" applyBorder="1" applyAlignment="1">
      <alignment vertical="center" wrapText="1"/>
    </xf>
    <xf numFmtId="4" fontId="16" fillId="7" borderId="3" xfId="0" applyNumberFormat="1" applyFont="1" applyFill="1"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3" fontId="16" fillId="0" borderId="3" xfId="0" applyNumberFormat="1" applyFont="1" applyBorder="1" applyAlignment="1">
      <alignment vertical="center" wrapText="1"/>
    </xf>
    <xf numFmtId="0" fontId="14" fillId="0" borderId="0" xfId="0" applyFont="1" applyAlignment="1">
      <alignment vertical="center" wrapText="1"/>
    </xf>
    <xf numFmtId="0" fontId="16" fillId="0" borderId="3" xfId="0" applyFont="1" applyBorder="1" applyAlignment="1">
      <alignment horizontal="center" vertical="center"/>
    </xf>
    <xf numFmtId="0" fontId="31" fillId="0" borderId="0" xfId="0" applyFont="1" applyAlignment="1">
      <alignment horizontal="justify" vertical="center"/>
    </xf>
    <xf numFmtId="4" fontId="16" fillId="2" borderId="3" xfId="0" applyNumberFormat="1" applyFont="1" applyFill="1" applyBorder="1" applyAlignment="1">
      <alignment vertical="center" wrapText="1"/>
    </xf>
    <xf numFmtId="0" fontId="0" fillId="2" borderId="0" xfId="0" applyFill="1"/>
    <xf numFmtId="166" fontId="19" fillId="0" borderId="3" xfId="1" applyNumberFormat="1" applyFont="1" applyBorder="1" applyAlignment="1">
      <alignment horizontal="right" vertical="center" wrapText="1"/>
    </xf>
    <xf numFmtId="166" fontId="19" fillId="3" borderId="3" xfId="1" applyNumberFormat="1" applyFont="1" applyFill="1" applyBorder="1" applyAlignment="1">
      <alignment horizontal="right" vertical="center" wrapText="1"/>
    </xf>
    <xf numFmtId="4" fontId="22" fillId="0" borderId="3" xfId="1" applyNumberFormat="1" applyFont="1" applyBorder="1" applyAlignment="1">
      <alignment horizontal="right" vertical="center" wrapText="1"/>
    </xf>
    <xf numFmtId="166" fontId="22" fillId="0" borderId="3" xfId="1" applyNumberFormat="1" applyFont="1" applyBorder="1" applyAlignment="1">
      <alignment horizontal="right" vertical="center" wrapText="1"/>
    </xf>
    <xf numFmtId="166" fontId="22" fillId="2" borderId="3" xfId="1" applyNumberFormat="1" applyFont="1" applyFill="1" applyBorder="1" applyAlignment="1">
      <alignment horizontal="right" vertical="center" wrapText="1"/>
    </xf>
    <xf numFmtId="3" fontId="22" fillId="0" borderId="3" xfId="0" applyNumberFormat="1" applyFont="1" applyBorder="1" applyAlignment="1">
      <alignment horizontal="right" vertical="center" wrapText="1"/>
    </xf>
    <xf numFmtId="14" fontId="23" fillId="0" borderId="3" xfId="0" applyNumberFormat="1" applyFont="1" applyBorder="1" applyAlignment="1">
      <alignment horizontal="right" vertical="center" wrapText="1"/>
    </xf>
    <xf numFmtId="4" fontId="19" fillId="0" borderId="3" xfId="0" applyNumberFormat="1" applyFont="1" applyBorder="1" applyAlignment="1">
      <alignment horizontal="right" vertical="center" wrapText="1"/>
    </xf>
    <xf numFmtId="166" fontId="19" fillId="2" borderId="3" xfId="1" applyNumberFormat="1" applyFont="1" applyFill="1" applyBorder="1" applyAlignment="1">
      <alignment horizontal="right" vertical="center" wrapText="1"/>
    </xf>
    <xf numFmtId="3" fontId="19" fillId="0" borderId="3" xfId="0" applyNumberFormat="1" applyFont="1" applyBorder="1" applyAlignment="1">
      <alignment horizontal="right" vertical="center" wrapText="1"/>
    </xf>
    <xf numFmtId="4" fontId="19" fillId="0" borderId="5" xfId="0" applyNumberFormat="1" applyFont="1" applyBorder="1" applyAlignment="1">
      <alignment horizontal="right" vertical="center" wrapText="1"/>
    </xf>
    <xf numFmtId="3" fontId="16" fillId="0" borderId="3" xfId="0" applyNumberFormat="1" applyFont="1" applyBorder="1" applyAlignment="1">
      <alignment horizontal="right" vertical="center" wrapText="1"/>
    </xf>
    <xf numFmtId="4" fontId="19" fillId="0" borderId="7" xfId="0" applyNumberFormat="1" applyFont="1" applyBorder="1" applyAlignment="1">
      <alignment horizontal="right" vertical="center" wrapText="1"/>
    </xf>
    <xf numFmtId="166" fontId="22" fillId="0" borderId="6" xfId="1" applyNumberFormat="1" applyFont="1" applyBorder="1" applyAlignment="1">
      <alignment horizontal="right" vertical="center" wrapText="1"/>
    </xf>
    <xf numFmtId="4" fontId="22" fillId="0" borderId="6" xfId="1" applyNumberFormat="1" applyFont="1" applyBorder="1" applyAlignment="1">
      <alignment horizontal="right" vertical="center" wrapText="1"/>
    </xf>
    <xf numFmtId="14" fontId="24" fillId="0" borderId="3" xfId="0" applyNumberFormat="1" applyFont="1" applyBorder="1" applyAlignment="1">
      <alignment horizontal="right" vertical="center" wrapText="1"/>
    </xf>
    <xf numFmtId="4" fontId="16" fillId="0" borderId="3" xfId="0" applyNumberFormat="1" applyFont="1" applyBorder="1" applyAlignment="1">
      <alignment horizontal="right" vertical="center" wrapText="1"/>
    </xf>
    <xf numFmtId="4" fontId="22" fillId="0" borderId="3" xfId="0" applyNumberFormat="1" applyFont="1" applyBorder="1" applyAlignment="1">
      <alignment horizontal="right" vertical="center" wrapText="1"/>
    </xf>
    <xf numFmtId="166" fontId="19" fillId="0" borderId="9" xfId="1" applyNumberFormat="1" applyFont="1" applyBorder="1" applyAlignment="1">
      <alignment horizontal="right" vertical="center" wrapText="1"/>
    </xf>
    <xf numFmtId="14" fontId="23" fillId="0" borderId="3" xfId="0" applyNumberFormat="1" applyFont="1" applyBorder="1" applyAlignment="1">
      <alignment horizontal="right" vertical="center"/>
    </xf>
    <xf numFmtId="49" fontId="23" fillId="0" borderId="3" xfId="0" applyNumberFormat="1" applyFont="1" applyBorder="1" applyAlignment="1">
      <alignment horizontal="right" vertical="center" wrapText="1"/>
    </xf>
    <xf numFmtId="14" fontId="25" fillId="0" borderId="3" xfId="0" applyNumberFormat="1" applyFont="1" applyBorder="1" applyAlignment="1">
      <alignment horizontal="right" vertical="center" wrapText="1"/>
    </xf>
    <xf numFmtId="4" fontId="19" fillId="0" borderId="11" xfId="0" applyNumberFormat="1" applyFont="1" applyBorder="1" applyAlignment="1">
      <alignment horizontal="right" vertical="center" wrapText="1"/>
    </xf>
    <xf numFmtId="0" fontId="23" fillId="0" borderId="3" xfId="0" applyFont="1" applyBorder="1" applyAlignment="1">
      <alignment horizontal="right" vertical="center" wrapText="1"/>
    </xf>
    <xf numFmtId="4" fontId="19" fillId="0" borderId="6" xfId="0" applyNumberFormat="1" applyFont="1" applyBorder="1" applyAlignment="1">
      <alignment horizontal="right" vertical="center" wrapText="1"/>
    </xf>
    <xf numFmtId="4" fontId="19" fillId="0" borderId="10" xfId="0" applyNumberFormat="1" applyFont="1" applyBorder="1" applyAlignment="1">
      <alignment horizontal="right" vertical="center" wrapText="1"/>
    </xf>
    <xf numFmtId="0" fontId="0" fillId="3" borderId="0" xfId="0" applyFill="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 fontId="41" fillId="0" borderId="3" xfId="1" applyNumberFormat="1" applyFont="1" applyBorder="1" applyAlignment="1">
      <alignment horizontal="right" vertical="center" wrapText="1"/>
    </xf>
    <xf numFmtId="0" fontId="44" fillId="0" borderId="3" xfId="0" applyFont="1" applyBorder="1" applyAlignment="1">
      <alignment vertical="center"/>
    </xf>
    <xf numFmtId="14" fontId="23" fillId="0" borderId="3" xfId="0" applyNumberFormat="1" applyFont="1" applyBorder="1" applyAlignment="1">
      <alignment horizontal="center" vertical="center" wrapText="1"/>
    </xf>
    <xf numFmtId="0" fontId="44" fillId="0" borderId="3" xfId="0" applyFont="1" applyBorder="1" applyAlignment="1">
      <alignment vertical="center" wrapText="1"/>
    </xf>
    <xf numFmtId="0" fontId="33" fillId="0" borderId="19" xfId="0" applyFont="1" applyBorder="1" applyAlignment="1">
      <alignment vertical="center" wrapText="1"/>
    </xf>
    <xf numFmtId="0" fontId="33" fillId="0" borderId="23" xfId="0" applyFont="1" applyBorder="1" applyAlignment="1">
      <alignment vertical="center" wrapText="1"/>
    </xf>
    <xf numFmtId="0" fontId="0" fillId="0" borderId="3" xfId="0" applyBorder="1" applyAlignment="1">
      <alignment horizontal="center" vertical="center"/>
    </xf>
    <xf numFmtId="0" fontId="0" fillId="0" borderId="3" xfId="0" applyBorder="1" applyAlignment="1">
      <alignment wrapText="1"/>
    </xf>
    <xf numFmtId="0" fontId="33" fillId="0" borderId="15" xfId="0" applyFont="1" applyBorder="1" applyAlignment="1">
      <alignment vertical="center" wrapText="1"/>
    </xf>
    <xf numFmtId="0" fontId="13" fillId="0" borderId="0" xfId="0" applyFont="1" applyAlignment="1">
      <alignment horizontal="left" vertical="center" wrapText="1"/>
    </xf>
    <xf numFmtId="166" fontId="19" fillId="2" borderId="3" xfId="0" applyNumberFormat="1" applyFont="1" applyFill="1" applyBorder="1" applyAlignment="1">
      <alignment horizontal="right" vertical="center" wrapText="1"/>
    </xf>
    <xf numFmtId="166" fontId="19" fillId="0" borderId="3" xfId="0" applyNumberFormat="1" applyFont="1" applyBorder="1" applyAlignment="1">
      <alignment horizontal="right" vertical="center" wrapText="1"/>
    </xf>
    <xf numFmtId="0" fontId="19" fillId="0" borderId="3" xfId="4" applyFont="1" applyBorder="1" applyAlignment="1">
      <alignment horizontal="center" vertical="center" wrapText="1"/>
    </xf>
    <xf numFmtId="0" fontId="19" fillId="2" borderId="3"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2" fillId="0" borderId="3" xfId="4" applyFont="1" applyBorder="1" applyAlignment="1">
      <alignment horizontal="justify" vertical="top" wrapText="1"/>
    </xf>
    <xf numFmtId="0" fontId="36" fillId="0" borderId="3" xfId="4" applyFont="1" applyBorder="1" applyAlignment="1">
      <alignment horizontal="left" vertical="center" wrapText="1"/>
    </xf>
    <xf numFmtId="0" fontId="33" fillId="0" borderId="15" xfId="4" applyFont="1" applyBorder="1" applyAlignment="1">
      <alignment vertical="center" wrapText="1"/>
    </xf>
    <xf numFmtId="166" fontId="24" fillId="0" borderId="3" xfId="0" applyNumberFormat="1" applyFont="1" applyBorder="1" applyAlignment="1">
      <alignment horizontal="center" vertical="center" wrapText="1"/>
    </xf>
    <xf numFmtId="0" fontId="32" fillId="0" borderId="15" xfId="0" applyFont="1" applyBorder="1" applyAlignment="1">
      <alignment vertical="center" wrapText="1"/>
    </xf>
    <xf numFmtId="0" fontId="46" fillId="0" borderId="3" xfId="0" applyFont="1" applyBorder="1" applyAlignment="1">
      <alignment horizontal="left" vertical="center" wrapText="1"/>
    </xf>
    <xf numFmtId="14" fontId="22" fillId="0" borderId="3" xfId="0" applyNumberFormat="1" applyFont="1" applyBorder="1" applyAlignment="1">
      <alignment horizontal="right" vertical="center" wrapText="1"/>
    </xf>
    <xf numFmtId="0" fontId="22" fillId="0" borderId="0" xfId="0" applyFont="1" applyAlignment="1">
      <alignment horizontal="left" vertical="center"/>
    </xf>
    <xf numFmtId="0" fontId="15" fillId="0" borderId="0" xfId="0" applyFont="1" applyAlignment="1">
      <alignment wrapText="1"/>
    </xf>
    <xf numFmtId="0" fontId="19" fillId="0" borderId="3" xfId="0" applyFont="1" applyBorder="1" applyAlignment="1">
      <alignment horizontal="justify" wrapText="1"/>
    </xf>
    <xf numFmtId="0" fontId="22" fillId="0" borderId="15" xfId="0" applyFont="1" applyBorder="1" applyAlignment="1">
      <alignment horizontal="left" vertical="center" wrapText="1"/>
    </xf>
    <xf numFmtId="0" fontId="44" fillId="0" borderId="15" xfId="0" applyFont="1" applyBorder="1" applyAlignment="1">
      <alignment vertical="center" wrapText="1"/>
    </xf>
    <xf numFmtId="0" fontId="0" fillId="0" borderId="0" xfId="0" applyAlignment="1">
      <alignment vertical="center" wrapText="1"/>
    </xf>
    <xf numFmtId="0" fontId="24" fillId="0" borderId="15" xfId="0" applyFont="1" applyBorder="1" applyAlignment="1">
      <alignment vertical="center" wrapText="1"/>
    </xf>
    <xf numFmtId="0" fontId="51" fillId="0" borderId="3" xfId="0" applyFont="1" applyBorder="1" applyAlignment="1">
      <alignment horizontal="left" wrapText="1"/>
    </xf>
    <xf numFmtId="0" fontId="21" fillId="0" borderId="15" xfId="0" applyFont="1" applyBorder="1" applyAlignment="1">
      <alignment vertical="center" wrapText="1"/>
    </xf>
    <xf numFmtId="0" fontId="36" fillId="0" borderId="15" xfId="0" applyFont="1" applyBorder="1" applyAlignment="1">
      <alignment vertical="center" wrapText="1"/>
    </xf>
    <xf numFmtId="14" fontId="39" fillId="0" borderId="3" xfId="0" applyNumberFormat="1" applyFont="1" applyBorder="1" applyAlignment="1">
      <alignment horizontal="right" vertical="center" wrapText="1"/>
    </xf>
    <xf numFmtId="0" fontId="22" fillId="0" borderId="3" xfId="0" applyFont="1" applyBorder="1" applyAlignment="1">
      <alignment horizontal="right" vertical="center" wrapText="1"/>
    </xf>
    <xf numFmtId="0" fontId="22" fillId="0" borderId="3" xfId="0" applyFont="1" applyBorder="1" applyAlignment="1">
      <alignment horizontal="left" vertical="top" wrapText="1"/>
    </xf>
    <xf numFmtId="4" fontId="22" fillId="0" borderId="5" xfId="0" applyNumberFormat="1" applyFont="1" applyBorder="1" applyAlignment="1">
      <alignment horizontal="right" vertical="center" wrapText="1"/>
    </xf>
    <xf numFmtId="0" fontId="10" fillId="0" borderId="0" xfId="0" applyFont="1" applyAlignment="1">
      <alignment vertical="center" wrapText="1"/>
    </xf>
    <xf numFmtId="0" fontId="10" fillId="0" borderId="0" xfId="0" applyFont="1"/>
    <xf numFmtId="0" fontId="36" fillId="0" borderId="3" xfId="0" applyFont="1" applyBorder="1" applyAlignment="1">
      <alignment vertical="top" wrapText="1"/>
    </xf>
    <xf numFmtId="1" fontId="19" fillId="0" borderId="3" xfId="0" applyNumberFormat="1" applyFont="1" applyBorder="1" applyAlignment="1">
      <alignment horizontal="center" vertical="center" wrapText="1"/>
    </xf>
    <xf numFmtId="0" fontId="0" fillId="8" borderId="0" xfId="0" applyFill="1"/>
    <xf numFmtId="0" fontId="19" fillId="0" borderId="15" xfId="0" applyFont="1" applyBorder="1" applyAlignment="1">
      <alignment horizontal="left" vertical="center" wrapText="1"/>
    </xf>
    <xf numFmtId="0" fontId="31" fillId="0" borderId="3" xfId="0" applyFont="1" applyBorder="1" applyAlignment="1">
      <alignment vertical="center" wrapText="1"/>
    </xf>
    <xf numFmtId="0" fontId="33" fillId="0" borderId="15" xfId="0" applyFont="1" applyBorder="1" applyAlignment="1">
      <alignment horizontal="center" vertical="center" wrapText="1"/>
    </xf>
    <xf numFmtId="0" fontId="36" fillId="0" borderId="3" xfId="0" applyFont="1" applyBorder="1" applyAlignment="1">
      <alignment horizontal="center" vertical="center" wrapText="1"/>
    </xf>
    <xf numFmtId="0" fontId="9" fillId="0" borderId="0" xfId="0" applyFont="1"/>
    <xf numFmtId="0" fontId="8" fillId="0" borderId="0" xfId="0" applyFont="1"/>
    <xf numFmtId="0" fontId="0" fillId="0" borderId="3" xfId="0" applyBorder="1" applyAlignment="1">
      <alignment horizontal="left" vertical="center" wrapText="1"/>
    </xf>
    <xf numFmtId="0" fontId="8" fillId="0" borderId="3" xfId="0" applyFont="1" applyBorder="1" applyAlignment="1">
      <alignment vertical="center" wrapText="1"/>
    </xf>
    <xf numFmtId="0" fontId="8" fillId="0" borderId="0" xfId="0" applyFont="1" applyAlignment="1">
      <alignment horizontal="left" vertical="center" wrapText="1"/>
    </xf>
    <xf numFmtId="0" fontId="31" fillId="0" borderId="3" xfId="0" applyFont="1" applyBorder="1" applyAlignment="1">
      <alignment horizontal="left" vertical="center" wrapText="1"/>
    </xf>
    <xf numFmtId="0" fontId="31" fillId="0" borderId="0" xfId="0" applyFont="1" applyAlignment="1">
      <alignment wrapText="1"/>
    </xf>
    <xf numFmtId="0" fontId="7" fillId="0" borderId="3" xfId="0" applyFont="1" applyBorder="1" applyAlignment="1">
      <alignment wrapText="1"/>
    </xf>
    <xf numFmtId="0" fontId="31" fillId="0" borderId="0" xfId="0" applyFont="1" applyAlignment="1">
      <alignment horizontal="center" vertical="center" wrapText="1"/>
    </xf>
    <xf numFmtId="0" fontId="39" fillId="0" borderId="3" xfId="0" applyFont="1" applyBorder="1" applyAlignment="1">
      <alignment horizontal="center" vertical="center" wrapText="1"/>
    </xf>
    <xf numFmtId="0" fontId="6" fillId="0" borderId="0" xfId="0" applyFont="1"/>
    <xf numFmtId="0" fontId="52" fillId="0" borderId="0" xfId="0" applyFont="1" applyAlignment="1">
      <alignment vertical="center" wrapText="1"/>
    </xf>
    <xf numFmtId="0" fontId="6" fillId="0" borderId="15" xfId="0" applyFont="1" applyBorder="1" applyAlignment="1">
      <alignment vertical="center" wrapText="1"/>
    </xf>
    <xf numFmtId="0" fontId="5" fillId="0" borderId="0" xfId="0" applyFont="1"/>
    <xf numFmtId="0" fontId="0" fillId="0" borderId="0" xfId="0" applyAlignment="1">
      <alignment horizontal="center" vertical="center"/>
    </xf>
    <xf numFmtId="0" fontId="0" fillId="0" borderId="3" xfId="0" applyBorder="1" applyAlignment="1">
      <alignment horizontal="left" vertical="top" wrapText="1"/>
    </xf>
    <xf numFmtId="166" fontId="0" fillId="0" borderId="3" xfId="0" applyNumberFormat="1" applyBorder="1" applyAlignment="1">
      <alignment horizontal="right" vertical="center" wrapText="1"/>
    </xf>
    <xf numFmtId="4" fontId="19" fillId="0" borderId="3" xfId="1" applyNumberFormat="1" applyFont="1" applyBorder="1" applyAlignment="1">
      <alignment horizontal="right" vertical="center" wrapText="1"/>
    </xf>
    <xf numFmtId="14" fontId="22" fillId="2" borderId="3" xfId="0" applyNumberFormat="1" applyFont="1" applyFill="1" applyBorder="1" applyAlignment="1">
      <alignment horizontal="center" vertical="center" wrapText="1"/>
    </xf>
    <xf numFmtId="14" fontId="19" fillId="2" borderId="3" xfId="0" applyNumberFormat="1" applyFont="1" applyFill="1" applyBorder="1" applyAlignment="1">
      <alignment horizontal="center" vertical="center" wrapText="1"/>
    </xf>
    <xf numFmtId="0" fontId="36"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14" fontId="0" fillId="2" borderId="3" xfId="0" applyNumberFormat="1" applyFill="1" applyBorder="1" applyAlignment="1">
      <alignment horizontal="center" vertical="center"/>
    </xf>
    <xf numFmtId="14" fontId="19" fillId="2" borderId="3" xfId="4" applyNumberFormat="1" applyFont="1" applyFill="1" applyBorder="1" applyAlignment="1">
      <alignment horizontal="center" vertical="center" wrapText="1"/>
    </xf>
    <xf numFmtId="0" fontId="0" fillId="2" borderId="0" xfId="0" applyFill="1" applyAlignment="1">
      <alignment horizontal="center"/>
    </xf>
    <xf numFmtId="0" fontId="19" fillId="2" borderId="15" xfId="0" applyFont="1" applyFill="1" applyBorder="1" applyAlignment="1">
      <alignment horizontal="center" vertical="center" wrapText="1"/>
    </xf>
    <xf numFmtId="0" fontId="53" fillId="0" borderId="15" xfId="0" applyFont="1" applyBorder="1" applyAlignment="1">
      <alignment horizontal="center" vertical="center" wrapText="1"/>
    </xf>
    <xf numFmtId="0" fontId="22" fillId="0" borderId="5" xfId="0" applyFont="1" applyBorder="1" applyAlignment="1">
      <alignment horizontal="left" vertical="center" wrapText="1"/>
    </xf>
    <xf numFmtId="0" fontId="12" fillId="0" borderId="3" xfId="0" applyFont="1" applyBorder="1" applyAlignment="1">
      <alignment vertical="center" wrapText="1"/>
    </xf>
    <xf numFmtId="0" fontId="0" fillId="0" borderId="3" xfId="0" applyBorder="1" applyAlignment="1">
      <alignment vertical="center" wrapText="1"/>
    </xf>
    <xf numFmtId="164" fontId="22" fillId="2" borderId="3" xfId="0" applyNumberFormat="1" applyFont="1" applyFill="1" applyBorder="1" applyAlignment="1">
      <alignment horizontal="center" vertical="center" wrapText="1"/>
    </xf>
    <xf numFmtId="4" fontId="22" fillId="0" borderId="3" xfId="0" applyNumberFormat="1" applyFont="1" applyBorder="1" applyAlignment="1">
      <alignment horizontal="center" vertical="center" wrapText="1"/>
    </xf>
    <xf numFmtId="166" fontId="19" fillId="0" borderId="3" xfId="0" applyNumberFormat="1" applyFont="1" applyBorder="1" applyAlignment="1">
      <alignment vertical="center"/>
    </xf>
    <xf numFmtId="0" fontId="27" fillId="0" borderId="3" xfId="0" applyFont="1" applyBorder="1" applyAlignment="1">
      <alignment horizontal="center" vertical="center" wrapText="1"/>
    </xf>
    <xf numFmtId="0" fontId="52" fillId="0" borderId="0" xfId="0" applyFont="1" applyAlignment="1">
      <alignment horizontal="center" vertical="center"/>
    </xf>
    <xf numFmtId="0" fontId="44" fillId="0" borderId="15" xfId="0" applyFont="1" applyBorder="1" applyAlignment="1">
      <alignment horizontal="center" vertical="center" wrapText="1"/>
    </xf>
    <xf numFmtId="0" fontId="4" fillId="0" borderId="0" xfId="0" applyFont="1"/>
    <xf numFmtId="3" fontId="16" fillId="0" borderId="3" xfId="1" applyNumberFormat="1" applyFont="1" applyBorder="1" applyAlignment="1">
      <alignment horizontal="right" vertical="center" wrapText="1"/>
    </xf>
    <xf numFmtId="166" fontId="19" fillId="0" borderId="6" xfId="1" applyNumberFormat="1" applyFont="1" applyBorder="1" applyAlignment="1">
      <alignment horizontal="right" vertical="center" wrapText="1"/>
    </xf>
    <xf numFmtId="4" fontId="19" fillId="0" borderId="3" xfId="0" applyNumberFormat="1" applyFont="1" applyBorder="1" applyAlignment="1">
      <alignment horizontal="left" vertical="center" wrapText="1"/>
    </xf>
    <xf numFmtId="4" fontId="22" fillId="0" borderId="3" xfId="0" applyNumberFormat="1" applyFont="1" applyBorder="1" applyAlignment="1">
      <alignment horizontal="left" vertical="top" wrapText="1"/>
    </xf>
    <xf numFmtId="4" fontId="0" fillId="0" borderId="0" xfId="0" applyNumberFormat="1"/>
    <xf numFmtId="0" fontId="16" fillId="6" borderId="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24" fillId="0" borderId="0" xfId="0" applyFont="1" applyAlignment="1">
      <alignment vertical="center" wrapText="1"/>
    </xf>
    <xf numFmtId="3" fontId="22" fillId="0" borderId="3" xfId="0" applyNumberFormat="1" applyFont="1" applyBorder="1" applyAlignment="1">
      <alignment horizontal="center" vertical="center" wrapText="1"/>
    </xf>
    <xf numFmtId="0" fontId="22" fillId="2" borderId="15" xfId="0" applyFont="1" applyFill="1" applyBorder="1" applyAlignment="1">
      <alignment horizontal="center" vertical="center" wrapText="1"/>
    </xf>
    <xf numFmtId="0" fontId="55" fillId="0" borderId="3" xfId="0" applyFont="1" applyBorder="1" applyAlignment="1">
      <alignment horizontal="left" vertical="center" wrapText="1"/>
    </xf>
    <xf numFmtId="4" fontId="19" fillId="2" borderId="3" xfId="0" applyNumberFormat="1" applyFont="1" applyFill="1" applyBorder="1" applyAlignment="1">
      <alignment vertical="center"/>
    </xf>
    <xf numFmtId="14" fontId="19" fillId="0" borderId="2"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0" fontId="0" fillId="0" borderId="5" xfId="0" applyBorder="1" applyAlignment="1">
      <alignment horizontal="center" vertical="center" wrapText="1"/>
    </xf>
    <xf numFmtId="0" fontId="19" fillId="0" borderId="5" xfId="0" applyFont="1" applyBorder="1" applyAlignment="1">
      <alignment horizontal="justify" vertical="top" wrapText="1"/>
    </xf>
    <xf numFmtId="0" fontId="52" fillId="0" borderId="0" xfId="0" applyFont="1" applyAlignment="1">
      <alignment horizontal="center" vertical="center" wrapText="1"/>
    </xf>
    <xf numFmtId="0" fontId="22" fillId="0" borderId="5" xfId="0" applyFont="1" applyBorder="1" applyAlignment="1">
      <alignment horizontal="center" vertical="center" wrapText="1"/>
    </xf>
    <xf numFmtId="166" fontId="22" fillId="0" borderId="3" xfId="1" applyNumberFormat="1" applyFont="1" applyBorder="1" applyAlignment="1">
      <alignment horizontal="center" vertical="center" wrapText="1"/>
    </xf>
    <xf numFmtId="4" fontId="22" fillId="0" borderId="3" xfId="1" applyNumberFormat="1" applyFont="1" applyBorder="1" applyAlignment="1">
      <alignment horizontal="center" vertical="center" wrapText="1"/>
    </xf>
    <xf numFmtId="166" fontId="22" fillId="2" borderId="3" xfId="1" applyNumberFormat="1" applyFont="1" applyFill="1" applyBorder="1" applyAlignment="1">
      <alignment horizontal="center" vertical="center" wrapText="1"/>
    </xf>
    <xf numFmtId="4" fontId="16" fillId="0" borderId="3" xfId="0" applyNumberFormat="1" applyFont="1" applyBorder="1" applyAlignment="1">
      <alignment horizontal="center" vertical="center" wrapText="1"/>
    </xf>
    <xf numFmtId="4" fontId="0" fillId="0" borderId="0" xfId="0" applyNumberFormat="1" applyAlignment="1">
      <alignment horizontal="center" vertical="center" wrapText="1"/>
    </xf>
    <xf numFmtId="4" fontId="22" fillId="0" borderId="3" xfId="0" applyNumberFormat="1" applyFont="1" applyBorder="1" applyAlignment="1">
      <alignment horizontal="left" vertical="center" wrapText="1"/>
    </xf>
    <xf numFmtId="166" fontId="57" fillId="2" borderId="28" xfId="1" applyNumberFormat="1" applyFont="1" applyFill="1" applyBorder="1" applyAlignment="1">
      <alignment horizontal="right" vertical="center" wrapText="1"/>
    </xf>
    <xf numFmtId="0" fontId="19" fillId="0" borderId="3" xfId="0" applyFont="1" applyBorder="1" applyAlignment="1">
      <alignment horizontal="left" vertical="justify" wrapText="1"/>
    </xf>
    <xf numFmtId="0" fontId="39" fillId="0" borderId="15" xfId="0" applyFont="1" applyBorder="1" applyAlignment="1">
      <alignment horizontal="left" vertical="center" wrapText="1"/>
    </xf>
    <xf numFmtId="0" fontId="52" fillId="0" borderId="3" xfId="0" applyFont="1" applyBorder="1" applyAlignment="1">
      <alignment horizontal="center" vertical="center"/>
    </xf>
    <xf numFmtId="166" fontId="0" fillId="0" borderId="19" xfId="0" applyNumberFormat="1" applyBorder="1" applyAlignment="1">
      <alignment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wrapText="1"/>
    </xf>
    <xf numFmtId="166" fontId="22" fillId="0" borderId="3" xfId="0" applyNumberFormat="1" applyFont="1" applyBorder="1" applyAlignment="1">
      <alignment horizontal="right" vertical="center" wrapText="1"/>
    </xf>
    <xf numFmtId="4" fontId="19" fillId="2" borderId="3" xfId="0" applyNumberFormat="1" applyFont="1" applyFill="1" applyBorder="1" applyAlignment="1">
      <alignment horizontal="right" vertical="center" wrapText="1"/>
    </xf>
    <xf numFmtId="4" fontId="22" fillId="2" borderId="1" xfId="0" applyNumberFormat="1" applyFont="1" applyFill="1" applyBorder="1" applyAlignment="1">
      <alignment vertical="center" wrapText="1"/>
    </xf>
    <xf numFmtId="0" fontId="58" fillId="0" borderId="3" xfId="0" applyNumberFormat="1" applyFont="1" applyBorder="1" applyAlignment="1">
      <alignment horizontal="right" vertical="center" wrapText="1"/>
    </xf>
    <xf numFmtId="0" fontId="16" fillId="0" borderId="3" xfId="0" applyFont="1" applyBorder="1" applyAlignment="1">
      <alignment horizontal="center" vertical="center" wrapText="1"/>
    </xf>
    <xf numFmtId="0" fontId="19" fillId="0" borderId="26" xfId="0" applyFont="1" applyBorder="1" applyAlignment="1">
      <alignment horizontal="left" vertical="center" wrapText="1"/>
    </xf>
    <xf numFmtId="0" fontId="32" fillId="0" borderId="5" xfId="0" applyFont="1" applyBorder="1" applyAlignment="1">
      <alignment vertical="top" wrapText="1"/>
    </xf>
    <xf numFmtId="0" fontId="22" fillId="2" borderId="15" xfId="0" applyFont="1" applyFill="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wrapText="1"/>
    </xf>
    <xf numFmtId="4" fontId="22" fillId="0" borderId="3" xfId="0" applyNumberFormat="1" applyFont="1" applyFill="1" applyBorder="1" applyAlignment="1">
      <alignment horizontal="right" vertical="center" wrapText="1"/>
    </xf>
    <xf numFmtId="0" fontId="16" fillId="0" borderId="3" xfId="0" applyFont="1" applyBorder="1" applyAlignment="1">
      <alignment horizontal="center" vertical="center" wrapText="1"/>
    </xf>
    <xf numFmtId="4" fontId="19" fillId="0" borderId="14" xfId="0" applyNumberFormat="1" applyFont="1" applyBorder="1" applyAlignment="1">
      <alignment horizontal="left" vertical="center" wrapText="1"/>
    </xf>
    <xf numFmtId="0" fontId="3"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61"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1" fillId="0" borderId="0" xfId="0" applyFont="1" applyAlignment="1">
      <alignment vertical="center" wrapText="1"/>
    </xf>
    <xf numFmtId="0" fontId="24" fillId="0" borderId="15" xfId="0" applyFont="1" applyBorder="1" applyAlignment="1">
      <alignment horizontal="left" vertical="center" wrapText="1"/>
    </xf>
    <xf numFmtId="14" fontId="22" fillId="9" borderId="3" xfId="0" applyNumberFormat="1" applyFont="1" applyFill="1" applyBorder="1" applyAlignment="1">
      <alignment horizontal="center" vertical="center" wrapText="1"/>
    </xf>
    <xf numFmtId="0" fontId="44" fillId="0" borderId="22" xfId="0" applyFont="1" applyBorder="1" applyAlignment="1">
      <alignment horizontal="center" vertical="center" wrapText="1"/>
    </xf>
    <xf numFmtId="0" fontId="36" fillId="0" borderId="6" xfId="0" applyFont="1" applyBorder="1" applyAlignment="1">
      <alignment horizontal="left" vertical="center" wrapText="1"/>
    </xf>
    <xf numFmtId="0" fontId="19" fillId="0" borderId="6" xfId="0" applyFont="1" applyBorder="1" applyAlignment="1">
      <alignment horizontal="justify" vertical="top" wrapText="1"/>
    </xf>
    <xf numFmtId="14" fontId="19" fillId="2" borderId="6" xfId="0" applyNumberFormat="1" applyFont="1" applyFill="1" applyBorder="1" applyAlignment="1">
      <alignment horizontal="center" vertical="center" wrapText="1"/>
    </xf>
    <xf numFmtId="14" fontId="19"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19" fillId="0" borderId="6" xfId="0" applyFont="1" applyBorder="1" applyAlignment="1">
      <alignment horizontal="center" vertical="center" wrapText="1"/>
    </xf>
    <xf numFmtId="0" fontId="0" fillId="0" borderId="6" xfId="0" applyBorder="1" applyAlignment="1">
      <alignment horizontal="center" vertical="center"/>
    </xf>
    <xf numFmtId="166" fontId="19" fillId="2" borderId="6" xfId="1" applyNumberFormat="1" applyFont="1" applyFill="1" applyBorder="1" applyAlignment="1">
      <alignment horizontal="right" vertical="center" wrapText="1"/>
    </xf>
    <xf numFmtId="166" fontId="19" fillId="0" borderId="6"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14" fontId="23" fillId="0" borderId="6" xfId="0" applyNumberFormat="1" applyFont="1" applyBorder="1" applyAlignment="1">
      <alignment horizontal="right" vertical="center" wrapText="1"/>
    </xf>
    <xf numFmtId="0" fontId="44" fillId="0" borderId="3" xfId="0" applyFont="1" applyBorder="1" applyAlignment="1">
      <alignment horizontal="center" vertical="center" wrapText="1"/>
    </xf>
    <xf numFmtId="2" fontId="16" fillId="0" borderId="3" xfId="0" applyNumberFormat="1" applyFont="1" applyBorder="1" applyAlignment="1">
      <alignment horizontal="right" vertical="center" wrapText="1"/>
    </xf>
    <xf numFmtId="166" fontId="19" fillId="0" borderId="3" xfId="1" applyNumberFormat="1" applyFont="1" applyFill="1" applyBorder="1" applyAlignment="1">
      <alignment horizontal="right"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19" fillId="0" borderId="3" xfId="0" applyFont="1" applyFill="1" applyBorder="1" applyAlignment="1">
      <alignment horizontal="justify" wrapText="1"/>
    </xf>
    <xf numFmtId="14" fontId="22"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4" fontId="22" fillId="0" borderId="5" xfId="1" applyNumberFormat="1" applyFont="1" applyBorder="1" applyAlignment="1">
      <alignment horizontal="right" vertical="center" wrapText="1"/>
    </xf>
    <xf numFmtId="0" fontId="15" fillId="0" borderId="3" xfId="0" applyFont="1" applyBorder="1" applyAlignment="1">
      <alignment wrapText="1"/>
    </xf>
    <xf numFmtId="0" fontId="36" fillId="0" borderId="5" xfId="0" applyFont="1" applyBorder="1" applyAlignment="1">
      <alignment horizontal="left" vertical="center" wrapText="1"/>
    </xf>
    <xf numFmtId="0" fontId="52" fillId="0" borderId="3" xfId="0" applyFont="1" applyBorder="1" applyAlignment="1">
      <alignment wrapText="1"/>
    </xf>
    <xf numFmtId="0" fontId="52" fillId="0" borderId="3" xfId="0" applyFont="1" applyBorder="1"/>
    <xf numFmtId="0" fontId="62" fillId="0" borderId="3" xfId="0" applyFont="1" applyBorder="1" applyAlignment="1">
      <alignment vertical="center" wrapText="1"/>
    </xf>
    <xf numFmtId="0" fontId="63" fillId="0" borderId="3" xfId="0" applyFont="1" applyBorder="1" applyAlignment="1">
      <alignment vertical="center" wrapText="1"/>
    </xf>
    <xf numFmtId="0" fontId="0" fillId="0" borderId="3" xfId="0" applyBorder="1"/>
    <xf numFmtId="14" fontId="23" fillId="0" borderId="5" xfId="0" applyNumberFormat="1" applyFont="1" applyBorder="1" applyAlignment="1">
      <alignment horizontal="right" vertical="center" wrapText="1"/>
    </xf>
    <xf numFmtId="4" fontId="0" fillId="0" borderId="5" xfId="0" applyNumberFormat="1" applyBorder="1"/>
    <xf numFmtId="0" fontId="64" fillId="0" borderId="3" xfId="0" applyFont="1" applyBorder="1" applyAlignment="1">
      <alignment horizontal="justify" wrapText="1"/>
    </xf>
    <xf numFmtId="0" fontId="0" fillId="0" borderId="3" xfId="0" applyFont="1" applyFill="1" applyBorder="1" applyAlignment="1">
      <alignment vertical="center" wrapText="1"/>
    </xf>
    <xf numFmtId="0" fontId="19" fillId="0" borderId="3" xfId="0" applyFont="1" applyFill="1" applyBorder="1" applyAlignment="1">
      <alignment horizontal="left" vertical="center" wrapText="1"/>
    </xf>
    <xf numFmtId="4" fontId="22" fillId="0" borderId="3" xfId="1" applyNumberFormat="1" applyFont="1" applyFill="1" applyBorder="1" applyAlignment="1">
      <alignment horizontal="right" vertical="center" wrapText="1"/>
    </xf>
    <xf numFmtId="166" fontId="19" fillId="0" borderId="3" xfId="0" applyNumberFormat="1" applyFont="1" applyFill="1" applyBorder="1" applyAlignment="1">
      <alignment horizontal="right" vertical="center" wrapText="1"/>
    </xf>
    <xf numFmtId="0" fontId="0" fillId="0" borderId="0" xfId="0" applyFill="1"/>
    <xf numFmtId="3" fontId="65" fillId="0" borderId="3" xfId="0" applyNumberFormat="1" applyFont="1" applyFill="1" applyBorder="1" applyAlignment="1">
      <alignment horizontal="right" vertical="center" wrapText="1"/>
    </xf>
    <xf numFmtId="166" fontId="19" fillId="0" borderId="0" xfId="0" applyNumberFormat="1" applyFont="1" applyFill="1"/>
    <xf numFmtId="166" fontId="0" fillId="0" borderId="0" xfId="0" applyNumberFormat="1" applyFill="1"/>
    <xf numFmtId="0" fontId="22" fillId="0" borderId="3" xfId="0" applyFont="1" applyFill="1" applyBorder="1" applyAlignment="1">
      <alignment horizontal="center" vertical="center" wrapText="1"/>
    </xf>
    <xf numFmtId="4" fontId="23" fillId="0" borderId="0" xfId="0" applyNumberFormat="1" applyFont="1" applyFill="1" applyBorder="1"/>
    <xf numFmtId="4" fontId="23" fillId="0" borderId="0" xfId="0" applyNumberFormat="1" applyFont="1" applyFill="1"/>
    <xf numFmtId="4" fontId="39" fillId="0" borderId="3" xfId="0" applyNumberFormat="1" applyFont="1" applyFill="1" applyBorder="1" applyAlignment="1">
      <alignment horizontal="right" vertical="center" wrapText="1"/>
    </xf>
    <xf numFmtId="4" fontId="39" fillId="0" borderId="0" xfId="0" applyNumberFormat="1" applyFont="1" applyFill="1" applyBorder="1" applyAlignment="1">
      <alignment horizontal="right" vertical="center" wrapText="1"/>
    </xf>
    <xf numFmtId="4" fontId="39" fillId="0" borderId="27" xfId="0" applyNumberFormat="1" applyFont="1" applyFill="1" applyBorder="1" applyAlignment="1">
      <alignment horizontal="right" vertical="center" wrapText="1"/>
    </xf>
    <xf numFmtId="3" fontId="26" fillId="0" borderId="3" xfId="0" applyNumberFormat="1" applyFont="1" applyBorder="1" applyAlignment="1">
      <alignment horizontal="right" vertical="center" wrapText="1"/>
    </xf>
    <xf numFmtId="49" fontId="66" fillId="0" borderId="3" xfId="0" applyNumberFormat="1" applyFont="1" applyBorder="1" applyAlignment="1">
      <alignment horizontal="center" vertical="center" wrapText="1"/>
    </xf>
    <xf numFmtId="0" fontId="26" fillId="0" borderId="3"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36" fillId="0" borderId="15" xfId="0" applyFont="1" applyBorder="1" applyAlignment="1">
      <alignment horizontal="left" vertical="center" wrapText="1"/>
    </xf>
    <xf numFmtId="14" fontId="22" fillId="6" borderId="3" xfId="0" applyNumberFormat="1" applyFont="1" applyFill="1" applyBorder="1" applyAlignment="1">
      <alignment horizontal="center" vertical="center" wrapText="1"/>
    </xf>
    <xf numFmtId="14" fontId="19" fillId="10" borderId="3" xfId="0" applyNumberFormat="1" applyFont="1" applyFill="1" applyBorder="1" applyAlignment="1">
      <alignment horizontal="center" vertical="center" wrapText="1"/>
    </xf>
    <xf numFmtId="14" fontId="22" fillId="10" borderId="3" xfId="0" applyNumberFormat="1" applyFont="1" applyFill="1" applyBorder="1" applyAlignment="1">
      <alignment horizontal="center" vertical="center" wrapText="1"/>
    </xf>
    <xf numFmtId="0" fontId="24" fillId="0" borderId="0" xfId="0" applyFont="1" applyAlignment="1">
      <alignment wrapText="1"/>
    </xf>
    <xf numFmtId="0" fontId="2" fillId="0" borderId="0" xfId="0" applyFont="1" applyAlignment="1">
      <alignment wrapText="1"/>
    </xf>
    <xf numFmtId="0" fontId="16" fillId="0" borderId="3" xfId="0" applyFont="1" applyBorder="1" applyAlignment="1">
      <alignment horizontal="center" vertical="center" wrapText="1"/>
    </xf>
    <xf numFmtId="0" fontId="24" fillId="0" borderId="14" xfId="0" applyFont="1" applyBorder="1" applyAlignment="1">
      <alignment horizontal="left" vertical="center" wrapText="1"/>
    </xf>
    <xf numFmtId="0" fontId="0" fillId="2" borderId="0" xfId="0" applyFill="1" applyAlignment="1">
      <alignment horizontal="center" vertical="center"/>
    </xf>
    <xf numFmtId="0" fontId="51" fillId="2" borderId="0" xfId="0" applyFont="1" applyFill="1" applyAlignment="1">
      <alignment horizontal="center" vertical="center"/>
    </xf>
    <xf numFmtId="0" fontId="0" fillId="2" borderId="0" xfId="0" applyFill="1" applyAlignment="1">
      <alignment horizontal="center" vertical="center" wrapText="1"/>
    </xf>
    <xf numFmtId="0" fontId="19" fillId="0" borderId="3" xfId="0" applyFont="1" applyBorder="1" applyAlignment="1">
      <alignment horizontal="left" vertical="center" wrapText="1" indent="1"/>
    </xf>
    <xf numFmtId="0" fontId="19" fillId="11" borderId="3" xfId="0" applyFont="1" applyFill="1" applyBorder="1" applyAlignment="1">
      <alignment horizontal="justify" vertical="top" wrapText="1"/>
    </xf>
    <xf numFmtId="14" fontId="19" fillId="11" borderId="3" xfId="0" applyNumberFormat="1" applyFont="1" applyFill="1" applyBorder="1" applyAlignment="1">
      <alignment horizontal="center" vertical="center" wrapText="1"/>
    </xf>
    <xf numFmtId="14" fontId="22" fillId="11" borderId="3" xfId="0" applyNumberFormat="1" applyFont="1" applyFill="1" applyBorder="1" applyAlignment="1">
      <alignment horizontal="center" vertical="center" wrapText="1"/>
    </xf>
    <xf numFmtId="165" fontId="19" fillId="11" borderId="3" xfId="0" applyNumberFormat="1" applyFont="1" applyFill="1" applyBorder="1" applyAlignment="1">
      <alignment horizontal="center" vertical="center" wrapText="1"/>
    </xf>
    <xf numFmtId="0" fontId="19" fillId="11" borderId="3" xfId="0" applyFont="1" applyFill="1" applyBorder="1" applyAlignment="1">
      <alignment horizontal="center" vertical="center" wrapText="1"/>
    </xf>
    <xf numFmtId="0" fontId="24" fillId="11" borderId="3" xfId="0"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6" fontId="22" fillId="0" borderId="3" xfId="1" applyNumberFormat="1" applyFont="1" applyFill="1" applyBorder="1" applyAlignment="1">
      <alignment horizontal="right" vertical="center" wrapText="1"/>
    </xf>
    <xf numFmtId="3" fontId="22" fillId="0" borderId="3" xfId="0" applyNumberFormat="1" applyFont="1" applyFill="1" applyBorder="1" applyAlignment="1">
      <alignment horizontal="right" vertical="center" wrapText="1"/>
    </xf>
    <xf numFmtId="14" fontId="23" fillId="0" borderId="3" xfId="0" applyNumberFormat="1" applyFont="1" applyFill="1" applyBorder="1" applyAlignment="1">
      <alignment horizontal="right" vertical="center" wrapText="1"/>
    </xf>
    <xf numFmtId="0" fontId="22" fillId="2" borderId="3" xfId="0" applyFont="1" applyFill="1" applyBorder="1" applyAlignment="1">
      <alignment horizontal="left" vertical="top" wrapText="1"/>
    </xf>
    <xf numFmtId="165" fontId="19" fillId="2" borderId="3" xfId="0" applyNumberFormat="1" applyFont="1" applyFill="1" applyBorder="1" applyAlignment="1">
      <alignment horizontal="center" vertical="center" wrapText="1"/>
    </xf>
    <xf numFmtId="0" fontId="0" fillId="5" borderId="3" xfId="0" applyFill="1" applyBorder="1" applyAlignment="1">
      <alignment horizontal="center" vertical="center" wrapText="1"/>
    </xf>
    <xf numFmtId="0" fontId="19" fillId="5" borderId="3" xfId="0" applyFont="1" applyFill="1" applyBorder="1" applyAlignment="1">
      <alignment horizontal="left" vertical="center" wrapText="1"/>
    </xf>
    <xf numFmtId="0" fontId="16" fillId="0" borderId="3" xfId="0" applyFont="1" applyBorder="1" applyAlignment="1">
      <alignment horizontal="center" vertical="center" wrapText="1"/>
    </xf>
    <xf numFmtId="4" fontId="16" fillId="0" borderId="9"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 fontId="16" fillId="0" borderId="3" xfId="0" applyNumberFormat="1" applyFont="1" applyBorder="1" applyAlignment="1">
      <alignment vertical="center" wrapText="1"/>
    </xf>
    <xf numFmtId="4" fontId="16" fillId="2" borderId="3" xfId="0" applyNumberFormat="1" applyFont="1" applyFill="1" applyBorder="1" applyAlignment="1">
      <alignment vertical="center" wrapText="1"/>
    </xf>
    <xf numFmtId="3" fontId="16" fillId="0" borderId="3" xfId="0" applyNumberFormat="1" applyFont="1" applyBorder="1" applyAlignment="1">
      <alignment vertical="center" wrapText="1"/>
    </xf>
    <xf numFmtId="0" fontId="16" fillId="0" borderId="3" xfId="0" applyFont="1" applyBorder="1" applyAlignment="1">
      <alignment horizontal="center" vertical="center" wrapText="1"/>
    </xf>
    <xf numFmtId="4" fontId="16" fillId="0" borderId="1" xfId="0" applyNumberFormat="1" applyFont="1" applyBorder="1" applyAlignment="1">
      <alignment vertical="center" wrapText="1"/>
    </xf>
    <xf numFmtId="4" fontId="16" fillId="0" borderId="8" xfId="0" applyNumberFormat="1" applyFont="1" applyBorder="1" applyAlignment="1">
      <alignment vertical="center" wrapText="1"/>
    </xf>
    <xf numFmtId="4" fontId="16" fillId="7" borderId="6" xfId="0" applyNumberFormat="1" applyFont="1" applyFill="1" applyBorder="1" applyAlignment="1">
      <alignment vertical="center" wrapText="1"/>
    </xf>
    <xf numFmtId="4" fontId="16" fillId="7" borderId="21" xfId="0" applyNumberFormat="1" applyFont="1" applyFill="1" applyBorder="1" applyAlignment="1">
      <alignment vertical="center" wrapText="1"/>
    </xf>
    <xf numFmtId="3" fontId="16" fillId="0" borderId="1" xfId="0" applyNumberFormat="1" applyFont="1" applyBorder="1" applyAlignment="1">
      <alignment vertical="center" wrapText="1"/>
    </xf>
    <xf numFmtId="4" fontId="16" fillId="2" borderId="1" xfId="0" applyNumberFormat="1" applyFont="1" applyFill="1" applyBorder="1" applyAlignment="1">
      <alignment vertical="center" wrapText="1"/>
    </xf>
    <xf numFmtId="0" fontId="16" fillId="0" borderId="1" xfId="0" applyFont="1" applyBorder="1" applyAlignment="1">
      <alignment horizontal="center" vertical="center" wrapText="1"/>
    </xf>
    <xf numFmtId="4" fontId="16" fillId="4" borderId="3" xfId="0" applyNumberFormat="1" applyFont="1" applyFill="1" applyBorder="1" applyAlignment="1">
      <alignment vertical="center" wrapText="1"/>
    </xf>
    <xf numFmtId="4" fontId="16" fillId="0" borderId="8" xfId="0" applyNumberFormat="1" applyFont="1" applyBorder="1" applyAlignment="1">
      <alignment horizontal="center" vertical="center" wrapText="1"/>
    </xf>
    <xf numFmtId="4" fontId="16"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6" borderId="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Border="1" applyAlignment="1">
      <alignment vertical="center" wrapText="1"/>
    </xf>
    <xf numFmtId="0" fontId="16" fillId="0" borderId="3" xfId="0" applyFont="1" applyBorder="1" applyAlignment="1">
      <alignment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30" fillId="6" borderId="6" xfId="0" applyFont="1" applyFill="1" applyBorder="1" applyAlignment="1">
      <alignment vertical="center" wrapText="1"/>
    </xf>
    <xf numFmtId="0" fontId="30" fillId="6" borderId="5" xfId="0" applyFont="1" applyFill="1" applyBorder="1" applyAlignment="1">
      <alignment vertical="center" wrapText="1"/>
    </xf>
    <xf numFmtId="3" fontId="16" fillId="6" borderId="6" xfId="0" applyNumberFormat="1" applyFont="1" applyFill="1" applyBorder="1" applyAlignment="1">
      <alignment vertical="center" wrapText="1"/>
    </xf>
    <xf numFmtId="3" fontId="16" fillId="6" borderId="5" xfId="0" applyNumberFormat="1" applyFont="1" applyFill="1" applyBorder="1" applyAlignment="1">
      <alignment vertical="center" wrapText="1"/>
    </xf>
    <xf numFmtId="4" fontId="16" fillId="6" borderId="6" xfId="0" applyNumberFormat="1" applyFont="1" applyFill="1" applyBorder="1" applyAlignment="1">
      <alignment vertical="center" wrapText="1"/>
    </xf>
    <xf numFmtId="4" fontId="16" fillId="6" borderId="5" xfId="0" applyNumberFormat="1" applyFont="1" applyFill="1" applyBorder="1" applyAlignment="1">
      <alignment vertical="center" wrapText="1"/>
    </xf>
    <xf numFmtId="0" fontId="19" fillId="6" borderId="6" xfId="0" applyFont="1" applyFill="1" applyBorder="1" applyAlignment="1">
      <alignment horizontal="center" vertical="center" wrapText="1"/>
    </xf>
    <xf numFmtId="4" fontId="16" fillId="2" borderId="6" xfId="0" applyNumberFormat="1" applyFont="1" applyFill="1" applyBorder="1" applyAlignment="1">
      <alignment vertical="center" wrapText="1"/>
    </xf>
    <xf numFmtId="4" fontId="16" fillId="2" borderId="5" xfId="0" applyNumberFormat="1" applyFont="1" applyFill="1" applyBorder="1" applyAlignment="1">
      <alignment vertical="center" wrapText="1"/>
    </xf>
    <xf numFmtId="4" fontId="16" fillId="6" borderId="8" xfId="0" applyNumberFormat="1" applyFont="1" applyFill="1" applyBorder="1" applyAlignment="1">
      <alignment horizontal="center" vertical="center" wrapText="1"/>
    </xf>
    <xf numFmtId="4" fontId="16" fillId="6" borderId="12" xfId="0" applyNumberFormat="1"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19" fillId="0" borderId="2" xfId="0" quotePrefix="1" applyFont="1" applyBorder="1" applyAlignment="1">
      <alignment horizontal="center" vertical="center" wrapText="1"/>
    </xf>
    <xf numFmtId="4" fontId="16" fillId="0" borderId="3" xfId="0" applyNumberFormat="1" applyFont="1" applyFill="1" applyBorder="1" applyAlignment="1">
      <alignment vertical="center" wrapText="1"/>
    </xf>
    <xf numFmtId="0" fontId="16" fillId="0" borderId="3" xfId="0" applyFont="1" applyFill="1" applyBorder="1" applyAlignment="1">
      <alignment vertical="center" wrapText="1"/>
    </xf>
    <xf numFmtId="4" fontId="24" fillId="0" borderId="0" xfId="0" applyNumberFormat="1" applyFont="1" applyFill="1" applyAlignment="1">
      <alignment horizontal="right" vertical="center" wrapText="1"/>
    </xf>
    <xf numFmtId="4" fontId="19" fillId="0" borderId="3" xfId="0" applyNumberFormat="1" applyFont="1" applyFill="1" applyBorder="1" applyAlignment="1">
      <alignment horizontal="right" vertical="center" wrapText="1"/>
    </xf>
    <xf numFmtId="0" fontId="19" fillId="0" borderId="3" xfId="0" applyFont="1" applyFill="1" applyBorder="1" applyAlignment="1">
      <alignment horizontal="right" vertical="center" wrapText="1"/>
    </xf>
    <xf numFmtId="0" fontId="22" fillId="0" borderId="3" xfId="0"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0" fontId="41" fillId="0" borderId="3" xfId="0" applyFont="1" applyFill="1" applyBorder="1" applyAlignment="1">
      <alignment horizontal="right" vertical="center" wrapText="1"/>
    </xf>
    <xf numFmtId="4" fontId="42" fillId="0" borderId="0" xfId="0" applyNumberFormat="1" applyFont="1" applyFill="1" applyAlignment="1">
      <alignment vertical="center" wrapText="1"/>
    </xf>
    <xf numFmtId="4" fontId="41" fillId="0" borderId="3" xfId="0" applyNumberFormat="1" applyFont="1" applyFill="1" applyBorder="1" applyAlignment="1">
      <alignment horizontal="right" vertical="center" wrapText="1"/>
    </xf>
    <xf numFmtId="0" fontId="16" fillId="0" borderId="3" xfId="0" applyFont="1" applyFill="1" applyBorder="1" applyAlignment="1">
      <alignment horizontal="right" vertical="center" wrapText="1"/>
    </xf>
    <xf numFmtId="2" fontId="22" fillId="0" borderId="3" xfId="0" applyNumberFormat="1" applyFont="1" applyFill="1" applyBorder="1" applyAlignment="1">
      <alignment horizontal="right" vertical="center" wrapText="1"/>
    </xf>
    <xf numFmtId="4" fontId="16" fillId="0" borderId="3"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164" fontId="22" fillId="0" borderId="3" xfId="0" applyNumberFormat="1" applyFont="1" applyFill="1" applyBorder="1" applyAlignment="1">
      <alignment horizontal="right" vertical="center" wrapText="1"/>
    </xf>
    <xf numFmtId="4" fontId="22" fillId="0" borderId="3" xfId="0" applyNumberFormat="1" applyFont="1" applyFill="1" applyBorder="1" applyAlignment="1">
      <alignment horizontal="center" vertical="center" wrapText="1"/>
    </xf>
    <xf numFmtId="166" fontId="19" fillId="0" borderId="6" xfId="1" applyNumberFormat="1" applyFont="1" applyFill="1" applyBorder="1" applyAlignment="1">
      <alignment horizontal="right" vertical="center" wrapText="1"/>
    </xf>
    <xf numFmtId="166" fontId="19" fillId="0" borderId="15" xfId="1" applyNumberFormat="1" applyFont="1" applyFill="1" applyBorder="1" applyAlignment="1">
      <alignment horizontal="right" vertical="center" wrapText="1"/>
    </xf>
    <xf numFmtId="166" fontId="19" fillId="0" borderId="5" xfId="1" applyNumberFormat="1" applyFont="1" applyFill="1" applyBorder="1" applyAlignment="1">
      <alignment horizontal="right" vertical="center" wrapText="1"/>
    </xf>
    <xf numFmtId="166" fontId="22" fillId="0" borderId="3" xfId="0" applyNumberFormat="1" applyFont="1" applyFill="1" applyBorder="1" applyAlignment="1">
      <alignment horizontal="right" vertical="center" wrapText="1"/>
    </xf>
    <xf numFmtId="4" fontId="25" fillId="0" borderId="26" xfId="0" applyNumberFormat="1" applyFont="1" applyFill="1" applyBorder="1" applyAlignment="1">
      <alignment horizontal="right" vertical="center" wrapText="1"/>
    </xf>
    <xf numFmtId="4" fontId="25" fillId="0" borderId="3" xfId="0" applyNumberFormat="1" applyFont="1" applyFill="1" applyBorder="1" applyAlignment="1">
      <alignment horizontal="right" vertical="center" wrapText="1"/>
    </xf>
    <xf numFmtId="4" fontId="56" fillId="0" borderId="0" xfId="0" applyNumberFormat="1" applyFont="1" applyFill="1" applyAlignment="1">
      <alignment horizontal="right" vertical="center" wrapText="1"/>
    </xf>
    <xf numFmtId="4" fontId="22" fillId="0" borderId="6" xfId="0" applyNumberFormat="1" applyFont="1" applyFill="1" applyBorder="1" applyAlignment="1">
      <alignment horizontal="right" vertical="center" wrapText="1"/>
    </xf>
    <xf numFmtId="4" fontId="56" fillId="0" borderId="3" xfId="0" applyNumberFormat="1" applyFont="1" applyFill="1" applyBorder="1" applyAlignment="1">
      <alignment horizontal="right" vertical="center" wrapText="1"/>
    </xf>
    <xf numFmtId="4" fontId="25" fillId="0" borderId="0" xfId="0" applyNumberFormat="1" applyFont="1" applyFill="1" applyAlignment="1">
      <alignment horizontal="right" vertical="center" wrapText="1"/>
    </xf>
    <xf numFmtId="4" fontId="21" fillId="0" borderId="3" xfId="0" applyNumberFormat="1" applyFont="1" applyFill="1" applyBorder="1" applyAlignment="1">
      <alignment vertical="center" wrapText="1"/>
    </xf>
    <xf numFmtId="4" fontId="21" fillId="0" borderId="3" xfId="0" applyNumberFormat="1" applyFont="1" applyFill="1" applyBorder="1" applyAlignment="1">
      <alignment horizontal="right" vertical="center" wrapText="1"/>
    </xf>
    <xf numFmtId="4" fontId="31" fillId="0" borderId="3" xfId="0" applyNumberFormat="1" applyFont="1" applyFill="1" applyBorder="1" applyAlignment="1">
      <alignment horizontal="right" vertical="center" wrapText="1"/>
    </xf>
    <xf numFmtId="4" fontId="31" fillId="0" borderId="0" xfId="0" applyNumberFormat="1" applyFont="1" applyFill="1" applyAlignment="1">
      <alignment horizontal="right" vertical="center" wrapText="1"/>
    </xf>
    <xf numFmtId="4" fontId="24" fillId="0" borderId="5" xfId="0" applyNumberFormat="1" applyFont="1" applyFill="1" applyBorder="1" applyAlignment="1">
      <alignment horizontal="right" vertical="center" wrapText="1"/>
    </xf>
    <xf numFmtId="0" fontId="21" fillId="0" borderId="0" xfId="0" applyFont="1" applyFill="1" applyAlignment="1">
      <alignment horizontal="center" vertical="center"/>
    </xf>
    <xf numFmtId="4" fontId="43" fillId="0" borderId="3" xfId="0" applyNumberFormat="1" applyFont="1" applyFill="1" applyBorder="1" applyAlignment="1">
      <alignment horizontal="right" vertical="center"/>
    </xf>
    <xf numFmtId="4" fontId="50" fillId="0" borderId="0" xfId="0" applyNumberFormat="1" applyFont="1" applyFill="1" applyAlignment="1">
      <alignment horizontal="center" vertical="center" wrapText="1"/>
    </xf>
    <xf numFmtId="166" fontId="22" fillId="0" borderId="6" xfId="1" applyNumberFormat="1" applyFont="1" applyFill="1" applyBorder="1" applyAlignment="1">
      <alignment horizontal="right" vertical="center" wrapText="1"/>
    </xf>
    <xf numFmtId="4" fontId="19" fillId="0" borderId="3" xfId="0" applyNumberFormat="1" applyFont="1" applyFill="1" applyBorder="1"/>
    <xf numFmtId="4" fontId="19" fillId="0" borderId="3" xfId="0" applyNumberFormat="1" applyFont="1" applyFill="1" applyBorder="1" applyAlignment="1">
      <alignment horizontal="center" vertical="center"/>
    </xf>
    <xf numFmtId="4" fontId="22" fillId="0" borderId="3" xfId="0" applyNumberFormat="1" applyFont="1" applyFill="1" applyBorder="1" applyAlignment="1">
      <alignment horizontal="center" vertical="center"/>
    </xf>
    <xf numFmtId="2" fontId="16" fillId="0" borderId="3"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0" fontId="21" fillId="0" borderId="0" xfId="0" applyFont="1" applyFill="1" applyAlignment="1">
      <alignment vertical="center"/>
    </xf>
    <xf numFmtId="4" fontId="43" fillId="0" borderId="3" xfId="0" applyNumberFormat="1" applyFont="1" applyFill="1" applyBorder="1" applyAlignment="1">
      <alignment horizontal="center" vertical="center"/>
    </xf>
    <xf numFmtId="4" fontId="22" fillId="0" borderId="6" xfId="1" applyNumberFormat="1" applyFont="1" applyFill="1" applyBorder="1" applyAlignment="1">
      <alignment horizontal="right" vertical="center" wrapText="1"/>
    </xf>
    <xf numFmtId="164" fontId="21" fillId="0" borderId="3" xfId="0" applyNumberFormat="1" applyFont="1" applyFill="1" applyBorder="1" applyAlignment="1">
      <alignment horizontal="center" vertical="center" wrapText="1"/>
    </xf>
    <xf numFmtId="4" fontId="22" fillId="0" borderId="15" xfId="1"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4" fontId="25" fillId="0" borderId="27" xfId="0" applyNumberFormat="1" applyFont="1" applyFill="1" applyBorder="1" applyAlignment="1">
      <alignment horizontal="right" vertical="center" wrapText="1"/>
    </xf>
    <xf numFmtId="0" fontId="25" fillId="0" borderId="3" xfId="0" applyFont="1" applyFill="1" applyBorder="1" applyAlignment="1">
      <alignment horizontal="right" vertical="center" wrapText="1"/>
    </xf>
    <xf numFmtId="0" fontId="25" fillId="0" borderId="0" xfId="0" applyFont="1" applyFill="1" applyAlignment="1">
      <alignment horizontal="right" vertical="center" wrapText="1"/>
    </xf>
    <xf numFmtId="166" fontId="0" fillId="0" borderId="3" xfId="0" applyNumberFormat="1" applyFill="1" applyBorder="1"/>
    <xf numFmtId="0" fontId="0" fillId="0" borderId="3" xfId="0" applyFill="1" applyBorder="1" applyAlignment="1">
      <alignment horizontal="right"/>
    </xf>
    <xf numFmtId="0" fontId="0" fillId="0" borderId="3" xfId="0" applyFill="1" applyBorder="1"/>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4" fontId="21" fillId="0" borderId="3" xfId="1" applyNumberFormat="1" applyFont="1" applyFill="1" applyBorder="1" applyAlignment="1">
      <alignment horizontal="right" vertical="center" wrapText="1"/>
    </xf>
    <xf numFmtId="166" fontId="19" fillId="0" borderId="0" xfId="0" applyNumberFormat="1" applyFont="1" applyFill="1" applyAlignment="1">
      <alignment vertical="center"/>
    </xf>
    <xf numFmtId="166" fontId="19" fillId="0" borderId="3" xfId="0" applyNumberFormat="1" applyFont="1" applyFill="1" applyBorder="1" applyAlignment="1">
      <alignment vertical="center"/>
    </xf>
    <xf numFmtId="166" fontId="19" fillId="0" borderId="4" xfId="0" applyNumberFormat="1" applyFont="1" applyFill="1" applyBorder="1" applyAlignment="1">
      <alignment horizontal="right" vertical="center" wrapText="1"/>
    </xf>
    <xf numFmtId="166" fontId="19" fillId="0" borderId="3" xfId="0" applyNumberFormat="1" applyFont="1" applyFill="1" applyBorder="1"/>
    <xf numFmtId="4" fontId="43" fillId="0" borderId="0" xfId="0" applyNumberFormat="1" applyFont="1" applyFill="1" applyAlignment="1">
      <alignment horizontal="right" vertical="center"/>
    </xf>
    <xf numFmtId="4" fontId="16" fillId="0" borderId="3" xfId="0" applyNumberFormat="1" applyFont="1" applyFill="1" applyBorder="1" applyAlignment="1">
      <alignment vertical="center" wrapText="1"/>
    </xf>
    <xf numFmtId="0" fontId="26" fillId="0" borderId="1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2" fillId="0" borderId="15" xfId="0"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22" fillId="0" borderId="15" xfId="0" applyFont="1" applyFill="1" applyBorder="1" applyAlignment="1">
      <alignment vertical="center" wrapText="1"/>
    </xf>
    <xf numFmtId="0" fontId="20" fillId="0" borderId="3" xfId="0" applyFont="1" applyFill="1" applyBorder="1" applyAlignment="1">
      <alignment vertical="center" wrapText="1"/>
    </xf>
    <xf numFmtId="0" fontId="26" fillId="0" borderId="15" xfId="0" applyFont="1" applyFill="1" applyBorder="1" applyAlignment="1">
      <alignment horizontal="center" vertical="center" wrapText="1"/>
    </xf>
    <xf numFmtId="0" fontId="19" fillId="0" borderId="3" xfId="0" applyFont="1" applyFill="1" applyBorder="1" applyAlignment="1">
      <alignment vertical="center" wrapText="1"/>
    </xf>
    <xf numFmtId="0" fontId="24" fillId="0" borderId="3" xfId="0" applyFont="1" applyFill="1" applyBorder="1" applyAlignment="1">
      <alignment vertical="center" wrapText="1"/>
    </xf>
    <xf numFmtId="0" fontId="16" fillId="0" borderId="3" xfId="0" applyFont="1" applyFill="1" applyBorder="1" applyAlignment="1">
      <alignment horizontal="left" vertical="center" wrapText="1"/>
    </xf>
    <xf numFmtId="0" fontId="21" fillId="0" borderId="15" xfId="0" applyFont="1" applyFill="1" applyBorder="1" applyAlignment="1">
      <alignment vertical="center" wrapText="1"/>
    </xf>
    <xf numFmtId="0" fontId="26" fillId="0" borderId="14" xfId="0" applyFont="1" applyFill="1" applyBorder="1" applyAlignment="1">
      <alignment horizontal="center" vertical="center" wrapText="1"/>
    </xf>
    <xf numFmtId="4" fontId="22" fillId="0" borderId="3" xfId="0" applyNumberFormat="1" applyFont="1" applyFill="1" applyBorder="1" applyAlignment="1">
      <alignment horizontal="left" vertical="center" wrapText="1"/>
    </xf>
    <xf numFmtId="0" fontId="22" fillId="0" borderId="2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left" vertical="center" wrapText="1"/>
    </xf>
    <xf numFmtId="3" fontId="22" fillId="0" borderId="15" xfId="0" applyNumberFormat="1"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4" fontId="22" fillId="0" borderId="15"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0" fontId="22" fillId="0" borderId="3" xfId="0" applyFont="1" applyFill="1" applyBorder="1" applyAlignment="1">
      <alignment vertical="center" wrapText="1"/>
    </xf>
    <xf numFmtId="0" fontId="21" fillId="0" borderId="3" xfId="0" applyFont="1" applyFill="1" applyBorder="1" applyAlignment="1">
      <alignment vertical="center"/>
    </xf>
    <xf numFmtId="0" fontId="19" fillId="0" borderId="15" xfId="4" applyFont="1" applyFill="1" applyBorder="1" applyAlignment="1">
      <alignment horizontal="center" vertical="center" wrapText="1"/>
    </xf>
    <xf numFmtId="0" fontId="26" fillId="0" borderId="15" xfId="4" applyFont="1" applyFill="1" applyBorder="1" applyAlignment="1">
      <alignment horizontal="center" vertical="center" wrapText="1"/>
    </xf>
    <xf numFmtId="0" fontId="22" fillId="0" borderId="3" xfId="4" applyFont="1" applyFill="1" applyBorder="1" applyAlignment="1">
      <alignment horizontal="center" vertical="center" wrapText="1"/>
    </xf>
    <xf numFmtId="0" fontId="21" fillId="0" borderId="3" xfId="4" applyFont="1" applyFill="1" applyBorder="1" applyAlignment="1">
      <alignment vertical="center" wrapText="1"/>
    </xf>
    <xf numFmtId="0" fontId="0" fillId="0" borderId="3" xfId="0" applyFill="1" applyBorder="1" applyAlignment="1">
      <alignment horizontal="center" vertical="center"/>
    </xf>
    <xf numFmtId="0" fontId="27" fillId="0" borderId="3" xfId="0" applyFont="1" applyFill="1" applyBorder="1" applyAlignment="1">
      <alignment horizontal="center" vertical="center"/>
    </xf>
    <xf numFmtId="0" fontId="19" fillId="0" borderId="2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0" borderId="0" xfId="0" applyFont="1" applyFill="1"/>
    <xf numFmtId="0" fontId="16"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35" fillId="0" borderId="0" xfId="0" applyFont="1" applyFill="1" applyAlignment="1">
      <alignment vertical="center" wrapText="1"/>
    </xf>
    <xf numFmtId="0" fontId="52"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4" fillId="0" borderId="0" xfId="0" applyFont="1" applyFill="1" applyAlignment="1">
      <alignment horizontal="center" vertical="center" wrapText="1"/>
    </xf>
    <xf numFmtId="0" fontId="0" fillId="0" borderId="0" xfId="0" applyFill="1" applyAlignment="1">
      <alignment horizontal="center"/>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F435"/>
  <sheetViews>
    <sheetView tabSelected="1" zoomScale="70" zoomScaleNormal="60" workbookViewId="0">
      <selection sqref="A1:A3"/>
    </sheetView>
  </sheetViews>
  <sheetFormatPr defaultColWidth="9.140625" defaultRowHeight="15" x14ac:dyDescent="0.25"/>
  <cols>
    <col min="1" max="1" width="11.7109375" customWidth="1"/>
    <col min="2" max="2" width="13.140625" style="256" bestFit="1" customWidth="1"/>
    <col min="3" max="3" width="11.28515625" style="454" bestFit="1" customWidth="1"/>
    <col min="4" max="4" width="11.42578125" style="256" customWidth="1"/>
    <col min="5" max="5" width="14.28515625" style="256" customWidth="1"/>
    <col min="6" max="6" width="18.5703125" style="256" customWidth="1"/>
    <col min="7" max="7" width="46.140625" style="12" customWidth="1"/>
    <col min="8" max="8" width="26" style="12" customWidth="1"/>
    <col min="9" max="9" width="23.85546875" style="468" customWidth="1"/>
    <col min="10" max="10" width="113.7109375" customWidth="1"/>
    <col min="11" max="11" width="20.5703125" style="153" customWidth="1"/>
    <col min="12" max="12" width="20" style="21" customWidth="1"/>
    <col min="13" max="13" width="24.28515625" style="21" customWidth="1"/>
    <col min="14" max="14" width="24.42578125" style="21" customWidth="1"/>
    <col min="15" max="15" width="31.85546875" style="21" customWidth="1"/>
    <col min="16" max="16" width="20.140625" style="21" customWidth="1"/>
    <col min="17" max="17" width="17" style="21" customWidth="1"/>
    <col min="18" max="18" width="29.140625" style="21" customWidth="1"/>
    <col min="19" max="19" width="21.85546875" customWidth="1"/>
    <col min="20" max="21" width="21.85546875" style="256" customWidth="1"/>
    <col min="22" max="22" width="18.7109375" customWidth="1"/>
    <col min="23" max="23" width="24" style="256" customWidth="1"/>
    <col min="24" max="24" width="22.5703125" style="256" customWidth="1"/>
    <col min="25" max="25" width="19.42578125" customWidth="1"/>
    <col min="26" max="26" width="19.42578125" style="256" customWidth="1"/>
    <col min="27" max="27" width="19.85546875" style="256" customWidth="1"/>
    <col min="28" max="28" width="19.5703125" customWidth="1"/>
    <col min="29" max="29" width="20" style="256" customWidth="1"/>
    <col min="30" max="30" width="13.42578125" style="256" customWidth="1"/>
    <col min="31" max="31" width="29" style="54" customWidth="1"/>
    <col min="32" max="32" width="18.85546875" customWidth="1"/>
    <col min="33" max="33" width="21.85546875" customWidth="1"/>
    <col min="34" max="34" width="27.7109375" bestFit="1" customWidth="1"/>
    <col min="35" max="35" width="25" style="7" customWidth="1"/>
    <col min="36" max="36" width="18.28515625" bestFit="1" customWidth="1"/>
    <col min="37" max="37" width="22.42578125" bestFit="1" customWidth="1"/>
    <col min="42" max="42" width="10" bestFit="1" customWidth="1"/>
  </cols>
  <sheetData>
    <row r="1" spans="1:110" ht="15.75" x14ac:dyDescent="0.25">
      <c r="A1" s="321" t="s">
        <v>0</v>
      </c>
      <c r="B1" s="407" t="s">
        <v>457</v>
      </c>
      <c r="C1" s="408" t="s">
        <v>1602</v>
      </c>
      <c r="D1" s="409" t="s">
        <v>156</v>
      </c>
      <c r="E1" s="409" t="s">
        <v>9</v>
      </c>
      <c r="F1" s="409" t="s">
        <v>160</v>
      </c>
      <c r="G1" s="324" t="s">
        <v>1</v>
      </c>
      <c r="H1" s="326" t="s">
        <v>15</v>
      </c>
      <c r="I1" s="414" t="s">
        <v>187</v>
      </c>
      <c r="J1" s="313" t="s">
        <v>17</v>
      </c>
      <c r="K1" s="328" t="s">
        <v>16</v>
      </c>
      <c r="L1" s="313" t="s">
        <v>18</v>
      </c>
      <c r="M1" s="313" t="s">
        <v>19</v>
      </c>
      <c r="N1" s="313" t="s">
        <v>2</v>
      </c>
      <c r="O1" s="313" t="s">
        <v>20</v>
      </c>
      <c r="P1" s="313" t="s">
        <v>3</v>
      </c>
      <c r="Q1" s="313" t="s">
        <v>4</v>
      </c>
      <c r="R1" s="313" t="s">
        <v>21</v>
      </c>
      <c r="S1" s="315" t="s">
        <v>10</v>
      </c>
      <c r="T1" s="316"/>
      <c r="U1" s="316"/>
      <c r="V1" s="316"/>
      <c r="W1" s="316"/>
      <c r="X1" s="316"/>
      <c r="Y1" s="316"/>
      <c r="Z1" s="317"/>
      <c r="AA1" s="317"/>
      <c r="AB1" s="318"/>
      <c r="AC1" s="398" t="s">
        <v>4</v>
      </c>
      <c r="AD1" s="398"/>
      <c r="AE1" s="312" t="s">
        <v>155</v>
      </c>
      <c r="AF1" s="19"/>
      <c r="AG1" s="307" t="s">
        <v>5</v>
      </c>
      <c r="AH1" s="311" t="s">
        <v>14</v>
      </c>
      <c r="AI1" s="311" t="s">
        <v>6</v>
      </c>
      <c r="AJ1" s="307" t="s">
        <v>23</v>
      </c>
      <c r="AK1" s="308"/>
    </row>
    <row r="2" spans="1:110" ht="15.75" x14ac:dyDescent="0.25">
      <c r="A2" s="322"/>
      <c r="B2" s="410"/>
      <c r="C2" s="411"/>
      <c r="D2" s="412"/>
      <c r="E2" s="412"/>
      <c r="F2" s="412"/>
      <c r="G2" s="325"/>
      <c r="H2" s="327"/>
      <c r="I2" s="455"/>
      <c r="J2" s="306"/>
      <c r="K2" s="329"/>
      <c r="L2" s="306"/>
      <c r="M2" s="306"/>
      <c r="N2" s="306"/>
      <c r="O2" s="306"/>
      <c r="P2" s="306"/>
      <c r="Q2" s="306"/>
      <c r="R2" s="306"/>
      <c r="S2" s="299" t="s">
        <v>11</v>
      </c>
      <c r="T2" s="300"/>
      <c r="U2" s="300"/>
      <c r="V2" s="300"/>
      <c r="W2" s="301"/>
      <c r="X2" s="302"/>
      <c r="Y2" s="314" t="s">
        <v>13</v>
      </c>
      <c r="Z2" s="346"/>
      <c r="AA2" s="346"/>
      <c r="AB2" s="309" t="s">
        <v>22</v>
      </c>
      <c r="AC2" s="346"/>
      <c r="AD2" s="346"/>
      <c r="AE2" s="304"/>
      <c r="AF2" s="406" t="s">
        <v>7</v>
      </c>
      <c r="AG2" s="303"/>
      <c r="AH2" s="305"/>
      <c r="AI2" s="305"/>
      <c r="AJ2" s="303" t="s">
        <v>8</v>
      </c>
      <c r="AK2" s="303" t="s">
        <v>24</v>
      </c>
    </row>
    <row r="3" spans="1:110" ht="32.25" thickBot="1" x14ac:dyDescent="0.3">
      <c r="A3" s="323"/>
      <c r="B3" s="413"/>
      <c r="C3" s="411"/>
      <c r="D3" s="412"/>
      <c r="E3" s="412"/>
      <c r="F3" s="412"/>
      <c r="G3" s="325"/>
      <c r="H3" s="327"/>
      <c r="I3" s="416"/>
      <c r="J3" s="306"/>
      <c r="K3" s="329"/>
      <c r="L3" s="306"/>
      <c r="M3" s="306"/>
      <c r="N3" s="306"/>
      <c r="O3" s="306"/>
      <c r="P3" s="306"/>
      <c r="Q3" s="306"/>
      <c r="R3" s="306"/>
      <c r="S3" s="44" t="s">
        <v>8</v>
      </c>
      <c r="T3" s="346" t="s">
        <v>180</v>
      </c>
      <c r="U3" s="346" t="s">
        <v>179</v>
      </c>
      <c r="V3" s="44" t="s">
        <v>12</v>
      </c>
      <c r="W3" s="346" t="s">
        <v>180</v>
      </c>
      <c r="X3" s="346" t="s">
        <v>179</v>
      </c>
      <c r="Y3" s="314"/>
      <c r="Z3" s="346" t="s">
        <v>180</v>
      </c>
      <c r="AA3" s="346" t="s">
        <v>179</v>
      </c>
      <c r="AB3" s="310"/>
      <c r="AC3" s="346" t="s">
        <v>180</v>
      </c>
      <c r="AD3" s="346" t="s">
        <v>179</v>
      </c>
      <c r="AE3" s="304"/>
      <c r="AF3" s="406"/>
      <c r="AG3" s="303"/>
      <c r="AH3" s="305"/>
      <c r="AI3" s="305"/>
      <c r="AJ3" s="303"/>
      <c r="AK3" s="303"/>
    </row>
    <row r="4" spans="1:110" ht="15.75" x14ac:dyDescent="0.25">
      <c r="A4" s="330" t="s">
        <v>223</v>
      </c>
      <c r="B4" s="414" t="s">
        <v>458</v>
      </c>
      <c r="C4" s="409" t="s">
        <v>227</v>
      </c>
      <c r="D4" s="409" t="s">
        <v>156</v>
      </c>
      <c r="E4" s="415" t="s">
        <v>224</v>
      </c>
      <c r="F4" s="409" t="s">
        <v>225</v>
      </c>
      <c r="G4" s="319" t="s">
        <v>226</v>
      </c>
      <c r="H4" s="319" t="s">
        <v>228</v>
      </c>
      <c r="I4" s="415" t="s">
        <v>229</v>
      </c>
      <c r="J4" s="319" t="s">
        <v>230</v>
      </c>
      <c r="K4" s="171" t="s">
        <v>231</v>
      </c>
      <c r="L4" s="319" t="s">
        <v>232</v>
      </c>
      <c r="M4" s="319" t="s">
        <v>236</v>
      </c>
      <c r="N4" s="319" t="s">
        <v>233</v>
      </c>
      <c r="O4" s="319" t="s">
        <v>234</v>
      </c>
      <c r="P4" s="319" t="s">
        <v>235</v>
      </c>
      <c r="Q4" s="319" t="s">
        <v>237</v>
      </c>
      <c r="R4" s="338" t="s">
        <v>1601</v>
      </c>
      <c r="S4" s="341" t="s">
        <v>238</v>
      </c>
      <c r="T4" s="342"/>
      <c r="U4" s="342"/>
      <c r="V4" s="342"/>
      <c r="W4" s="342"/>
      <c r="X4" s="342"/>
      <c r="Y4" s="342"/>
      <c r="Z4" s="343"/>
      <c r="AA4" s="343"/>
      <c r="AB4" s="344"/>
      <c r="AC4" s="399"/>
      <c r="AD4" s="399"/>
      <c r="AE4" s="339" t="s">
        <v>245</v>
      </c>
      <c r="AF4" s="336" t="s">
        <v>246</v>
      </c>
      <c r="AG4" s="336" t="s">
        <v>247</v>
      </c>
      <c r="AH4" s="332" t="s">
        <v>248</v>
      </c>
      <c r="AI4" s="334" t="s">
        <v>249</v>
      </c>
      <c r="AJ4" s="336" t="s">
        <v>239</v>
      </c>
      <c r="AK4" s="336" t="s">
        <v>250</v>
      </c>
    </row>
    <row r="5" spans="1:110" s="13" customFormat="1" ht="47.25" x14ac:dyDescent="0.25">
      <c r="A5" s="331"/>
      <c r="B5" s="416"/>
      <c r="C5" s="412"/>
      <c r="D5" s="412"/>
      <c r="E5" s="416"/>
      <c r="F5" s="412"/>
      <c r="G5" s="320"/>
      <c r="H5" s="320"/>
      <c r="I5" s="416"/>
      <c r="J5" s="320"/>
      <c r="K5" s="172"/>
      <c r="L5" s="320"/>
      <c r="M5" s="320"/>
      <c r="N5" s="320"/>
      <c r="O5" s="320"/>
      <c r="P5" s="320"/>
      <c r="Q5" s="320"/>
      <c r="R5" s="320"/>
      <c r="S5" s="44" t="s">
        <v>239</v>
      </c>
      <c r="T5" s="346" t="s">
        <v>241</v>
      </c>
      <c r="U5" s="346" t="s">
        <v>240</v>
      </c>
      <c r="V5" s="44" t="s">
        <v>242</v>
      </c>
      <c r="W5" s="346" t="s">
        <v>241</v>
      </c>
      <c r="X5" s="346" t="s">
        <v>240</v>
      </c>
      <c r="Y5" s="44" t="s">
        <v>243</v>
      </c>
      <c r="Z5" s="346" t="s">
        <v>241</v>
      </c>
      <c r="AA5" s="346" t="s">
        <v>240</v>
      </c>
      <c r="AB5" s="45" t="s">
        <v>244</v>
      </c>
      <c r="AC5" s="346" t="s">
        <v>241</v>
      </c>
      <c r="AD5" s="346" t="s">
        <v>240</v>
      </c>
      <c r="AE5" s="340"/>
      <c r="AF5" s="337"/>
      <c r="AG5" s="337"/>
      <c r="AH5" s="333"/>
      <c r="AI5" s="335"/>
      <c r="AJ5" s="337"/>
      <c r="AK5" s="337"/>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row>
    <row r="6" spans="1:110" ht="15.75" x14ac:dyDescent="0.25">
      <c r="A6" s="46">
        <v>0</v>
      </c>
      <c r="B6" s="417"/>
      <c r="C6" s="268">
        <v>1</v>
      </c>
      <c r="D6" s="418" t="s">
        <v>175</v>
      </c>
      <c r="E6" s="418">
        <v>2</v>
      </c>
      <c r="F6" s="418">
        <v>3</v>
      </c>
      <c r="G6" s="48">
        <v>4</v>
      </c>
      <c r="H6" s="48">
        <v>5</v>
      </c>
      <c r="I6" s="418">
        <v>6</v>
      </c>
      <c r="J6" s="48">
        <v>7</v>
      </c>
      <c r="K6" s="150">
        <v>8</v>
      </c>
      <c r="L6" s="48">
        <v>9</v>
      </c>
      <c r="M6" s="48">
        <v>10</v>
      </c>
      <c r="N6" s="48">
        <v>11</v>
      </c>
      <c r="O6" s="48">
        <v>12</v>
      </c>
      <c r="P6" s="48">
        <v>13</v>
      </c>
      <c r="Q6" s="48">
        <v>14</v>
      </c>
      <c r="R6" s="48">
        <v>15</v>
      </c>
      <c r="S6" s="20">
        <v>16</v>
      </c>
      <c r="T6" s="347"/>
      <c r="U6" s="347"/>
      <c r="V6" s="20">
        <v>17</v>
      </c>
      <c r="W6" s="347"/>
      <c r="X6" s="347"/>
      <c r="Y6" s="20">
        <v>18</v>
      </c>
      <c r="Z6" s="346"/>
      <c r="AA6" s="346"/>
      <c r="AB6" s="20">
        <v>19</v>
      </c>
      <c r="AC6" s="347"/>
      <c r="AD6" s="347"/>
      <c r="AE6" s="53" t="s">
        <v>176</v>
      </c>
      <c r="AF6" s="49">
        <v>20</v>
      </c>
      <c r="AG6" s="49">
        <v>21</v>
      </c>
      <c r="AH6" s="49">
        <v>22</v>
      </c>
      <c r="AI6" s="49">
        <v>23</v>
      </c>
      <c r="AJ6" s="49">
        <v>24</v>
      </c>
      <c r="AK6" s="49">
        <v>25</v>
      </c>
    </row>
    <row r="7" spans="1:110" ht="393.75" x14ac:dyDescent="0.25">
      <c r="A7" s="345" t="s">
        <v>1751</v>
      </c>
      <c r="B7" s="271">
        <v>110755</v>
      </c>
      <c r="C7" s="268">
        <v>121</v>
      </c>
      <c r="D7" s="235" t="s">
        <v>168</v>
      </c>
      <c r="E7" s="270" t="s">
        <v>988</v>
      </c>
      <c r="F7" s="419" t="s">
        <v>354</v>
      </c>
      <c r="G7" s="11" t="s">
        <v>278</v>
      </c>
      <c r="H7" s="11" t="s">
        <v>279</v>
      </c>
      <c r="I7" s="260" t="s">
        <v>181</v>
      </c>
      <c r="J7" s="23" t="s">
        <v>536</v>
      </c>
      <c r="K7" s="148">
        <v>43145</v>
      </c>
      <c r="L7" s="4">
        <v>43630</v>
      </c>
      <c r="M7" s="5">
        <f t="shared" ref="M7:M62" si="0">S7/AE7*100</f>
        <v>84.999999517641427</v>
      </c>
      <c r="N7" s="6">
        <v>7</v>
      </c>
      <c r="O7" s="6" t="s">
        <v>288</v>
      </c>
      <c r="P7" s="6" t="s">
        <v>282</v>
      </c>
      <c r="Q7" s="10" t="s">
        <v>208</v>
      </c>
      <c r="R7" s="8" t="s">
        <v>36</v>
      </c>
      <c r="S7" s="55">
        <f t="shared" ref="S7:S9" si="1">T7+U7</f>
        <v>352434.92</v>
      </c>
      <c r="T7" s="348">
        <v>352434.92</v>
      </c>
      <c r="U7" s="234">
        <v>0</v>
      </c>
      <c r="V7" s="57">
        <f t="shared" ref="V7:V14" si="2">W7+X7</f>
        <v>53844.59</v>
      </c>
      <c r="W7" s="348">
        <v>53844.59</v>
      </c>
      <c r="X7" s="254">
        <v>0</v>
      </c>
      <c r="Y7" s="57">
        <f t="shared" ref="Y7" si="3">Z7+AA7</f>
        <v>8349.81</v>
      </c>
      <c r="Z7" s="348">
        <v>8349.81</v>
      </c>
      <c r="AA7" s="254">
        <v>0</v>
      </c>
      <c r="AB7" s="58">
        <f>AC7+AD7</f>
        <v>0</v>
      </c>
      <c r="AC7" s="291">
        <v>0</v>
      </c>
      <c r="AD7" s="291">
        <v>0</v>
      </c>
      <c r="AE7" s="59">
        <f>S7+V7+Y7+AB7</f>
        <v>414629.32</v>
      </c>
      <c r="AF7" s="58">
        <v>0</v>
      </c>
      <c r="AG7" s="58">
        <f t="shared" ref="AG7:AG13" si="4">AE7+AF7</f>
        <v>414629.32</v>
      </c>
      <c r="AH7" s="60" t="s">
        <v>1092</v>
      </c>
      <c r="AI7" s="61" t="s">
        <v>181</v>
      </c>
      <c r="AJ7" s="72">
        <f>18251.2+30807.23+59702.3+126620.25</f>
        <v>235380.98</v>
      </c>
      <c r="AK7" s="62">
        <f>2788.4+4706.69+9121.25+19344.9</f>
        <v>35961.240000000005</v>
      </c>
      <c r="AL7" s="280"/>
    </row>
    <row r="8" spans="1:110" ht="141.75" x14ac:dyDescent="0.25">
      <c r="A8" s="345" t="s">
        <v>1752</v>
      </c>
      <c r="B8" s="235">
        <v>109854</v>
      </c>
      <c r="C8" s="268">
        <v>116</v>
      </c>
      <c r="D8" s="235" t="s">
        <v>169</v>
      </c>
      <c r="E8" s="270" t="s">
        <v>988</v>
      </c>
      <c r="F8" s="419" t="s">
        <v>354</v>
      </c>
      <c r="G8" s="37" t="s">
        <v>379</v>
      </c>
      <c r="H8" s="11" t="s">
        <v>380</v>
      </c>
      <c r="I8" s="260" t="s">
        <v>380</v>
      </c>
      <c r="J8" s="36" t="s">
        <v>383</v>
      </c>
      <c r="K8" s="148">
        <v>43186</v>
      </c>
      <c r="L8" s="4">
        <v>43551</v>
      </c>
      <c r="M8" s="5">
        <f t="shared" si="0"/>
        <v>85.000000944809514</v>
      </c>
      <c r="N8" s="6">
        <v>7</v>
      </c>
      <c r="O8" s="6" t="s">
        <v>288</v>
      </c>
      <c r="P8" s="6" t="s">
        <v>381</v>
      </c>
      <c r="Q8" s="10" t="s">
        <v>208</v>
      </c>
      <c r="R8" s="6" t="s">
        <v>36</v>
      </c>
      <c r="S8" s="57">
        <f t="shared" si="1"/>
        <v>359860.9</v>
      </c>
      <c r="T8" s="234">
        <v>359860.9</v>
      </c>
      <c r="U8" s="234">
        <v>0</v>
      </c>
      <c r="V8" s="57">
        <f t="shared" si="2"/>
        <v>55037.54</v>
      </c>
      <c r="W8" s="234">
        <v>55037.54</v>
      </c>
      <c r="X8" s="234">
        <v>0</v>
      </c>
      <c r="Y8" s="57">
        <f>Z8+AA8</f>
        <v>8467.32</v>
      </c>
      <c r="Z8" s="234">
        <v>8467.32</v>
      </c>
      <c r="AA8" s="234">
        <v>0</v>
      </c>
      <c r="AB8" s="58">
        <f t="shared" ref="AB8:AB14" si="5">AC8+AD8</f>
        <v>0</v>
      </c>
      <c r="AC8" s="291">
        <v>0</v>
      </c>
      <c r="AD8" s="291">
        <v>0</v>
      </c>
      <c r="AE8" s="63">
        <f>S8+V8+Y8+AB8</f>
        <v>423365.76</v>
      </c>
      <c r="AF8" s="55">
        <v>0</v>
      </c>
      <c r="AG8" s="55">
        <f t="shared" si="4"/>
        <v>423365.76</v>
      </c>
      <c r="AH8" s="60" t="s">
        <v>1092</v>
      </c>
      <c r="AI8" s="61" t="s">
        <v>372</v>
      </c>
      <c r="AJ8" s="72">
        <f>21516.9+45941.89+93672.06+106670.77</f>
        <v>267801.62</v>
      </c>
      <c r="AK8" s="62">
        <f>3290.82+7026.4+14326.31+16314.36</f>
        <v>40957.89</v>
      </c>
    </row>
    <row r="9" spans="1:110" ht="236.25" x14ac:dyDescent="0.25">
      <c r="A9" s="345" t="s">
        <v>1753</v>
      </c>
      <c r="B9" s="417">
        <v>119560</v>
      </c>
      <c r="C9" s="268">
        <v>471</v>
      </c>
      <c r="D9" s="235" t="s">
        <v>864</v>
      </c>
      <c r="E9" s="260" t="s">
        <v>1060</v>
      </c>
      <c r="F9" s="419" t="s">
        <v>564</v>
      </c>
      <c r="G9" s="14" t="s">
        <v>629</v>
      </c>
      <c r="H9" s="26" t="s">
        <v>628</v>
      </c>
      <c r="I9" s="260" t="s">
        <v>360</v>
      </c>
      <c r="J9" s="14" t="s">
        <v>630</v>
      </c>
      <c r="K9" s="147">
        <v>43265</v>
      </c>
      <c r="L9" s="15">
        <v>43752</v>
      </c>
      <c r="M9" s="5">
        <f t="shared" si="0"/>
        <v>84.216178284166972</v>
      </c>
      <c r="N9" s="6">
        <v>7</v>
      </c>
      <c r="O9" s="6" t="s">
        <v>288</v>
      </c>
      <c r="P9" s="6" t="s">
        <v>631</v>
      </c>
      <c r="Q9" s="10" t="s">
        <v>208</v>
      </c>
      <c r="R9" s="6" t="s">
        <v>36</v>
      </c>
      <c r="S9" s="57">
        <f t="shared" si="1"/>
        <v>336316.07</v>
      </c>
      <c r="T9" s="234">
        <v>336316.07</v>
      </c>
      <c r="U9" s="234">
        <v>0</v>
      </c>
      <c r="V9" s="57">
        <f t="shared" si="2"/>
        <v>55045.45</v>
      </c>
      <c r="W9" s="234">
        <v>55045.45</v>
      </c>
      <c r="X9" s="234">
        <v>0</v>
      </c>
      <c r="Y9" s="57">
        <f t="shared" ref="Y9:Y16" si="6">Z9+AA9</f>
        <v>7987.01</v>
      </c>
      <c r="Z9" s="234">
        <v>7987.01</v>
      </c>
      <c r="AA9" s="234">
        <v>0</v>
      </c>
      <c r="AB9" s="58">
        <f t="shared" si="5"/>
        <v>0</v>
      </c>
      <c r="AC9" s="234">
        <v>0</v>
      </c>
      <c r="AD9" s="234">
        <v>0</v>
      </c>
      <c r="AE9" s="63">
        <f t="shared" ref="AE9:AE14" si="7">S9+V9+Y9</f>
        <v>399348.53</v>
      </c>
      <c r="AF9" s="55"/>
      <c r="AG9" s="55">
        <f t="shared" si="4"/>
        <v>399348.53</v>
      </c>
      <c r="AH9" s="60" t="s">
        <v>607</v>
      </c>
      <c r="AI9" s="61" t="s">
        <v>372</v>
      </c>
      <c r="AJ9" s="72">
        <f>49080.06+14949.98+41134.39-2384.82+15898.81+15022.21+13804.48+15111.79</f>
        <v>162616.9</v>
      </c>
      <c r="AK9" s="62">
        <f>3856+2638.23+7747.66+2384.82+2297.51+2436.08+2666.77</f>
        <v>24027.070000000003</v>
      </c>
    </row>
    <row r="10" spans="1:110" ht="141.75" x14ac:dyDescent="0.25">
      <c r="A10" s="345" t="s">
        <v>1754</v>
      </c>
      <c r="B10" s="417">
        <v>117934</v>
      </c>
      <c r="C10" s="268">
        <v>417</v>
      </c>
      <c r="D10" s="418" t="s">
        <v>705</v>
      </c>
      <c r="E10" s="270" t="s">
        <v>725</v>
      </c>
      <c r="F10" s="419" t="s">
        <v>632</v>
      </c>
      <c r="G10" s="14" t="s">
        <v>680</v>
      </c>
      <c r="H10" s="26" t="s">
        <v>628</v>
      </c>
      <c r="I10" s="418" t="s">
        <v>181</v>
      </c>
      <c r="J10" s="14" t="s">
        <v>681</v>
      </c>
      <c r="K10" s="147">
        <v>43275</v>
      </c>
      <c r="L10" s="15">
        <v>43765</v>
      </c>
      <c r="M10" s="5">
        <f t="shared" si="0"/>
        <v>84.999998780098935</v>
      </c>
      <c r="N10" s="6">
        <v>7</v>
      </c>
      <c r="O10" s="6" t="s">
        <v>288</v>
      </c>
      <c r="P10" s="6" t="s">
        <v>631</v>
      </c>
      <c r="Q10" s="10" t="s">
        <v>208</v>
      </c>
      <c r="R10" s="6" t="s">
        <v>36</v>
      </c>
      <c r="S10" s="57">
        <f>T10+U10</f>
        <v>243872.23</v>
      </c>
      <c r="T10" s="234">
        <v>243872.23</v>
      </c>
      <c r="U10" s="234">
        <v>0</v>
      </c>
      <c r="V10" s="57">
        <f t="shared" si="2"/>
        <v>37298.080000000002</v>
      </c>
      <c r="W10" s="234">
        <v>37298.080000000002</v>
      </c>
      <c r="X10" s="234">
        <v>0</v>
      </c>
      <c r="Y10" s="57">
        <f t="shared" si="6"/>
        <v>5738.2</v>
      </c>
      <c r="Z10" s="234">
        <v>5738.2</v>
      </c>
      <c r="AA10" s="234">
        <v>0</v>
      </c>
      <c r="AB10" s="58">
        <f t="shared" si="5"/>
        <v>0</v>
      </c>
      <c r="AC10" s="357">
        <v>0</v>
      </c>
      <c r="AD10" s="357">
        <v>0</v>
      </c>
      <c r="AE10" s="63">
        <f t="shared" si="7"/>
        <v>286908.51</v>
      </c>
      <c r="AF10" s="55">
        <v>0</v>
      </c>
      <c r="AG10" s="55">
        <f t="shared" si="4"/>
        <v>286908.51</v>
      </c>
      <c r="AH10" s="60" t="s">
        <v>607</v>
      </c>
      <c r="AI10" s="66"/>
      <c r="AJ10" s="55">
        <f>25442.69+26921.69+6885.52+62783.93</f>
        <v>122033.82999999999</v>
      </c>
      <c r="AK10" s="55">
        <f>3248.16+4760.51+1053.08+9602.24</f>
        <v>18663.989999999998</v>
      </c>
    </row>
    <row r="11" spans="1:110" ht="220.5" x14ac:dyDescent="0.25">
      <c r="A11" s="345" t="s">
        <v>1755</v>
      </c>
      <c r="B11" s="420">
        <v>118740</v>
      </c>
      <c r="C11" s="260">
        <v>436</v>
      </c>
      <c r="D11" s="260" t="s">
        <v>705</v>
      </c>
      <c r="E11" s="270" t="s">
        <v>725</v>
      </c>
      <c r="F11" s="419" t="s">
        <v>632</v>
      </c>
      <c r="G11" s="109" t="s">
        <v>926</v>
      </c>
      <c r="H11" s="26" t="s">
        <v>279</v>
      </c>
      <c r="I11" s="418" t="s">
        <v>181</v>
      </c>
      <c r="J11" s="14" t="s">
        <v>927</v>
      </c>
      <c r="K11" s="147">
        <v>43321</v>
      </c>
      <c r="L11" s="15">
        <v>43808</v>
      </c>
      <c r="M11" s="5">
        <f t="shared" si="0"/>
        <v>85.000000362805537</v>
      </c>
      <c r="N11" s="6">
        <v>7</v>
      </c>
      <c r="O11" s="6" t="s">
        <v>288</v>
      </c>
      <c r="P11" s="6" t="s">
        <v>282</v>
      </c>
      <c r="Q11" s="10" t="s">
        <v>208</v>
      </c>
      <c r="R11" s="6" t="s">
        <v>36</v>
      </c>
      <c r="S11" s="57">
        <f t="shared" ref="S11:S13" si="8">T11+U11</f>
        <v>234285.28</v>
      </c>
      <c r="T11" s="234">
        <v>234285.28</v>
      </c>
      <c r="U11" s="234">
        <v>0</v>
      </c>
      <c r="V11" s="57">
        <f t="shared" si="2"/>
        <v>35831.870000000003</v>
      </c>
      <c r="W11" s="234">
        <v>35831.870000000003</v>
      </c>
      <c r="X11" s="234"/>
      <c r="Y11" s="57">
        <f t="shared" si="6"/>
        <v>5512.59</v>
      </c>
      <c r="Z11" s="234">
        <v>5512.59</v>
      </c>
      <c r="AA11" s="234">
        <v>0</v>
      </c>
      <c r="AB11" s="58">
        <f t="shared" si="5"/>
        <v>0</v>
      </c>
      <c r="AC11" s="356">
        <v>0</v>
      </c>
      <c r="AD11" s="356">
        <v>0</v>
      </c>
      <c r="AE11" s="63">
        <f t="shared" si="7"/>
        <v>275629.74000000005</v>
      </c>
      <c r="AF11" s="55"/>
      <c r="AG11" s="55">
        <f t="shared" si="4"/>
        <v>275629.74000000005</v>
      </c>
      <c r="AH11" s="60" t="s">
        <v>607</v>
      </c>
      <c r="AI11" s="66"/>
      <c r="AJ11" s="55">
        <f>11570.2+74831.96+36507.5</f>
        <v>122909.66</v>
      </c>
      <c r="AK11" s="55">
        <f>1769.56+11444.89+5583.5</f>
        <v>18797.949999999997</v>
      </c>
    </row>
    <row r="12" spans="1:110" ht="204.75" x14ac:dyDescent="0.25">
      <c r="A12" s="345" t="s">
        <v>1756</v>
      </c>
      <c r="B12" s="420">
        <v>119862</v>
      </c>
      <c r="C12" s="260">
        <v>483</v>
      </c>
      <c r="D12" s="260" t="s">
        <v>168</v>
      </c>
      <c r="E12" s="260" t="s">
        <v>1060</v>
      </c>
      <c r="F12" s="260" t="s">
        <v>564</v>
      </c>
      <c r="G12" s="109" t="s">
        <v>949</v>
      </c>
      <c r="H12" s="26" t="s">
        <v>950</v>
      </c>
      <c r="I12" s="418" t="s">
        <v>181</v>
      </c>
      <c r="J12" s="14" t="s">
        <v>951</v>
      </c>
      <c r="K12" s="147">
        <v>43325</v>
      </c>
      <c r="L12" s="147">
        <v>43629</v>
      </c>
      <c r="M12" s="5">
        <f t="shared" si="0"/>
        <v>84.999998288155666</v>
      </c>
      <c r="N12" s="6">
        <v>7</v>
      </c>
      <c r="O12" s="6" t="s">
        <v>952</v>
      </c>
      <c r="P12" s="6" t="s">
        <v>953</v>
      </c>
      <c r="Q12" s="10" t="s">
        <v>208</v>
      </c>
      <c r="R12" s="6" t="s">
        <v>36</v>
      </c>
      <c r="S12" s="57">
        <f t="shared" si="8"/>
        <v>223443.21</v>
      </c>
      <c r="T12" s="234">
        <v>223443.21</v>
      </c>
      <c r="U12" s="234">
        <v>0</v>
      </c>
      <c r="V12" s="57">
        <f t="shared" si="2"/>
        <v>34173.67</v>
      </c>
      <c r="W12" s="234">
        <v>34173.67</v>
      </c>
      <c r="X12" s="234">
        <v>0</v>
      </c>
      <c r="Y12" s="57">
        <f t="shared" si="6"/>
        <v>5257.4900000000007</v>
      </c>
      <c r="Z12" s="234">
        <v>5257.4900000000007</v>
      </c>
      <c r="AA12" s="234">
        <v>0</v>
      </c>
      <c r="AB12" s="58">
        <f t="shared" si="5"/>
        <v>0</v>
      </c>
      <c r="AC12" s="255">
        <v>0</v>
      </c>
      <c r="AD12" s="255">
        <v>0</v>
      </c>
      <c r="AE12" s="63">
        <f t="shared" si="7"/>
        <v>262874.37</v>
      </c>
      <c r="AF12" s="55"/>
      <c r="AG12" s="55">
        <f t="shared" si="4"/>
        <v>262874.37</v>
      </c>
      <c r="AH12" s="60" t="s">
        <v>1092</v>
      </c>
      <c r="AI12" s="66"/>
      <c r="AJ12" s="119">
        <f>24006.26+36929.64+11537.62+59157.12+65608.25</f>
        <v>197238.88999999998</v>
      </c>
      <c r="AK12" s="72">
        <f>3671.55+5648.06+1764.58+9047.56+10034.2</f>
        <v>30165.95</v>
      </c>
      <c r="AL12" s="281"/>
    </row>
    <row r="13" spans="1:110" ht="141.75" x14ac:dyDescent="0.25">
      <c r="A13" s="345" t="s">
        <v>1757</v>
      </c>
      <c r="B13" s="420">
        <v>126492</v>
      </c>
      <c r="C13" s="260">
        <v>568</v>
      </c>
      <c r="D13" s="260" t="s">
        <v>864</v>
      </c>
      <c r="E13" s="260" t="s">
        <v>1060</v>
      </c>
      <c r="F13" s="260" t="s">
        <v>1153</v>
      </c>
      <c r="G13" s="109" t="s">
        <v>1235</v>
      </c>
      <c r="H13" s="26" t="s">
        <v>1333</v>
      </c>
      <c r="I13" s="418" t="s">
        <v>181</v>
      </c>
      <c r="J13" s="14" t="s">
        <v>1236</v>
      </c>
      <c r="K13" s="147">
        <v>43462</v>
      </c>
      <c r="L13" s="147">
        <v>44132</v>
      </c>
      <c r="M13" s="5">
        <f t="shared" si="0"/>
        <v>85.000000278232704</v>
      </c>
      <c r="N13" s="6">
        <v>7</v>
      </c>
      <c r="O13" s="6" t="s">
        <v>952</v>
      </c>
      <c r="P13" s="6" t="s">
        <v>381</v>
      </c>
      <c r="Q13" s="10" t="s">
        <v>208</v>
      </c>
      <c r="R13" s="6" t="s">
        <v>36</v>
      </c>
      <c r="S13" s="57">
        <f t="shared" si="8"/>
        <v>1221998.73</v>
      </c>
      <c r="T13" s="234">
        <v>1221998.73</v>
      </c>
      <c r="U13" s="234">
        <v>0</v>
      </c>
      <c r="V13" s="57">
        <f t="shared" si="2"/>
        <v>186893.92</v>
      </c>
      <c r="W13" s="234">
        <v>186893.92</v>
      </c>
      <c r="X13" s="234">
        <v>0</v>
      </c>
      <c r="Y13" s="57">
        <f t="shared" si="6"/>
        <v>28752.91</v>
      </c>
      <c r="Z13" s="234">
        <v>28752.91</v>
      </c>
      <c r="AA13" s="234">
        <v>0</v>
      </c>
      <c r="AB13" s="58">
        <f t="shared" si="5"/>
        <v>0</v>
      </c>
      <c r="AC13" s="255">
        <v>0</v>
      </c>
      <c r="AD13" s="255">
        <v>0</v>
      </c>
      <c r="AE13" s="63">
        <f t="shared" si="7"/>
        <v>1437645.5599999998</v>
      </c>
      <c r="AF13" s="55"/>
      <c r="AG13" s="55">
        <f t="shared" si="4"/>
        <v>1437645.5599999998</v>
      </c>
      <c r="AH13" s="60" t="s">
        <v>607</v>
      </c>
      <c r="AI13" s="66"/>
      <c r="AJ13" s="119">
        <f>30000+8176.9</f>
        <v>38176.9</v>
      </c>
      <c r="AK13" s="72">
        <v>5838.82</v>
      </c>
    </row>
    <row r="14" spans="1:110" ht="299.25" x14ac:dyDescent="0.25">
      <c r="A14" s="345" t="s">
        <v>1758</v>
      </c>
      <c r="B14" s="420">
        <v>126520</v>
      </c>
      <c r="C14" s="260">
        <v>550</v>
      </c>
      <c r="D14" s="260" t="s">
        <v>864</v>
      </c>
      <c r="E14" s="260" t="s">
        <v>1060</v>
      </c>
      <c r="F14" s="260" t="s">
        <v>1153</v>
      </c>
      <c r="G14" s="109" t="s">
        <v>1269</v>
      </c>
      <c r="H14" s="26" t="s">
        <v>1271</v>
      </c>
      <c r="I14" s="418" t="s">
        <v>181</v>
      </c>
      <c r="J14" s="118" t="s">
        <v>1270</v>
      </c>
      <c r="K14" s="147">
        <v>43504</v>
      </c>
      <c r="L14" s="147">
        <v>44294</v>
      </c>
      <c r="M14" s="5">
        <f t="shared" si="0"/>
        <v>84.999999104679475</v>
      </c>
      <c r="N14" s="6">
        <v>7</v>
      </c>
      <c r="O14" s="6" t="s">
        <v>952</v>
      </c>
      <c r="P14" s="6" t="s">
        <v>381</v>
      </c>
      <c r="Q14" s="10" t="s">
        <v>208</v>
      </c>
      <c r="R14" s="6" t="s">
        <v>36</v>
      </c>
      <c r="S14" s="57">
        <f t="shared" ref="S14:S17" si="9">T14+U14</f>
        <v>2231044.54</v>
      </c>
      <c r="T14" s="234">
        <v>2231044.54</v>
      </c>
      <c r="U14" s="234">
        <v>0</v>
      </c>
      <c r="V14" s="57">
        <f t="shared" si="2"/>
        <v>341218.6</v>
      </c>
      <c r="W14" s="234">
        <v>341218.6</v>
      </c>
      <c r="X14" s="234">
        <v>0</v>
      </c>
      <c r="Y14" s="57">
        <f t="shared" si="6"/>
        <v>52495.17</v>
      </c>
      <c r="Z14" s="234">
        <v>52495.17</v>
      </c>
      <c r="AA14" s="234">
        <v>0</v>
      </c>
      <c r="AB14" s="58">
        <f t="shared" si="5"/>
        <v>0</v>
      </c>
      <c r="AC14" s="255">
        <v>0</v>
      </c>
      <c r="AD14" s="255">
        <v>0</v>
      </c>
      <c r="AE14" s="63">
        <f t="shared" si="7"/>
        <v>2624758.31</v>
      </c>
      <c r="AF14" s="55"/>
      <c r="AG14" s="55">
        <f t="shared" ref="AG14:AG17" si="10">AE14+AF14</f>
        <v>2624758.31</v>
      </c>
      <c r="AH14" s="60" t="s">
        <v>607</v>
      </c>
      <c r="AI14" s="66" t="s">
        <v>1481</v>
      </c>
      <c r="AJ14" s="119">
        <v>59284.69</v>
      </c>
      <c r="AK14" s="72">
        <v>9067.06</v>
      </c>
    </row>
    <row r="15" spans="1:110" ht="378" x14ac:dyDescent="0.25">
      <c r="A15" s="345" t="s">
        <v>1759</v>
      </c>
      <c r="B15" s="420">
        <v>126539</v>
      </c>
      <c r="C15" s="260">
        <v>574</v>
      </c>
      <c r="D15" s="260" t="s">
        <v>864</v>
      </c>
      <c r="E15" s="260" t="s">
        <v>988</v>
      </c>
      <c r="F15" s="260" t="s">
        <v>1153</v>
      </c>
      <c r="G15" s="109" t="s">
        <v>1341</v>
      </c>
      <c r="H15" s="26" t="s">
        <v>279</v>
      </c>
      <c r="I15" s="418" t="s">
        <v>181</v>
      </c>
      <c r="J15" s="118" t="s">
        <v>1342</v>
      </c>
      <c r="K15" s="147">
        <v>43552</v>
      </c>
      <c r="L15" s="147">
        <v>44467</v>
      </c>
      <c r="M15" s="5">
        <f t="shared" si="0"/>
        <v>85.000000056453686</v>
      </c>
      <c r="N15" s="6">
        <v>7</v>
      </c>
      <c r="O15" s="6" t="s">
        <v>288</v>
      </c>
      <c r="P15" s="6" t="s">
        <v>282</v>
      </c>
      <c r="Q15" s="10" t="s">
        <v>208</v>
      </c>
      <c r="R15" s="6" t="s">
        <v>36</v>
      </c>
      <c r="S15" s="57">
        <f t="shared" si="9"/>
        <v>3011318.02</v>
      </c>
      <c r="T15" s="234">
        <v>3011318.02</v>
      </c>
      <c r="U15" s="234">
        <v>0</v>
      </c>
      <c r="V15" s="57">
        <f t="shared" ref="V15:V17" si="11">W15+X15</f>
        <v>460554.52</v>
      </c>
      <c r="W15" s="234">
        <v>460554.52</v>
      </c>
      <c r="X15" s="234">
        <v>0</v>
      </c>
      <c r="Y15" s="57">
        <f t="shared" si="6"/>
        <v>70854.539999999994</v>
      </c>
      <c r="Z15" s="234">
        <v>70854.539999999994</v>
      </c>
      <c r="AA15" s="234">
        <v>0</v>
      </c>
      <c r="AB15" s="58">
        <f>AC15+AD15</f>
        <v>0</v>
      </c>
      <c r="AC15" s="255">
        <v>0</v>
      </c>
      <c r="AD15" s="255">
        <v>0</v>
      </c>
      <c r="AE15" s="63">
        <f>S15+V15+Y15+AB15</f>
        <v>3542727.08</v>
      </c>
      <c r="AF15" s="55">
        <v>65688</v>
      </c>
      <c r="AG15" s="55">
        <f t="shared" si="10"/>
        <v>3608415.08</v>
      </c>
      <c r="AH15" s="60" t="s">
        <v>607</v>
      </c>
      <c r="AI15" s="66" t="s">
        <v>181</v>
      </c>
      <c r="AJ15" s="119">
        <v>42679.97</v>
      </c>
      <c r="AK15" s="72">
        <v>6527.52</v>
      </c>
    </row>
    <row r="16" spans="1:110" ht="393.75" x14ac:dyDescent="0.25">
      <c r="A16" s="345" t="s">
        <v>1760</v>
      </c>
      <c r="B16" s="420">
        <v>126063</v>
      </c>
      <c r="C16" s="260">
        <v>512</v>
      </c>
      <c r="D16" s="260" t="s">
        <v>167</v>
      </c>
      <c r="E16" s="260" t="s">
        <v>988</v>
      </c>
      <c r="F16" s="260" t="s">
        <v>1153</v>
      </c>
      <c r="G16" s="192" t="s">
        <v>1350</v>
      </c>
      <c r="H16" s="26" t="s">
        <v>628</v>
      </c>
      <c r="I16" s="260" t="s">
        <v>803</v>
      </c>
      <c r="J16" s="118" t="s">
        <v>1351</v>
      </c>
      <c r="K16" s="147">
        <v>43552</v>
      </c>
      <c r="L16" s="147">
        <v>44467</v>
      </c>
      <c r="M16" s="5">
        <f t="shared" si="0"/>
        <v>84.408145121705388</v>
      </c>
      <c r="N16" s="6">
        <v>7</v>
      </c>
      <c r="O16" s="6" t="s">
        <v>288</v>
      </c>
      <c r="P16" s="6" t="s">
        <v>631</v>
      </c>
      <c r="Q16" s="10" t="s">
        <v>208</v>
      </c>
      <c r="R16" s="6" t="s">
        <v>36</v>
      </c>
      <c r="S16" s="57">
        <f t="shared" si="9"/>
        <v>2846403.24</v>
      </c>
      <c r="T16" s="234">
        <v>2846403.24</v>
      </c>
      <c r="U16" s="234">
        <v>0</v>
      </c>
      <c r="V16" s="57">
        <f t="shared" si="11"/>
        <v>458343.2</v>
      </c>
      <c r="W16" s="234">
        <v>458343.2</v>
      </c>
      <c r="X16" s="234">
        <v>0</v>
      </c>
      <c r="Y16" s="57">
        <f t="shared" si="6"/>
        <v>43963.23</v>
      </c>
      <c r="Z16" s="234">
        <v>43963.23</v>
      </c>
      <c r="AA16" s="234">
        <v>0</v>
      </c>
      <c r="AB16" s="58">
        <f t="shared" ref="AB16:AB17" si="12">AC16+AD16</f>
        <v>23480.58</v>
      </c>
      <c r="AC16" s="255">
        <v>23480.58</v>
      </c>
      <c r="AD16" s="255">
        <v>0</v>
      </c>
      <c r="AE16" s="63">
        <f t="shared" ref="AE16" si="13">S16+V16+Y16+AB16</f>
        <v>3372190.2500000005</v>
      </c>
      <c r="AF16" s="55">
        <v>0</v>
      </c>
      <c r="AG16" s="55">
        <f t="shared" si="10"/>
        <v>3372190.2500000005</v>
      </c>
      <c r="AH16" s="60" t="s">
        <v>607</v>
      </c>
      <c r="AI16" s="66" t="s">
        <v>181</v>
      </c>
      <c r="AJ16" s="119">
        <v>337218</v>
      </c>
      <c r="AK16" s="72">
        <v>0</v>
      </c>
    </row>
    <row r="17" spans="1:37" ht="141.75" x14ac:dyDescent="0.25">
      <c r="A17" s="345" t="s">
        <v>1761</v>
      </c>
      <c r="B17" s="420">
        <v>128599</v>
      </c>
      <c r="C17" s="260">
        <v>637</v>
      </c>
      <c r="D17" s="260" t="s">
        <v>170</v>
      </c>
      <c r="E17" s="270" t="s">
        <v>988</v>
      </c>
      <c r="F17" s="260" t="s">
        <v>1427</v>
      </c>
      <c r="G17" s="192" t="s">
        <v>1486</v>
      </c>
      <c r="H17" s="26" t="s">
        <v>1333</v>
      </c>
      <c r="I17" s="260" t="s">
        <v>181</v>
      </c>
      <c r="J17" s="118" t="s">
        <v>1487</v>
      </c>
      <c r="K17" s="147">
        <v>43634</v>
      </c>
      <c r="L17" s="147">
        <v>44365</v>
      </c>
      <c r="M17" s="5">
        <f t="shared" si="0"/>
        <v>85</v>
      </c>
      <c r="N17" s="6">
        <v>7</v>
      </c>
      <c r="O17" s="6" t="s">
        <v>952</v>
      </c>
      <c r="P17" s="6" t="s">
        <v>381</v>
      </c>
      <c r="Q17" s="10" t="s">
        <v>208</v>
      </c>
      <c r="R17" s="6" t="s">
        <v>36</v>
      </c>
      <c r="S17" s="57">
        <f t="shared" si="9"/>
        <v>848667.88</v>
      </c>
      <c r="T17" s="234">
        <v>848667.88</v>
      </c>
      <c r="U17" s="234">
        <v>0</v>
      </c>
      <c r="V17" s="57">
        <f t="shared" si="11"/>
        <v>129796.26</v>
      </c>
      <c r="W17" s="234">
        <v>129796.26</v>
      </c>
      <c r="X17" s="234">
        <v>0</v>
      </c>
      <c r="Y17" s="57">
        <f t="shared" ref="Y17" si="14">Z17+AA17</f>
        <v>19968.66</v>
      </c>
      <c r="Z17" s="234">
        <v>19968.66</v>
      </c>
      <c r="AA17" s="234">
        <v>0</v>
      </c>
      <c r="AB17" s="58">
        <f t="shared" si="12"/>
        <v>0</v>
      </c>
      <c r="AC17" s="255">
        <v>0</v>
      </c>
      <c r="AD17" s="255">
        <v>0</v>
      </c>
      <c r="AE17" s="63">
        <f t="shared" ref="AE17" si="15">S17+V17+Y17</f>
        <v>998432.8</v>
      </c>
      <c r="AF17" s="55">
        <v>0</v>
      </c>
      <c r="AG17" s="55">
        <f t="shared" si="10"/>
        <v>998432.8</v>
      </c>
      <c r="AH17" s="60" t="s">
        <v>607</v>
      </c>
      <c r="AI17" s="66"/>
      <c r="AJ17" s="119">
        <v>90000</v>
      </c>
      <c r="AK17" s="72">
        <v>0</v>
      </c>
    </row>
    <row r="18" spans="1:37" ht="173.25" x14ac:dyDescent="0.25">
      <c r="A18" s="345" t="s">
        <v>1762</v>
      </c>
      <c r="B18" s="271">
        <v>120637</v>
      </c>
      <c r="C18" s="268">
        <v>86</v>
      </c>
      <c r="D18" s="235" t="s">
        <v>167</v>
      </c>
      <c r="E18" s="270" t="s">
        <v>988</v>
      </c>
      <c r="F18" s="419" t="s">
        <v>354</v>
      </c>
      <c r="G18" s="11" t="s">
        <v>295</v>
      </c>
      <c r="H18" s="26" t="s">
        <v>296</v>
      </c>
      <c r="I18" s="235" t="s">
        <v>181</v>
      </c>
      <c r="J18" s="23" t="s">
        <v>1301</v>
      </c>
      <c r="K18" s="148">
        <v>43145</v>
      </c>
      <c r="L18" s="4">
        <v>43510</v>
      </c>
      <c r="M18" s="5">
        <f t="shared" si="0"/>
        <v>85.000001183738732</v>
      </c>
      <c r="N18" s="6">
        <v>5</v>
      </c>
      <c r="O18" s="6" t="s">
        <v>297</v>
      </c>
      <c r="P18" s="6" t="s">
        <v>297</v>
      </c>
      <c r="Q18" s="9" t="s">
        <v>208</v>
      </c>
      <c r="R18" s="6" t="s">
        <v>36</v>
      </c>
      <c r="S18" s="55">
        <f t="shared" ref="S18:S20" si="16">T18+U18</f>
        <v>359031.93</v>
      </c>
      <c r="T18" s="348">
        <v>359031.93</v>
      </c>
      <c r="U18" s="234">
        <v>0</v>
      </c>
      <c r="V18" s="55">
        <f t="shared" ref="V18:V20" si="17">W18+X18</f>
        <v>54910.76</v>
      </c>
      <c r="W18" s="234">
        <v>54910.76</v>
      </c>
      <c r="X18" s="234">
        <v>0</v>
      </c>
      <c r="Y18" s="55">
        <f t="shared" ref="Y18:Y20" si="18">Z18+AA18</f>
        <v>8447.81</v>
      </c>
      <c r="Z18" s="234">
        <v>8447.81</v>
      </c>
      <c r="AA18" s="234">
        <v>0</v>
      </c>
      <c r="AB18" s="55">
        <f>AC18+AD18</f>
        <v>0</v>
      </c>
      <c r="AC18" s="234"/>
      <c r="AD18" s="234"/>
      <c r="AE18" s="63">
        <f>S18+V18+Y18+AB18</f>
        <v>422390.5</v>
      </c>
      <c r="AF18" s="55">
        <v>0</v>
      </c>
      <c r="AG18" s="55">
        <f t="shared" ref="AG18:AG20" si="19">AE18+AF18</f>
        <v>422390.5</v>
      </c>
      <c r="AH18" s="60" t="s">
        <v>1092</v>
      </c>
      <c r="AI18" s="61" t="s">
        <v>181</v>
      </c>
      <c r="AJ18" s="72">
        <f>50.58+71118.57+211342.81</f>
        <v>282511.96000000002</v>
      </c>
      <c r="AK18" s="62">
        <f>7.73+10876.95+32323.01</f>
        <v>43207.69</v>
      </c>
    </row>
    <row r="19" spans="1:37" ht="141.75" x14ac:dyDescent="0.25">
      <c r="A19" s="345" t="s">
        <v>1763</v>
      </c>
      <c r="B19" s="271">
        <v>119520</v>
      </c>
      <c r="C19" s="271">
        <v>465</v>
      </c>
      <c r="D19" s="271" t="s">
        <v>705</v>
      </c>
      <c r="E19" s="260" t="s">
        <v>1060</v>
      </c>
      <c r="F19" s="270" t="s">
        <v>564</v>
      </c>
      <c r="G19" s="14" t="s">
        <v>778</v>
      </c>
      <c r="H19" s="26" t="s">
        <v>779</v>
      </c>
      <c r="I19" s="260" t="s">
        <v>780</v>
      </c>
      <c r="J19" s="14" t="s">
        <v>781</v>
      </c>
      <c r="K19" s="147">
        <v>43292</v>
      </c>
      <c r="L19" s="15">
        <v>43780</v>
      </c>
      <c r="M19" s="5">
        <f t="shared" si="0"/>
        <v>85.000001465751467</v>
      </c>
      <c r="N19" s="48">
        <v>5</v>
      </c>
      <c r="O19" s="6" t="s">
        <v>297</v>
      </c>
      <c r="P19" s="6" t="s">
        <v>297</v>
      </c>
      <c r="Q19" s="48" t="s">
        <v>208</v>
      </c>
      <c r="R19" s="6" t="s">
        <v>36</v>
      </c>
      <c r="S19" s="55">
        <f t="shared" si="16"/>
        <v>231962.93</v>
      </c>
      <c r="T19" s="349">
        <v>231962.93</v>
      </c>
      <c r="U19" s="350">
        <v>0</v>
      </c>
      <c r="V19" s="55">
        <f t="shared" si="17"/>
        <v>35476.67</v>
      </c>
      <c r="W19" s="349">
        <v>35476.67</v>
      </c>
      <c r="X19" s="350">
        <v>0</v>
      </c>
      <c r="Y19" s="55">
        <f t="shared" si="18"/>
        <v>5457.96</v>
      </c>
      <c r="Z19" s="349">
        <v>5457.96</v>
      </c>
      <c r="AA19" s="349">
        <v>0</v>
      </c>
      <c r="AB19" s="55">
        <f t="shared" ref="AB19:AB20" si="20">AC19+AD19</f>
        <v>0</v>
      </c>
      <c r="AC19" s="255">
        <v>0</v>
      </c>
      <c r="AD19" s="255">
        <v>0</v>
      </c>
      <c r="AE19" s="63">
        <f t="shared" ref="AE19:AE20" si="21">S19+V19+Y19+AB19</f>
        <v>272897.56</v>
      </c>
      <c r="AF19" s="66">
        <v>0</v>
      </c>
      <c r="AG19" s="55">
        <f t="shared" si="19"/>
        <v>272897.56</v>
      </c>
      <c r="AH19" s="60" t="s">
        <v>607</v>
      </c>
      <c r="AI19" s="66" t="s">
        <v>181</v>
      </c>
      <c r="AJ19" s="72">
        <v>24243.73</v>
      </c>
      <c r="AK19" s="62">
        <v>3707.87</v>
      </c>
    </row>
    <row r="20" spans="1:37" s="130" customFormat="1" ht="141.75" x14ac:dyDescent="0.25">
      <c r="A20" s="345" t="s">
        <v>1764</v>
      </c>
      <c r="B20" s="420">
        <v>116692</v>
      </c>
      <c r="C20" s="260">
        <v>408</v>
      </c>
      <c r="D20" s="260" t="s">
        <v>864</v>
      </c>
      <c r="E20" s="270" t="s">
        <v>725</v>
      </c>
      <c r="F20" s="270" t="s">
        <v>632</v>
      </c>
      <c r="G20" s="14" t="s">
        <v>928</v>
      </c>
      <c r="H20" s="26" t="s">
        <v>779</v>
      </c>
      <c r="I20" s="260" t="s">
        <v>181</v>
      </c>
      <c r="J20" s="43" t="s">
        <v>929</v>
      </c>
      <c r="K20" s="147">
        <v>43321</v>
      </c>
      <c r="L20" s="15">
        <v>43720</v>
      </c>
      <c r="M20" s="5">
        <f t="shared" si="0"/>
        <v>85.000000534892237</v>
      </c>
      <c r="N20" s="26">
        <v>5</v>
      </c>
      <c r="O20" s="6" t="s">
        <v>297</v>
      </c>
      <c r="P20" s="6" t="s">
        <v>297</v>
      </c>
      <c r="Q20" s="48" t="s">
        <v>208</v>
      </c>
      <c r="R20" s="6" t="s">
        <v>36</v>
      </c>
      <c r="S20" s="58">
        <f t="shared" si="16"/>
        <v>317821.02</v>
      </c>
      <c r="T20" s="207">
        <v>317821.02</v>
      </c>
      <c r="U20" s="351">
        <v>0</v>
      </c>
      <c r="V20" s="58">
        <f t="shared" si="17"/>
        <v>48607.91</v>
      </c>
      <c r="W20" s="207">
        <v>48607.91</v>
      </c>
      <c r="X20" s="351">
        <v>0</v>
      </c>
      <c r="Y20" s="58">
        <f t="shared" si="18"/>
        <v>7478.15</v>
      </c>
      <c r="Z20" s="207">
        <v>7478.15</v>
      </c>
      <c r="AA20" s="207">
        <v>0</v>
      </c>
      <c r="AB20" s="58">
        <f t="shared" si="20"/>
        <v>0</v>
      </c>
      <c r="AC20" s="255">
        <v>0</v>
      </c>
      <c r="AD20" s="255">
        <v>0</v>
      </c>
      <c r="AE20" s="59">
        <f t="shared" si="21"/>
        <v>373907.08000000007</v>
      </c>
      <c r="AF20" s="60">
        <v>0</v>
      </c>
      <c r="AG20" s="58">
        <f t="shared" si="19"/>
        <v>373907.08000000007</v>
      </c>
      <c r="AH20" s="60" t="s">
        <v>607</v>
      </c>
      <c r="AI20" s="66" t="s">
        <v>181</v>
      </c>
      <c r="AJ20" s="72">
        <v>8730.06</v>
      </c>
      <c r="AK20" s="72">
        <v>1335.19</v>
      </c>
    </row>
    <row r="21" spans="1:37" s="130" customFormat="1" ht="409.5" x14ac:dyDescent="0.25">
      <c r="A21" s="345" t="s">
        <v>1765</v>
      </c>
      <c r="B21" s="420">
        <v>126495</v>
      </c>
      <c r="C21" s="260">
        <v>558</v>
      </c>
      <c r="D21" s="260" t="s">
        <v>864</v>
      </c>
      <c r="E21" s="270" t="s">
        <v>988</v>
      </c>
      <c r="F21" s="270" t="s">
        <v>1153</v>
      </c>
      <c r="G21" s="14" t="s">
        <v>1383</v>
      </c>
      <c r="H21" s="26" t="s">
        <v>296</v>
      </c>
      <c r="I21" s="260" t="s">
        <v>181</v>
      </c>
      <c r="J21" s="43" t="s">
        <v>1384</v>
      </c>
      <c r="K21" s="147">
        <v>43570</v>
      </c>
      <c r="L21" s="15">
        <v>44423</v>
      </c>
      <c r="M21" s="5">
        <f t="shared" si="0"/>
        <v>85</v>
      </c>
      <c r="N21" s="26">
        <v>5</v>
      </c>
      <c r="O21" s="6" t="s">
        <v>297</v>
      </c>
      <c r="P21" s="6" t="s">
        <v>297</v>
      </c>
      <c r="Q21" s="196" t="s">
        <v>208</v>
      </c>
      <c r="R21" s="6" t="s">
        <v>36</v>
      </c>
      <c r="S21" s="58">
        <f t="shared" ref="S21" si="22">T21+U21</f>
        <v>3025356.04</v>
      </c>
      <c r="T21" s="207">
        <v>3025356.04</v>
      </c>
      <c r="U21" s="351">
        <v>0</v>
      </c>
      <c r="V21" s="58">
        <f t="shared" ref="V21" si="23">W21+X21</f>
        <v>462701.51</v>
      </c>
      <c r="W21" s="207">
        <v>462701.51</v>
      </c>
      <c r="X21" s="351">
        <v>0</v>
      </c>
      <c r="Y21" s="58">
        <f t="shared" ref="Y21" si="24">Z21+AA21</f>
        <v>71184.850000000006</v>
      </c>
      <c r="Z21" s="207">
        <v>71184.850000000006</v>
      </c>
      <c r="AA21" s="207">
        <v>0</v>
      </c>
      <c r="AB21" s="58">
        <f>AC21+AD21</f>
        <v>0</v>
      </c>
      <c r="AC21" s="255"/>
      <c r="AD21" s="255"/>
      <c r="AE21" s="59">
        <f>S21+V21+Y21+AB21</f>
        <v>3559242.4</v>
      </c>
      <c r="AF21" s="60">
        <v>0</v>
      </c>
      <c r="AG21" s="58">
        <f t="shared" ref="AG21" si="25">AE21+AF21</f>
        <v>3559242.4</v>
      </c>
      <c r="AH21" s="60" t="s">
        <v>892</v>
      </c>
      <c r="AI21" s="66"/>
      <c r="AJ21" s="72">
        <v>0</v>
      </c>
      <c r="AK21" s="72">
        <v>0</v>
      </c>
    </row>
    <row r="22" spans="1:37" s="130" customFormat="1" ht="141.75" x14ac:dyDescent="0.25">
      <c r="A22" s="345" t="s">
        <v>1766</v>
      </c>
      <c r="B22" s="420">
        <v>128987</v>
      </c>
      <c r="C22" s="260">
        <v>676</v>
      </c>
      <c r="D22" s="260" t="s">
        <v>170</v>
      </c>
      <c r="E22" s="270" t="s">
        <v>988</v>
      </c>
      <c r="F22" s="270" t="s">
        <v>1427</v>
      </c>
      <c r="G22" s="14" t="s">
        <v>1738</v>
      </c>
      <c r="H22" s="26" t="s">
        <v>779</v>
      </c>
      <c r="I22" s="260" t="s">
        <v>181</v>
      </c>
      <c r="J22" s="43" t="s">
        <v>1739</v>
      </c>
      <c r="K22" s="147">
        <v>43717</v>
      </c>
      <c r="L22" s="15">
        <v>44417</v>
      </c>
      <c r="M22" s="5">
        <f t="shared" ref="M22" si="26">S22/AE22*100</f>
        <v>85</v>
      </c>
      <c r="N22" s="26">
        <v>5</v>
      </c>
      <c r="O22" s="6" t="s">
        <v>297</v>
      </c>
      <c r="P22" s="6" t="s">
        <v>297</v>
      </c>
      <c r="Q22" s="298" t="s">
        <v>208</v>
      </c>
      <c r="R22" s="6" t="s">
        <v>36</v>
      </c>
      <c r="S22" s="58">
        <f>T22+U22</f>
        <v>396508</v>
      </c>
      <c r="T22" s="207">
        <v>396508</v>
      </c>
      <c r="U22" s="351">
        <v>0</v>
      </c>
      <c r="V22" s="58">
        <f>W22+X22</f>
        <v>60642.400000000001</v>
      </c>
      <c r="W22" s="207">
        <v>60642.400000000001</v>
      </c>
      <c r="X22" s="351">
        <v>0</v>
      </c>
      <c r="Y22" s="58">
        <f>Z22+AA22</f>
        <v>9329.6</v>
      </c>
      <c r="Z22" s="207">
        <v>9329.6</v>
      </c>
      <c r="AA22" s="207">
        <v>0</v>
      </c>
      <c r="AB22" s="58">
        <f>AC22+AD22</f>
        <v>0</v>
      </c>
      <c r="AC22" s="255">
        <v>0</v>
      </c>
      <c r="AD22" s="255">
        <v>0</v>
      </c>
      <c r="AE22" s="59">
        <f>S22+V22+Y22+AB22</f>
        <v>466480</v>
      </c>
      <c r="AF22" s="60">
        <v>0</v>
      </c>
      <c r="AG22" s="58">
        <f>AE22+AF22</f>
        <v>466480</v>
      </c>
      <c r="AH22" s="60" t="s">
        <v>607</v>
      </c>
      <c r="AI22" s="66" t="s">
        <v>181</v>
      </c>
      <c r="AJ22" s="72">
        <v>0</v>
      </c>
      <c r="AK22" s="72">
        <v>0</v>
      </c>
    </row>
    <row r="23" spans="1:37" ht="141.75" x14ac:dyDescent="0.25">
      <c r="A23" s="345" t="s">
        <v>1767</v>
      </c>
      <c r="B23" s="271">
        <v>120652</v>
      </c>
      <c r="C23" s="268">
        <v>91</v>
      </c>
      <c r="D23" s="235" t="s">
        <v>169</v>
      </c>
      <c r="E23" s="270" t="s">
        <v>988</v>
      </c>
      <c r="F23" s="419" t="s">
        <v>354</v>
      </c>
      <c r="G23" s="25" t="s">
        <v>262</v>
      </c>
      <c r="H23" s="25" t="s">
        <v>267</v>
      </c>
      <c r="I23" s="235" t="s">
        <v>181</v>
      </c>
      <c r="J23" s="3" t="s">
        <v>268</v>
      </c>
      <c r="K23" s="148">
        <v>43145</v>
      </c>
      <c r="L23" s="4">
        <v>43510</v>
      </c>
      <c r="M23" s="5">
        <f t="shared" si="0"/>
        <v>84.999999389755786</v>
      </c>
      <c r="N23" s="2">
        <v>3</v>
      </c>
      <c r="O23" s="2" t="s">
        <v>264</v>
      </c>
      <c r="P23" s="2" t="s">
        <v>266</v>
      </c>
      <c r="Q23" s="32" t="s">
        <v>208</v>
      </c>
      <c r="R23" s="2" t="s">
        <v>36</v>
      </c>
      <c r="S23" s="55">
        <f t="shared" ref="S23" si="27">T23+U23</f>
        <v>348221.24</v>
      </c>
      <c r="T23" s="234">
        <v>348221.24</v>
      </c>
      <c r="U23" s="234">
        <v>0</v>
      </c>
      <c r="V23" s="55">
        <f t="shared" ref="V23:V30" si="28">W23+X23</f>
        <v>53257.37</v>
      </c>
      <c r="W23" s="234">
        <v>53257.37</v>
      </c>
      <c r="X23" s="234">
        <v>0</v>
      </c>
      <c r="Y23" s="55">
        <f t="shared" ref="Y23:Y30" si="29">Z23+AA23</f>
        <v>8193.44</v>
      </c>
      <c r="Z23" s="234">
        <v>8193.44</v>
      </c>
      <c r="AA23" s="234">
        <v>0</v>
      </c>
      <c r="AB23" s="55">
        <f>AC23+AD23</f>
        <v>0</v>
      </c>
      <c r="AC23" s="234"/>
      <c r="AD23" s="234"/>
      <c r="AE23" s="63">
        <f>S23+V23+Y23+AB23</f>
        <v>409672.05</v>
      </c>
      <c r="AF23" s="55">
        <v>0</v>
      </c>
      <c r="AG23" s="55">
        <f t="shared" ref="AG23:AG30" si="30">AE23+AF23</f>
        <v>409672.05</v>
      </c>
      <c r="AH23" s="60" t="s">
        <v>1092</v>
      </c>
      <c r="AI23" s="61" t="s">
        <v>1144</v>
      </c>
      <c r="AJ23" s="72">
        <f>12919.73+21747.25+49513.87-529.62+197106.06+10487.81+43247.58</f>
        <v>334492.68000000005</v>
      </c>
      <c r="AK23" s="67">
        <f>12122.18+529.62+30287.56+1604.02+6614.33</f>
        <v>51157.71</v>
      </c>
    </row>
    <row r="24" spans="1:37" ht="141.75" x14ac:dyDescent="0.25">
      <c r="A24" s="345" t="s">
        <v>1768</v>
      </c>
      <c r="B24" s="271">
        <v>118191</v>
      </c>
      <c r="C24" s="421">
        <v>423</v>
      </c>
      <c r="D24" s="235" t="s">
        <v>705</v>
      </c>
      <c r="E24" s="270" t="s">
        <v>725</v>
      </c>
      <c r="F24" s="419" t="s">
        <v>632</v>
      </c>
      <c r="G24" s="11" t="s">
        <v>719</v>
      </c>
      <c r="H24" s="14" t="s">
        <v>720</v>
      </c>
      <c r="I24" s="260"/>
      <c r="J24" s="23" t="s">
        <v>721</v>
      </c>
      <c r="K24" s="274">
        <v>43284</v>
      </c>
      <c r="L24" s="274">
        <v>43649</v>
      </c>
      <c r="M24" s="5">
        <f t="shared" si="0"/>
        <v>85.000001358659858</v>
      </c>
      <c r="N24" s="6">
        <v>3</v>
      </c>
      <c r="O24" s="6" t="s">
        <v>264</v>
      </c>
      <c r="P24" s="6" t="s">
        <v>266</v>
      </c>
      <c r="Q24" s="10" t="s">
        <v>208</v>
      </c>
      <c r="R24" s="8" t="s">
        <v>36</v>
      </c>
      <c r="S24" s="24">
        <v>250246.6</v>
      </c>
      <c r="T24" s="207">
        <v>250246.6</v>
      </c>
      <c r="U24" s="234">
        <v>0</v>
      </c>
      <c r="V24" s="24">
        <f t="shared" si="28"/>
        <v>38273</v>
      </c>
      <c r="W24" s="379">
        <v>38273</v>
      </c>
      <c r="X24" s="234">
        <v>0</v>
      </c>
      <c r="Y24" s="24">
        <v>5888.16</v>
      </c>
      <c r="Z24" s="234">
        <v>5888.16</v>
      </c>
      <c r="AA24" s="234">
        <v>0</v>
      </c>
      <c r="AB24" s="55">
        <f t="shared" ref="AB24:AB35" si="31">AC24+AD24</f>
        <v>0</v>
      </c>
      <c r="AC24" s="234">
        <v>0</v>
      </c>
      <c r="AD24" s="234">
        <v>0</v>
      </c>
      <c r="AE24" s="63">
        <f>S24+V24+Y24</f>
        <v>294407.75999999995</v>
      </c>
      <c r="AF24" s="55"/>
      <c r="AG24" s="55">
        <f t="shared" si="30"/>
        <v>294407.75999999995</v>
      </c>
      <c r="AH24" s="60" t="s">
        <v>1092</v>
      </c>
      <c r="AI24" s="70" t="s">
        <v>181</v>
      </c>
      <c r="AJ24" s="65">
        <f>36499+66741.15+31009.7+83475.95</f>
        <v>217725.8</v>
      </c>
      <c r="AK24" s="62">
        <f>5582.2+10207.47+4742.66+12767.48</f>
        <v>33299.81</v>
      </c>
    </row>
    <row r="25" spans="1:37" ht="141.75" x14ac:dyDescent="0.25">
      <c r="A25" s="345" t="s">
        <v>1769</v>
      </c>
      <c r="B25" s="417">
        <v>118741</v>
      </c>
      <c r="C25" s="268">
        <v>459</v>
      </c>
      <c r="D25" s="418" t="s">
        <v>168</v>
      </c>
      <c r="E25" s="260" t="s">
        <v>1060</v>
      </c>
      <c r="F25" s="270" t="s">
        <v>564</v>
      </c>
      <c r="G25" s="14" t="s">
        <v>750</v>
      </c>
      <c r="H25" s="14" t="s">
        <v>751</v>
      </c>
      <c r="I25" s="418" t="s">
        <v>181</v>
      </c>
      <c r="J25" s="14" t="s">
        <v>752</v>
      </c>
      <c r="K25" s="148">
        <v>43290</v>
      </c>
      <c r="L25" s="15">
        <v>43778</v>
      </c>
      <c r="M25" s="5">
        <f t="shared" si="0"/>
        <v>85.00000356420064</v>
      </c>
      <c r="N25" s="6">
        <v>3</v>
      </c>
      <c r="O25" s="15" t="s">
        <v>264</v>
      </c>
      <c r="P25" s="15" t="s">
        <v>266</v>
      </c>
      <c r="Q25" s="15" t="s">
        <v>208</v>
      </c>
      <c r="R25" s="6" t="s">
        <v>36</v>
      </c>
      <c r="S25" s="57">
        <v>512737.71</v>
      </c>
      <c r="T25" s="234">
        <v>512737.71</v>
      </c>
      <c r="U25" s="234">
        <v>0</v>
      </c>
      <c r="V25" s="57">
        <v>78418.69</v>
      </c>
      <c r="W25" s="234">
        <v>78418.69</v>
      </c>
      <c r="X25" s="234">
        <v>0</v>
      </c>
      <c r="Y25" s="55">
        <v>12064.41</v>
      </c>
      <c r="Z25" s="234">
        <v>12064.41</v>
      </c>
      <c r="AA25" s="234">
        <v>0</v>
      </c>
      <c r="AB25" s="55">
        <f t="shared" si="31"/>
        <v>0</v>
      </c>
      <c r="AC25" s="234">
        <v>0</v>
      </c>
      <c r="AD25" s="234">
        <v>0</v>
      </c>
      <c r="AE25" s="63">
        <f>S25+V25+Y25</f>
        <v>603220.81000000006</v>
      </c>
      <c r="AF25" s="66"/>
      <c r="AG25" s="55">
        <f t="shared" si="30"/>
        <v>603220.81000000006</v>
      </c>
      <c r="AH25" s="60" t="s">
        <v>607</v>
      </c>
      <c r="AI25" s="66"/>
      <c r="AJ25" s="62">
        <f>37011.15+21320.94+41999.8+66511.18</f>
        <v>166843.07</v>
      </c>
      <c r="AK25" s="62">
        <f>5660.53+3260.85+6423.49+10172.29</f>
        <v>25517.16</v>
      </c>
    </row>
    <row r="26" spans="1:37" ht="141.75" x14ac:dyDescent="0.25">
      <c r="A26" s="345" t="s">
        <v>1770</v>
      </c>
      <c r="B26" s="417">
        <v>126349</v>
      </c>
      <c r="C26" s="268">
        <v>566</v>
      </c>
      <c r="D26" s="418" t="s">
        <v>171</v>
      </c>
      <c r="E26" s="260" t="s">
        <v>1060</v>
      </c>
      <c r="F26" s="270" t="s">
        <v>1153</v>
      </c>
      <c r="G26" s="14" t="s">
        <v>1252</v>
      </c>
      <c r="H26" s="14" t="s">
        <v>720</v>
      </c>
      <c r="I26" s="418" t="s">
        <v>181</v>
      </c>
      <c r="J26" s="14" t="s">
        <v>1253</v>
      </c>
      <c r="K26" s="148">
        <v>43482</v>
      </c>
      <c r="L26" s="15">
        <v>44212</v>
      </c>
      <c r="M26" s="5">
        <f t="shared" si="0"/>
        <v>85.000000750761799</v>
      </c>
      <c r="N26" s="6">
        <v>3</v>
      </c>
      <c r="O26" s="15" t="s">
        <v>264</v>
      </c>
      <c r="P26" s="15" t="s">
        <v>266</v>
      </c>
      <c r="Q26" s="15" t="s">
        <v>208</v>
      </c>
      <c r="R26" s="6" t="s">
        <v>36</v>
      </c>
      <c r="S26" s="57">
        <f>T26+U26</f>
        <v>3396550.05</v>
      </c>
      <c r="T26" s="234">
        <v>3396550.05</v>
      </c>
      <c r="U26" s="234">
        <v>0</v>
      </c>
      <c r="V26" s="57">
        <f>W26+X26</f>
        <v>519472.32</v>
      </c>
      <c r="W26" s="234">
        <v>519472.32</v>
      </c>
      <c r="X26" s="234">
        <v>0</v>
      </c>
      <c r="Y26" s="55">
        <f>Z26+AA26</f>
        <v>79918.83</v>
      </c>
      <c r="Z26" s="234">
        <v>79918.83</v>
      </c>
      <c r="AA26" s="234">
        <v>0</v>
      </c>
      <c r="AB26" s="55">
        <f>AC26+AD26</f>
        <v>0</v>
      </c>
      <c r="AC26" s="234">
        <v>0</v>
      </c>
      <c r="AD26" s="234">
        <v>0</v>
      </c>
      <c r="AE26" s="63">
        <f>S26+V26+Y26+AB26</f>
        <v>3995941.1999999997</v>
      </c>
      <c r="AF26" s="66">
        <v>0</v>
      </c>
      <c r="AG26" s="55">
        <f>AE26+AF26</f>
        <v>3995941.1999999997</v>
      </c>
      <c r="AH26" s="60" t="s">
        <v>607</v>
      </c>
      <c r="AI26" s="66"/>
      <c r="AJ26" s="62">
        <f>5464.65+117838.26</f>
        <v>123302.90999999999</v>
      </c>
      <c r="AK26" s="62">
        <f>835.77+18022.32</f>
        <v>18858.09</v>
      </c>
    </row>
    <row r="27" spans="1:37" ht="157.5" x14ac:dyDescent="0.25">
      <c r="A27" s="345" t="s">
        <v>1771</v>
      </c>
      <c r="B27" s="417">
        <v>128987</v>
      </c>
      <c r="C27" s="268">
        <v>649</v>
      </c>
      <c r="D27" s="418" t="s">
        <v>864</v>
      </c>
      <c r="E27" s="270" t="s">
        <v>988</v>
      </c>
      <c r="F27" s="422" t="s">
        <v>1427</v>
      </c>
      <c r="G27" s="125" t="s">
        <v>1463</v>
      </c>
      <c r="H27" s="11" t="s">
        <v>751</v>
      </c>
      <c r="I27" s="418" t="s">
        <v>181</v>
      </c>
      <c r="J27" s="14" t="s">
        <v>1464</v>
      </c>
      <c r="K27" s="148">
        <v>43626</v>
      </c>
      <c r="L27" s="15">
        <v>44540</v>
      </c>
      <c r="M27" s="5">
        <f t="shared" si="0"/>
        <v>85.000000101931988</v>
      </c>
      <c r="N27" s="6">
        <v>3</v>
      </c>
      <c r="O27" s="15" t="s">
        <v>264</v>
      </c>
      <c r="P27" s="15" t="s">
        <v>266</v>
      </c>
      <c r="Q27" s="15" t="s">
        <v>208</v>
      </c>
      <c r="R27" s="6" t="s">
        <v>36</v>
      </c>
      <c r="S27" s="57">
        <f>T27+U27</f>
        <v>2501668.17</v>
      </c>
      <c r="T27" s="234">
        <v>2501668.17</v>
      </c>
      <c r="U27" s="234">
        <v>0</v>
      </c>
      <c r="V27" s="57">
        <f>W27+X27</f>
        <v>382608.07</v>
      </c>
      <c r="W27" s="234">
        <v>382608.07</v>
      </c>
      <c r="X27" s="234">
        <v>0</v>
      </c>
      <c r="Y27" s="55">
        <f>Z27+AA27</f>
        <v>58862.78</v>
      </c>
      <c r="Z27" s="234">
        <v>58862.78</v>
      </c>
      <c r="AA27" s="234">
        <v>0</v>
      </c>
      <c r="AB27" s="55">
        <f>AC27+AD27</f>
        <v>0</v>
      </c>
      <c r="AC27" s="234">
        <v>0</v>
      </c>
      <c r="AD27" s="234">
        <v>0</v>
      </c>
      <c r="AE27" s="63">
        <f>S27+V27+Y27+AB27</f>
        <v>2943139.0199999996</v>
      </c>
      <c r="AF27" s="71">
        <v>0</v>
      </c>
      <c r="AG27" s="55">
        <f>AE27+AF27</f>
        <v>2943139.0199999996</v>
      </c>
      <c r="AH27" s="60" t="s">
        <v>607</v>
      </c>
      <c r="AI27" s="66" t="s">
        <v>181</v>
      </c>
      <c r="AJ27" s="62">
        <v>0</v>
      </c>
      <c r="AK27" s="62">
        <v>0</v>
      </c>
    </row>
    <row r="28" spans="1:37" ht="204.75" x14ac:dyDescent="0.25">
      <c r="A28" s="345" t="s">
        <v>1772</v>
      </c>
      <c r="B28" s="417">
        <v>119613</v>
      </c>
      <c r="C28" s="268">
        <v>461</v>
      </c>
      <c r="D28" s="418" t="s">
        <v>705</v>
      </c>
      <c r="E28" s="260" t="s">
        <v>1060</v>
      </c>
      <c r="F28" s="270" t="s">
        <v>564</v>
      </c>
      <c r="G28" s="14" t="s">
        <v>919</v>
      </c>
      <c r="H28" s="26" t="s">
        <v>920</v>
      </c>
      <c r="I28" s="418" t="s">
        <v>181</v>
      </c>
      <c r="J28" s="14" t="s">
        <v>921</v>
      </c>
      <c r="K28" s="274">
        <v>43320</v>
      </c>
      <c r="L28" s="275">
        <v>43646</v>
      </c>
      <c r="M28" s="5">
        <f t="shared" si="0"/>
        <v>85.00000179686964</v>
      </c>
      <c r="N28" s="26">
        <v>1</v>
      </c>
      <c r="O28" s="26" t="s">
        <v>368</v>
      </c>
      <c r="P28" s="26" t="s">
        <v>368</v>
      </c>
      <c r="Q28" s="15" t="s">
        <v>208</v>
      </c>
      <c r="R28" s="6" t="s">
        <v>36</v>
      </c>
      <c r="S28" s="58">
        <f t="shared" ref="S28" si="32">T28+U28</f>
        <v>236522.45</v>
      </c>
      <c r="T28" s="234">
        <v>236522.45</v>
      </c>
      <c r="U28" s="291">
        <v>0</v>
      </c>
      <c r="V28" s="68">
        <f t="shared" ref="V28" si="33">W28+X28</f>
        <v>36174.019999999997</v>
      </c>
      <c r="W28" s="348">
        <v>36174.019999999997</v>
      </c>
      <c r="X28" s="380">
        <v>0</v>
      </c>
      <c r="Y28" s="69">
        <f t="shared" ref="Y28" si="34">Z28+AA28</f>
        <v>5565.23</v>
      </c>
      <c r="Z28" s="348">
        <v>5565.23</v>
      </c>
      <c r="AA28" s="388">
        <v>0</v>
      </c>
      <c r="AB28" s="58">
        <v>0</v>
      </c>
      <c r="AC28" s="291">
        <v>0</v>
      </c>
      <c r="AD28" s="291">
        <v>0</v>
      </c>
      <c r="AE28" s="59">
        <f>S28+V28+Y28+AB28</f>
        <v>278261.7</v>
      </c>
      <c r="AF28" s="58">
        <v>37449.300000000003</v>
      </c>
      <c r="AG28" s="58">
        <f t="shared" ref="AG28" si="35">AE28+AF28</f>
        <v>315711</v>
      </c>
      <c r="AH28" s="60" t="s">
        <v>1092</v>
      </c>
      <c r="AI28" s="70" t="s">
        <v>1441</v>
      </c>
      <c r="AJ28" s="72">
        <f>36606.19+59255.8+16345.84+70944.19</f>
        <v>183152.02000000002</v>
      </c>
      <c r="AK28" s="62">
        <f>5598.59+9062.65+2499.95+10850.29</f>
        <v>28011.48</v>
      </c>
    </row>
    <row r="29" spans="1:37" ht="346.5" x14ac:dyDescent="0.25">
      <c r="A29" s="345" t="s">
        <v>1773</v>
      </c>
      <c r="B29" s="417">
        <v>118515</v>
      </c>
      <c r="C29" s="268">
        <v>429</v>
      </c>
      <c r="D29" s="418" t="s">
        <v>1334</v>
      </c>
      <c r="E29" s="270" t="s">
        <v>725</v>
      </c>
      <c r="F29" s="270" t="s">
        <v>632</v>
      </c>
      <c r="G29" s="14" t="s">
        <v>969</v>
      </c>
      <c r="H29" s="26" t="s">
        <v>920</v>
      </c>
      <c r="I29" s="418" t="s">
        <v>181</v>
      </c>
      <c r="J29" s="14" t="s">
        <v>970</v>
      </c>
      <c r="K29" s="148">
        <v>43333</v>
      </c>
      <c r="L29" s="15">
        <v>43820</v>
      </c>
      <c r="M29" s="5">
        <f t="shared" si="0"/>
        <v>85</v>
      </c>
      <c r="N29" s="26">
        <v>1</v>
      </c>
      <c r="O29" s="26" t="s">
        <v>368</v>
      </c>
      <c r="P29" s="26" t="s">
        <v>368</v>
      </c>
      <c r="Q29" s="15" t="s">
        <v>208</v>
      </c>
      <c r="R29" s="6" t="s">
        <v>36</v>
      </c>
      <c r="S29" s="55">
        <f t="shared" ref="S29:S30" si="36">T29+U29</f>
        <v>339452.6</v>
      </c>
      <c r="T29" s="349">
        <v>339452.6</v>
      </c>
      <c r="U29" s="349">
        <v>0</v>
      </c>
      <c r="V29" s="55">
        <f t="shared" si="28"/>
        <v>51916.28</v>
      </c>
      <c r="W29" s="349">
        <v>51916.28</v>
      </c>
      <c r="X29" s="356">
        <v>0</v>
      </c>
      <c r="Y29" s="55">
        <f t="shared" si="29"/>
        <v>7987.12</v>
      </c>
      <c r="Z29" s="349">
        <v>7987.12</v>
      </c>
      <c r="AA29" s="349">
        <v>0</v>
      </c>
      <c r="AB29" s="55">
        <f t="shared" si="31"/>
        <v>0</v>
      </c>
      <c r="AC29" s="291">
        <v>0</v>
      </c>
      <c r="AD29" s="291">
        <v>0</v>
      </c>
      <c r="AE29" s="63">
        <f>S29+W29+Z29</f>
        <v>399356</v>
      </c>
      <c r="AF29" s="58">
        <v>58024.99</v>
      </c>
      <c r="AG29" s="55">
        <f t="shared" si="30"/>
        <v>457380.99</v>
      </c>
      <c r="AH29" s="60" t="s">
        <v>607</v>
      </c>
      <c r="AI29" s="70" t="s">
        <v>181</v>
      </c>
      <c r="AJ29" s="72">
        <f>17436.62+39132.39-4546.98+30717.43+55141.2</f>
        <v>137880.65999999997</v>
      </c>
      <c r="AK29" s="72">
        <f>2549.38+4546.98+4697.96+9293.31</f>
        <v>21087.629999999997</v>
      </c>
    </row>
    <row r="30" spans="1:37" ht="157.5" x14ac:dyDescent="0.25">
      <c r="A30" s="345" t="s">
        <v>1774</v>
      </c>
      <c r="B30" s="417">
        <v>126161</v>
      </c>
      <c r="C30" s="268">
        <v>571</v>
      </c>
      <c r="D30" s="418" t="s">
        <v>864</v>
      </c>
      <c r="E30" s="270" t="s">
        <v>988</v>
      </c>
      <c r="F30" s="270" t="s">
        <v>1153</v>
      </c>
      <c r="G30" s="14" t="s">
        <v>1186</v>
      </c>
      <c r="H30" s="26" t="s">
        <v>1185</v>
      </c>
      <c r="I30" s="418" t="s">
        <v>181</v>
      </c>
      <c r="J30" s="14" t="s">
        <v>1187</v>
      </c>
      <c r="K30" s="148">
        <v>43444</v>
      </c>
      <c r="L30" s="15">
        <v>44265</v>
      </c>
      <c r="M30" s="5">
        <f t="shared" si="0"/>
        <v>84.999999835393808</v>
      </c>
      <c r="N30" s="26">
        <v>1</v>
      </c>
      <c r="O30" s="26" t="s">
        <v>368</v>
      </c>
      <c r="P30" s="26" t="s">
        <v>368</v>
      </c>
      <c r="Q30" s="15" t="s">
        <v>208</v>
      </c>
      <c r="R30" s="6" t="s">
        <v>36</v>
      </c>
      <c r="S30" s="55">
        <f t="shared" si="36"/>
        <v>2323727.9300000002</v>
      </c>
      <c r="T30" s="349">
        <v>2323727.9300000002</v>
      </c>
      <c r="U30" s="349">
        <v>0</v>
      </c>
      <c r="V30" s="55">
        <f t="shared" si="28"/>
        <v>355393.68</v>
      </c>
      <c r="W30" s="349">
        <v>355393.68</v>
      </c>
      <c r="X30" s="356">
        <v>0</v>
      </c>
      <c r="Y30" s="55">
        <f t="shared" si="29"/>
        <v>54675.96</v>
      </c>
      <c r="Z30" s="349">
        <v>54675.96</v>
      </c>
      <c r="AA30" s="349">
        <v>0</v>
      </c>
      <c r="AB30" s="55">
        <f t="shared" si="31"/>
        <v>0</v>
      </c>
      <c r="AC30" s="291">
        <v>0</v>
      </c>
      <c r="AD30" s="291">
        <v>0</v>
      </c>
      <c r="AE30" s="63">
        <f t="shared" ref="AE30" si="37">S30+W30+Z30</f>
        <v>2733797.5700000003</v>
      </c>
      <c r="AF30" s="58">
        <v>80920</v>
      </c>
      <c r="AG30" s="55">
        <f t="shared" si="30"/>
        <v>2814717.5700000003</v>
      </c>
      <c r="AH30" s="60" t="s">
        <v>607</v>
      </c>
      <c r="AI30" s="70"/>
      <c r="AJ30" s="72">
        <v>43440.27</v>
      </c>
      <c r="AK30" s="72">
        <v>6643.81</v>
      </c>
    </row>
    <row r="31" spans="1:37" ht="157.5" x14ac:dyDescent="0.25">
      <c r="A31" s="345" t="s">
        <v>1775</v>
      </c>
      <c r="B31" s="417">
        <v>128880</v>
      </c>
      <c r="C31" s="268">
        <v>652</v>
      </c>
      <c r="D31" s="418" t="s">
        <v>1334</v>
      </c>
      <c r="E31" s="270" t="s">
        <v>988</v>
      </c>
      <c r="F31" s="270" t="s">
        <v>1427</v>
      </c>
      <c r="G31" s="14" t="s">
        <v>1520</v>
      </c>
      <c r="H31" s="26" t="s">
        <v>920</v>
      </c>
      <c r="I31" s="418" t="s">
        <v>181</v>
      </c>
      <c r="J31" s="14" t="s">
        <v>1521</v>
      </c>
      <c r="K31" s="148">
        <v>43643</v>
      </c>
      <c r="L31" s="15">
        <v>44374</v>
      </c>
      <c r="M31" s="5">
        <f t="shared" si="0"/>
        <v>85</v>
      </c>
      <c r="N31" s="26">
        <v>1</v>
      </c>
      <c r="O31" s="26" t="s">
        <v>368</v>
      </c>
      <c r="P31" s="26" t="s">
        <v>368</v>
      </c>
      <c r="Q31" s="15" t="s">
        <v>208</v>
      </c>
      <c r="R31" s="6" t="s">
        <v>36</v>
      </c>
      <c r="S31" s="55">
        <f>T31+U31</f>
        <v>2545487.35</v>
      </c>
      <c r="T31" s="349">
        <v>2545487.35</v>
      </c>
      <c r="U31" s="349">
        <v>0</v>
      </c>
      <c r="V31" s="55">
        <f>W31+X31</f>
        <v>389309.83</v>
      </c>
      <c r="W31" s="349">
        <v>389309.83</v>
      </c>
      <c r="X31" s="349">
        <v>0</v>
      </c>
      <c r="Y31" s="55">
        <f>Z31+AA31</f>
        <v>59893.82</v>
      </c>
      <c r="Z31" s="349">
        <v>59893.82</v>
      </c>
      <c r="AA31" s="349">
        <v>0</v>
      </c>
      <c r="AB31" s="55">
        <f>AC31+AD31</f>
        <v>0</v>
      </c>
      <c r="AC31" s="352">
        <v>0</v>
      </c>
      <c r="AD31" s="352">
        <v>0</v>
      </c>
      <c r="AE31" s="63">
        <f>S31+W31+Z31</f>
        <v>2994691</v>
      </c>
      <c r="AF31" s="58">
        <v>0</v>
      </c>
      <c r="AG31" s="55">
        <f>AE31+AF31</f>
        <v>2994691</v>
      </c>
      <c r="AH31" s="60" t="s">
        <v>607</v>
      </c>
      <c r="AI31" s="70"/>
      <c r="AJ31" s="72">
        <v>0</v>
      </c>
      <c r="AK31" s="72">
        <v>0</v>
      </c>
    </row>
    <row r="32" spans="1:37" ht="165" x14ac:dyDescent="0.25">
      <c r="A32" s="345" t="s">
        <v>1776</v>
      </c>
      <c r="B32" s="271">
        <v>120769</v>
      </c>
      <c r="C32" s="268">
        <v>96</v>
      </c>
      <c r="D32" s="235" t="s">
        <v>171</v>
      </c>
      <c r="E32" s="270" t="s">
        <v>988</v>
      </c>
      <c r="F32" s="419" t="s">
        <v>354</v>
      </c>
      <c r="G32" s="37" t="s">
        <v>365</v>
      </c>
      <c r="H32" s="11" t="s">
        <v>364</v>
      </c>
      <c r="I32" s="260" t="s">
        <v>366</v>
      </c>
      <c r="J32" s="35" t="s">
        <v>367</v>
      </c>
      <c r="K32" s="148">
        <v>43186</v>
      </c>
      <c r="L32" s="15">
        <v>43673</v>
      </c>
      <c r="M32" s="5">
        <f t="shared" si="0"/>
        <v>84.154097257132506</v>
      </c>
      <c r="N32" s="6" t="s">
        <v>152</v>
      </c>
      <c r="O32" s="6" t="s">
        <v>368</v>
      </c>
      <c r="P32" s="6" t="s">
        <v>368</v>
      </c>
      <c r="Q32" s="10" t="s">
        <v>208</v>
      </c>
      <c r="R32" s="2" t="s">
        <v>36</v>
      </c>
      <c r="S32" s="55">
        <f t="shared" ref="S32:S33" si="38">T32+U32</f>
        <v>357519.4</v>
      </c>
      <c r="T32" s="234">
        <v>357519.4</v>
      </c>
      <c r="U32" s="234">
        <v>0</v>
      </c>
      <c r="V32" s="55">
        <f t="shared" ref="V32:V33" si="39">W32+X32</f>
        <v>58822.79</v>
      </c>
      <c r="W32" s="234">
        <v>58822.79</v>
      </c>
      <c r="X32" s="234">
        <v>0</v>
      </c>
      <c r="Y32" s="55">
        <f t="shared" ref="Y32:Y33" si="40">Z32+AA32</f>
        <v>8496.7800000000007</v>
      </c>
      <c r="Z32" s="234">
        <v>8496.7800000000007</v>
      </c>
      <c r="AA32" s="234">
        <v>0</v>
      </c>
      <c r="AB32" s="55">
        <f t="shared" ref="AB32" si="41">AC32+AD32</f>
        <v>0</v>
      </c>
      <c r="AC32" s="234"/>
      <c r="AD32" s="234"/>
      <c r="AE32" s="63">
        <f t="shared" ref="AE32" si="42">S32+V32+Y32+AB32</f>
        <v>424838.97000000003</v>
      </c>
      <c r="AF32" s="55">
        <v>0</v>
      </c>
      <c r="AG32" s="55">
        <f t="shared" ref="AG32" si="43">AE32+AF32</f>
        <v>424838.97000000003</v>
      </c>
      <c r="AH32" s="60" t="s">
        <v>1092</v>
      </c>
      <c r="AI32" s="61" t="s">
        <v>181</v>
      </c>
      <c r="AJ32" s="72">
        <f>91004.83+54990.03-2852.81+19018.76+43276.76+21139.54+23323.44</f>
        <v>249900.55000000002</v>
      </c>
      <c r="AK32" s="62">
        <f>8258.02+14527.48+10688.48+7262.63</f>
        <v>40736.609999999993</v>
      </c>
    </row>
    <row r="33" spans="1:38" ht="300" x14ac:dyDescent="0.25">
      <c r="A33" s="345" t="s">
        <v>1777</v>
      </c>
      <c r="B33" s="271">
        <v>128863</v>
      </c>
      <c r="C33" s="268">
        <v>638</v>
      </c>
      <c r="D33" s="235" t="s">
        <v>170</v>
      </c>
      <c r="E33" s="270" t="s">
        <v>988</v>
      </c>
      <c r="F33" s="419" t="s">
        <v>1427</v>
      </c>
      <c r="G33" s="37" t="s">
        <v>1618</v>
      </c>
      <c r="H33" s="11" t="s">
        <v>1619</v>
      </c>
      <c r="I33" s="260" t="s">
        <v>444</v>
      </c>
      <c r="J33" s="35" t="s">
        <v>1621</v>
      </c>
      <c r="K33" s="148">
        <v>43679</v>
      </c>
      <c r="L33" s="15">
        <v>44257</v>
      </c>
      <c r="M33" s="5">
        <f t="shared" si="0"/>
        <v>84.99999967540424</v>
      </c>
      <c r="N33" s="6">
        <v>6</v>
      </c>
      <c r="O33" s="6" t="s">
        <v>368</v>
      </c>
      <c r="P33" s="6" t="s">
        <v>1620</v>
      </c>
      <c r="Q33" s="10" t="s">
        <v>208</v>
      </c>
      <c r="R33" s="2" t="s">
        <v>36</v>
      </c>
      <c r="S33" s="55">
        <f t="shared" si="38"/>
        <v>2356777.4300000002</v>
      </c>
      <c r="T33" s="234">
        <v>2356777.4300000002</v>
      </c>
      <c r="U33" s="234">
        <v>0</v>
      </c>
      <c r="V33" s="55">
        <f t="shared" si="39"/>
        <v>360448.32</v>
      </c>
      <c r="W33" s="234">
        <v>360448.32</v>
      </c>
      <c r="X33" s="234">
        <v>0</v>
      </c>
      <c r="Y33" s="55">
        <f t="shared" si="40"/>
        <v>55453.59</v>
      </c>
      <c r="Z33" s="234">
        <v>55453.59</v>
      </c>
      <c r="AA33" s="234">
        <v>0</v>
      </c>
      <c r="AB33" s="55">
        <v>0</v>
      </c>
      <c r="AC33" s="234">
        <v>0</v>
      </c>
      <c r="AD33" s="234">
        <v>0</v>
      </c>
      <c r="AE33" s="63">
        <f>S33+V33+Y33+AB33</f>
        <v>2772679.34</v>
      </c>
      <c r="AF33" s="55">
        <v>0</v>
      </c>
      <c r="AG33" s="55">
        <v>0</v>
      </c>
      <c r="AH33" s="60" t="s">
        <v>607</v>
      </c>
      <c r="AI33" s="61"/>
      <c r="AJ33" s="72">
        <v>0</v>
      </c>
      <c r="AK33" s="62">
        <v>0</v>
      </c>
    </row>
    <row r="34" spans="1:38" ht="196.5" customHeight="1" x14ac:dyDescent="0.25">
      <c r="A34" s="345" t="s">
        <v>1778</v>
      </c>
      <c r="B34" s="271">
        <v>122823</v>
      </c>
      <c r="C34" s="268">
        <v>71</v>
      </c>
      <c r="D34" s="270" t="s">
        <v>705</v>
      </c>
      <c r="E34" s="270" t="s">
        <v>988</v>
      </c>
      <c r="F34" s="419" t="s">
        <v>354</v>
      </c>
      <c r="G34" s="17" t="s">
        <v>522</v>
      </c>
      <c r="H34" s="14" t="s">
        <v>520</v>
      </c>
      <c r="I34" s="260" t="s">
        <v>181</v>
      </c>
      <c r="J34" s="23" t="s">
        <v>521</v>
      </c>
      <c r="K34" s="148">
        <v>43244</v>
      </c>
      <c r="L34" s="15">
        <v>43823</v>
      </c>
      <c r="M34" s="5">
        <f t="shared" si="0"/>
        <v>85.000001791562255</v>
      </c>
      <c r="N34" s="8">
        <v>6</v>
      </c>
      <c r="O34" s="16" t="s">
        <v>518</v>
      </c>
      <c r="P34" s="16" t="s">
        <v>519</v>
      </c>
      <c r="Q34" s="22" t="s">
        <v>208</v>
      </c>
      <c r="R34" s="16" t="s">
        <v>36</v>
      </c>
      <c r="S34" s="58">
        <f t="shared" ref="S34:S36" si="44">T34+U34</f>
        <v>355834.7</v>
      </c>
      <c r="T34" s="349">
        <v>355834.7</v>
      </c>
      <c r="U34" s="291">
        <v>0</v>
      </c>
      <c r="V34" s="68">
        <f t="shared" ref="V34:V36" si="45">W34+X34</f>
        <v>54421.769999999982</v>
      </c>
      <c r="W34" s="207">
        <v>54421.769999999982</v>
      </c>
      <c r="X34" s="380">
        <v>0</v>
      </c>
      <c r="Y34" s="69">
        <f t="shared" ref="Y34:Y36" si="46">Z34+AA34</f>
        <v>8372.58</v>
      </c>
      <c r="Z34" s="348">
        <v>8372.58</v>
      </c>
      <c r="AA34" s="388">
        <v>0</v>
      </c>
      <c r="AB34" s="58">
        <v>0</v>
      </c>
      <c r="AC34" s="291"/>
      <c r="AD34" s="291"/>
      <c r="AE34" s="59">
        <f>S34+V34+Y34+AB34</f>
        <v>418629.05</v>
      </c>
      <c r="AF34" s="58">
        <v>0</v>
      </c>
      <c r="AG34" s="58">
        <f t="shared" ref="AG34" si="47">AE34+AF34</f>
        <v>418629.05</v>
      </c>
      <c r="AH34" s="60" t="s">
        <v>607</v>
      </c>
      <c r="AI34" s="70" t="s">
        <v>1646</v>
      </c>
      <c r="AJ34" s="72">
        <f>75266.37-5365.18+40445.22-5442.14+41025.35-5438.13+40995.18-5548.59+41827.87-5426.4</f>
        <v>212339.55</v>
      </c>
      <c r="AK34" s="62">
        <f>5108.77+5365.18+5442.14+5438.13+5548.59+5426.4</f>
        <v>32329.21</v>
      </c>
    </row>
    <row r="35" spans="1:38" ht="180" customHeight="1" x14ac:dyDescent="0.25">
      <c r="A35" s="345" t="s">
        <v>1779</v>
      </c>
      <c r="B35" s="419">
        <v>119767</v>
      </c>
      <c r="C35" s="419">
        <v>475</v>
      </c>
      <c r="D35" s="419" t="s">
        <v>1093</v>
      </c>
      <c r="E35" s="260" t="s">
        <v>1060</v>
      </c>
      <c r="F35" s="270" t="s">
        <v>564</v>
      </c>
      <c r="G35" s="17" t="s">
        <v>853</v>
      </c>
      <c r="H35" s="17" t="s">
        <v>854</v>
      </c>
      <c r="I35" s="260" t="s">
        <v>181</v>
      </c>
      <c r="J35" s="23" t="s">
        <v>855</v>
      </c>
      <c r="K35" s="148">
        <v>43306</v>
      </c>
      <c r="L35" s="15">
        <v>43794</v>
      </c>
      <c r="M35" s="5">
        <f t="shared" si="0"/>
        <v>85.000000000000014</v>
      </c>
      <c r="N35" s="6">
        <v>6</v>
      </c>
      <c r="O35" s="15" t="s">
        <v>518</v>
      </c>
      <c r="P35" s="15" t="s">
        <v>856</v>
      </c>
      <c r="Q35" s="15" t="s">
        <v>208</v>
      </c>
      <c r="R35" s="6" t="s">
        <v>36</v>
      </c>
      <c r="S35" s="58">
        <f t="shared" si="44"/>
        <v>518392.9</v>
      </c>
      <c r="T35" s="234">
        <v>518392.9</v>
      </c>
      <c r="U35" s="291">
        <v>0</v>
      </c>
      <c r="V35" s="68">
        <f t="shared" si="45"/>
        <v>79283.62</v>
      </c>
      <c r="W35" s="207">
        <v>79283.62</v>
      </c>
      <c r="X35" s="380">
        <v>0</v>
      </c>
      <c r="Y35" s="69">
        <f t="shared" si="46"/>
        <v>12197.48</v>
      </c>
      <c r="Z35" s="359">
        <v>12197.48</v>
      </c>
      <c r="AA35" s="388">
        <v>0</v>
      </c>
      <c r="AB35" s="55">
        <f t="shared" si="31"/>
        <v>0</v>
      </c>
      <c r="AC35" s="291">
        <v>0</v>
      </c>
      <c r="AD35" s="291">
        <v>0</v>
      </c>
      <c r="AE35" s="63">
        <f>S35+V35+Y35+AB35</f>
        <v>609874</v>
      </c>
      <c r="AF35" s="58">
        <v>0</v>
      </c>
      <c r="AG35" s="55">
        <f t="shared" ref="AG35" si="48">AE35+AF35</f>
        <v>609874</v>
      </c>
      <c r="AH35" s="60" t="s">
        <v>607</v>
      </c>
      <c r="AI35" s="70" t="s">
        <v>181</v>
      </c>
      <c r="AJ35" s="72">
        <f>60000+22596.2</f>
        <v>82596.2</v>
      </c>
      <c r="AK35" s="62">
        <f>12632.36</f>
        <v>12632.36</v>
      </c>
    </row>
    <row r="36" spans="1:38" ht="220.5" x14ac:dyDescent="0.25">
      <c r="A36" s="345" t="s">
        <v>1780</v>
      </c>
      <c r="B36" s="419">
        <v>129383</v>
      </c>
      <c r="C36" s="419">
        <v>685</v>
      </c>
      <c r="D36" s="419" t="s">
        <v>1334</v>
      </c>
      <c r="E36" s="270" t="s">
        <v>988</v>
      </c>
      <c r="F36" s="270" t="s">
        <v>1427</v>
      </c>
      <c r="G36" s="17" t="s">
        <v>1561</v>
      </c>
      <c r="H36" s="17" t="s">
        <v>854</v>
      </c>
      <c r="I36" s="260" t="s">
        <v>444</v>
      </c>
      <c r="J36" s="23" t="s">
        <v>1560</v>
      </c>
      <c r="K36" s="148">
        <v>43657</v>
      </c>
      <c r="L36" s="15">
        <v>44207</v>
      </c>
      <c r="M36" s="5">
        <f t="shared" si="0"/>
        <v>85.000000150473397</v>
      </c>
      <c r="N36" s="6">
        <v>6</v>
      </c>
      <c r="O36" s="15" t="s">
        <v>518</v>
      </c>
      <c r="P36" s="15" t="s">
        <v>1559</v>
      </c>
      <c r="Q36" s="15" t="s">
        <v>208</v>
      </c>
      <c r="R36" s="6" t="s">
        <v>36</v>
      </c>
      <c r="S36" s="58">
        <f t="shared" si="44"/>
        <v>2541977.39</v>
      </c>
      <c r="T36" s="234">
        <v>2541977.39</v>
      </c>
      <c r="U36" s="291">
        <v>0</v>
      </c>
      <c r="V36" s="68">
        <f t="shared" si="45"/>
        <v>388773.02</v>
      </c>
      <c r="W36" s="207">
        <v>388773.02</v>
      </c>
      <c r="X36" s="380">
        <v>0</v>
      </c>
      <c r="Y36" s="69">
        <f t="shared" si="46"/>
        <v>59811.22</v>
      </c>
      <c r="Z36" s="359">
        <v>59811.22</v>
      </c>
      <c r="AA36" s="388">
        <v>0</v>
      </c>
      <c r="AB36" s="55">
        <v>0</v>
      </c>
      <c r="AC36" s="291">
        <v>0</v>
      </c>
      <c r="AD36" s="291">
        <v>0</v>
      </c>
      <c r="AE36" s="59">
        <f>S36+V36+Y36+AB36</f>
        <v>2990561.6300000004</v>
      </c>
      <c r="AF36" s="58">
        <v>0</v>
      </c>
      <c r="AG36" s="55">
        <v>0</v>
      </c>
      <c r="AH36" s="60" t="s">
        <v>607</v>
      </c>
      <c r="AI36" s="70"/>
      <c r="AJ36" s="72">
        <v>0</v>
      </c>
      <c r="AK36" s="62">
        <v>0</v>
      </c>
    </row>
    <row r="37" spans="1:38" s="18" customFormat="1" ht="141.75" x14ac:dyDescent="0.25">
      <c r="A37" s="345" t="s">
        <v>1781</v>
      </c>
      <c r="B37" s="271">
        <v>120599</v>
      </c>
      <c r="C37" s="268">
        <v>75</v>
      </c>
      <c r="D37" s="270" t="s">
        <v>705</v>
      </c>
      <c r="E37" s="270" t="s">
        <v>988</v>
      </c>
      <c r="F37" s="419" t="s">
        <v>354</v>
      </c>
      <c r="G37" s="17" t="s">
        <v>269</v>
      </c>
      <c r="H37" s="14" t="s">
        <v>270</v>
      </c>
      <c r="I37" s="260" t="s">
        <v>181</v>
      </c>
      <c r="J37" s="27" t="s">
        <v>857</v>
      </c>
      <c r="K37" s="148">
        <v>43145</v>
      </c>
      <c r="L37" s="15">
        <v>43813</v>
      </c>
      <c r="M37" s="5">
        <f t="shared" si="0"/>
        <v>84.999998786570643</v>
      </c>
      <c r="N37" s="8">
        <v>6</v>
      </c>
      <c r="O37" s="16" t="s">
        <v>285</v>
      </c>
      <c r="P37" s="16" t="s">
        <v>271</v>
      </c>
      <c r="Q37" s="22" t="s">
        <v>208</v>
      </c>
      <c r="R37" s="16" t="s">
        <v>36</v>
      </c>
      <c r="S37" s="58">
        <f t="shared" ref="S37:S40" si="49">T37+U37</f>
        <v>350247</v>
      </c>
      <c r="T37" s="234">
        <v>350247</v>
      </c>
      <c r="U37" s="291">
        <v>0</v>
      </c>
      <c r="V37" s="68">
        <f t="shared" ref="V37:V40" si="50">W37+X37</f>
        <v>53567.19</v>
      </c>
      <c r="W37" s="207">
        <v>53567.19</v>
      </c>
      <c r="X37" s="380">
        <v>0</v>
      </c>
      <c r="Y37" s="69">
        <f t="shared" ref="Y37:Y40" si="51">Z37+AA37</f>
        <v>8241.11</v>
      </c>
      <c r="Z37" s="348">
        <v>8241.11</v>
      </c>
      <c r="AA37" s="388">
        <v>0</v>
      </c>
      <c r="AB37" s="58">
        <v>0</v>
      </c>
      <c r="AC37" s="291"/>
      <c r="AD37" s="291"/>
      <c r="AE37" s="59">
        <f>S37+V37+Y37+AB37</f>
        <v>412055.3</v>
      </c>
      <c r="AF37" s="58">
        <v>0</v>
      </c>
      <c r="AG37" s="58">
        <f t="shared" ref="AG37:AG38" si="52">AE37+AF37</f>
        <v>412055.3</v>
      </c>
      <c r="AH37" s="60" t="s">
        <v>607</v>
      </c>
      <c r="AI37" s="70" t="s">
        <v>1480</v>
      </c>
      <c r="AJ37" s="72">
        <v>99944.26</v>
      </c>
      <c r="AK37" s="62">
        <v>15285.57</v>
      </c>
    </row>
    <row r="38" spans="1:38" s="18" customFormat="1" ht="315" x14ac:dyDescent="0.25">
      <c r="A38" s="345" t="s">
        <v>1782</v>
      </c>
      <c r="B38" s="271">
        <v>129687</v>
      </c>
      <c r="C38" s="268">
        <v>667</v>
      </c>
      <c r="D38" s="270" t="s">
        <v>1334</v>
      </c>
      <c r="E38" s="260" t="s">
        <v>1060</v>
      </c>
      <c r="F38" s="423" t="s">
        <v>1427</v>
      </c>
      <c r="G38" s="218" t="s">
        <v>1545</v>
      </c>
      <c r="H38" s="14" t="s">
        <v>1546</v>
      </c>
      <c r="I38" s="260" t="str">
        <f>$I$37</f>
        <v>n.a</v>
      </c>
      <c r="J38" s="27" t="s">
        <v>1544</v>
      </c>
      <c r="K38" s="148">
        <v>43654</v>
      </c>
      <c r="L38" s="15">
        <v>44385</v>
      </c>
      <c r="M38" s="5">
        <f t="shared" si="0"/>
        <v>85</v>
      </c>
      <c r="N38" s="8">
        <f>$N$37</f>
        <v>6</v>
      </c>
      <c r="O38" s="16" t="str">
        <f t="shared" ref="O38" si="53">O37</f>
        <v>Bistrița-Năsăud</v>
      </c>
      <c r="P38" s="16" t="str">
        <f>P37</f>
        <v>Bistrița</v>
      </c>
      <c r="Q38" s="22" t="s">
        <v>208</v>
      </c>
      <c r="R38" s="16" t="s">
        <v>36</v>
      </c>
      <c r="S38" s="58">
        <f t="shared" si="49"/>
        <v>2626630.9</v>
      </c>
      <c r="T38" s="234">
        <v>2626630.9</v>
      </c>
      <c r="U38" s="291">
        <v>0</v>
      </c>
      <c r="V38" s="68">
        <f t="shared" si="50"/>
        <v>401720.02</v>
      </c>
      <c r="W38" s="207">
        <v>401720.02</v>
      </c>
      <c r="X38" s="380">
        <v>0</v>
      </c>
      <c r="Y38" s="69">
        <f t="shared" si="51"/>
        <v>61803.08</v>
      </c>
      <c r="Z38" s="348">
        <v>61803.08</v>
      </c>
      <c r="AA38" s="388">
        <v>0</v>
      </c>
      <c r="AB38" s="58">
        <v>0</v>
      </c>
      <c r="AC38" s="291">
        <v>0</v>
      </c>
      <c r="AD38" s="291">
        <v>0</v>
      </c>
      <c r="AE38" s="59">
        <f>S38+V38+Y38+AB38</f>
        <v>3090154</v>
      </c>
      <c r="AF38" s="58">
        <v>0</v>
      </c>
      <c r="AG38" s="58">
        <f t="shared" si="52"/>
        <v>3090154</v>
      </c>
      <c r="AH38" s="60" t="str">
        <f>$AH$37</f>
        <v xml:space="preserve"> în implementare</v>
      </c>
      <c r="AI38" s="70"/>
      <c r="AJ38" s="72">
        <v>0</v>
      </c>
      <c r="AK38" s="62">
        <v>0</v>
      </c>
    </row>
    <row r="39" spans="1:38" ht="236.25" x14ac:dyDescent="0.25">
      <c r="A39" s="345" t="s">
        <v>1783</v>
      </c>
      <c r="B39" s="417">
        <v>119593</v>
      </c>
      <c r="C39" s="268">
        <v>467</v>
      </c>
      <c r="D39" s="418" t="s">
        <v>705</v>
      </c>
      <c r="E39" s="260" t="s">
        <v>1060</v>
      </c>
      <c r="F39" s="270" t="s">
        <v>564</v>
      </c>
      <c r="G39" s="14" t="s">
        <v>794</v>
      </c>
      <c r="H39" s="26" t="s">
        <v>795</v>
      </c>
      <c r="I39" s="418" t="s">
        <v>360</v>
      </c>
      <c r="J39" s="14" t="s">
        <v>796</v>
      </c>
      <c r="K39" s="148">
        <v>43293</v>
      </c>
      <c r="L39" s="15">
        <v>43781</v>
      </c>
      <c r="M39" s="5">
        <f t="shared" si="0"/>
        <v>84.262029230668674</v>
      </c>
      <c r="N39" s="26">
        <v>1</v>
      </c>
      <c r="O39" s="26" t="s">
        <v>572</v>
      </c>
      <c r="P39" s="26" t="s">
        <v>797</v>
      </c>
      <c r="Q39" s="26" t="s">
        <v>208</v>
      </c>
      <c r="R39" s="8" t="s">
        <v>36</v>
      </c>
      <c r="S39" s="57">
        <f t="shared" ref="S39" si="54">T39+U39</f>
        <v>349239.24</v>
      </c>
      <c r="T39" s="349">
        <v>349239.24</v>
      </c>
      <c r="U39" s="291">
        <v>0</v>
      </c>
      <c r="V39" s="57">
        <f t="shared" ref="V39" si="55">W39+X39</f>
        <v>56939.5</v>
      </c>
      <c r="W39" s="349">
        <v>56939.5</v>
      </c>
      <c r="X39" s="291">
        <v>0</v>
      </c>
      <c r="Y39" s="57">
        <f t="shared" ref="Y39" si="56">Z39+AA39</f>
        <v>4690.93</v>
      </c>
      <c r="Z39" s="349">
        <v>4690.93</v>
      </c>
      <c r="AA39" s="349">
        <v>0</v>
      </c>
      <c r="AB39" s="55">
        <f t="shared" ref="AB39" si="57">AC39+AD39</f>
        <v>3598.44</v>
      </c>
      <c r="AC39" s="291">
        <v>3598.44</v>
      </c>
      <c r="AD39" s="291">
        <v>0</v>
      </c>
      <c r="AE39" s="63">
        <f t="shared" ref="AE39" si="58">S39+V39+Y39+AB39</f>
        <v>414468.11</v>
      </c>
      <c r="AF39" s="66"/>
      <c r="AG39" s="55">
        <f t="shared" ref="AG39" si="59">AE39+AF39</f>
        <v>414468.11</v>
      </c>
      <c r="AH39" s="60" t="s">
        <v>607</v>
      </c>
      <c r="AI39" s="66"/>
      <c r="AJ39" s="119">
        <f>35492.2+30895.14+16961.29+15519.4+23454.6+5703.34+16900.2+22059.71</f>
        <v>166985.88</v>
      </c>
      <c r="AK39" s="119">
        <f>4135.85+8894.04+3988.86+3373.84</f>
        <v>20392.59</v>
      </c>
    </row>
    <row r="40" spans="1:38" ht="189" x14ac:dyDescent="0.25">
      <c r="A40" s="345" t="s">
        <v>1784</v>
      </c>
      <c r="B40" s="271">
        <v>118690</v>
      </c>
      <c r="C40" s="260">
        <v>433</v>
      </c>
      <c r="D40" s="235" t="s">
        <v>705</v>
      </c>
      <c r="E40" s="270" t="s">
        <v>725</v>
      </c>
      <c r="F40" s="270" t="s">
        <v>632</v>
      </c>
      <c r="G40" s="14" t="s">
        <v>978</v>
      </c>
      <c r="H40" s="26" t="s">
        <v>795</v>
      </c>
      <c r="I40" s="260" t="s">
        <v>987</v>
      </c>
      <c r="J40" s="14" t="s">
        <v>979</v>
      </c>
      <c r="K40" s="148">
        <v>43333</v>
      </c>
      <c r="L40" s="15">
        <v>43790</v>
      </c>
      <c r="M40" s="5">
        <f t="shared" si="0"/>
        <v>84.169367233766351</v>
      </c>
      <c r="N40" s="26">
        <v>1</v>
      </c>
      <c r="O40" s="26" t="s">
        <v>797</v>
      </c>
      <c r="P40" s="26" t="s">
        <v>797</v>
      </c>
      <c r="Q40" s="26" t="s">
        <v>208</v>
      </c>
      <c r="R40" s="26" t="s">
        <v>980</v>
      </c>
      <c r="S40" s="58">
        <f t="shared" si="49"/>
        <v>242198.44</v>
      </c>
      <c r="T40" s="349">
        <v>242198.44</v>
      </c>
      <c r="U40" s="255">
        <v>0</v>
      </c>
      <c r="V40" s="68">
        <f t="shared" si="50"/>
        <v>39797.81</v>
      </c>
      <c r="W40" s="349">
        <v>39797.81</v>
      </c>
      <c r="X40" s="255">
        <v>0</v>
      </c>
      <c r="Y40" s="69">
        <f t="shared" si="51"/>
        <v>5755.04</v>
      </c>
      <c r="Z40" s="349">
        <v>5755.04</v>
      </c>
      <c r="AA40" s="207">
        <v>0</v>
      </c>
      <c r="AB40" s="58">
        <v>0</v>
      </c>
      <c r="AC40" s="255">
        <v>0</v>
      </c>
      <c r="AD40" s="255">
        <v>0</v>
      </c>
      <c r="AE40" s="59">
        <f t="shared" ref="AE40" si="60">S40+V40+Y40</f>
        <v>287751.28999999998</v>
      </c>
      <c r="AF40" s="66"/>
      <c r="AG40" s="58">
        <f t="shared" ref="AG40" si="61">AE40+AF40</f>
        <v>287751.28999999998</v>
      </c>
      <c r="AH40" s="60" t="s">
        <v>607</v>
      </c>
      <c r="AI40" s="66"/>
      <c r="AJ40" s="119">
        <f>28775.11+11891.84+28775.11+36393.98</f>
        <v>105836.04000000001</v>
      </c>
      <c r="AK40" s="72">
        <f>6600.82+5824.77</f>
        <v>12425.59</v>
      </c>
    </row>
    <row r="41" spans="1:38" ht="204.75" x14ac:dyDescent="0.25">
      <c r="A41" s="345" t="s">
        <v>1785</v>
      </c>
      <c r="B41" s="417">
        <v>126412</v>
      </c>
      <c r="C41" s="268">
        <v>553</v>
      </c>
      <c r="D41" s="418" t="s">
        <v>1093</v>
      </c>
      <c r="E41" s="260" t="s">
        <v>1060</v>
      </c>
      <c r="F41" s="253" t="s">
        <v>1153</v>
      </c>
      <c r="G41" s="14" t="s">
        <v>1368</v>
      </c>
      <c r="H41" s="26" t="s">
        <v>1369</v>
      </c>
      <c r="I41" s="418" t="s">
        <v>376</v>
      </c>
      <c r="J41" s="14" t="s">
        <v>1370</v>
      </c>
      <c r="K41" s="148">
        <v>43564</v>
      </c>
      <c r="L41" s="15">
        <v>44295</v>
      </c>
      <c r="M41" s="5">
        <f t="shared" si="0"/>
        <v>85.000000068999867</v>
      </c>
      <c r="N41" s="48">
        <v>1</v>
      </c>
      <c r="O41" s="26" t="s">
        <v>797</v>
      </c>
      <c r="P41" s="26" t="s">
        <v>797</v>
      </c>
      <c r="Q41" s="26" t="s">
        <v>208</v>
      </c>
      <c r="R41" s="8" t="s">
        <v>36</v>
      </c>
      <c r="S41" s="58">
        <f>T41+U41</f>
        <v>2463772.67</v>
      </c>
      <c r="T41" s="349">
        <v>2463772.67</v>
      </c>
      <c r="U41" s="255">
        <v>0</v>
      </c>
      <c r="V41" s="68">
        <f>W41+X41</f>
        <v>376812.28</v>
      </c>
      <c r="W41" s="349">
        <v>376812.28</v>
      </c>
      <c r="X41" s="255">
        <v>0</v>
      </c>
      <c r="Y41" s="69">
        <f>Z41+AA41</f>
        <v>57971.13</v>
      </c>
      <c r="Z41" s="349">
        <v>57971.13</v>
      </c>
      <c r="AA41" s="207">
        <v>0</v>
      </c>
      <c r="AB41" s="58">
        <v>0</v>
      </c>
      <c r="AC41" s="255">
        <v>0</v>
      </c>
      <c r="AD41" s="255">
        <v>0</v>
      </c>
      <c r="AE41" s="59">
        <f>S41+V41+Y41</f>
        <v>2898556.08</v>
      </c>
      <c r="AF41" s="66"/>
      <c r="AG41" s="58">
        <f>AE41+AF41</f>
        <v>2898556.08</v>
      </c>
      <c r="AH41" s="60" t="s">
        <v>607</v>
      </c>
      <c r="AI41" s="66"/>
      <c r="AJ41" s="119">
        <v>37273.24</v>
      </c>
      <c r="AK41" s="119">
        <v>5700.59</v>
      </c>
    </row>
    <row r="42" spans="1:38" ht="141.75" x14ac:dyDescent="0.25">
      <c r="A42" s="345" t="s">
        <v>1786</v>
      </c>
      <c r="B42" s="271">
        <v>128790</v>
      </c>
      <c r="C42" s="424">
        <v>644</v>
      </c>
      <c r="D42" s="271" t="s">
        <v>1093</v>
      </c>
      <c r="E42" s="270" t="s">
        <v>988</v>
      </c>
      <c r="F42" s="419" t="s">
        <v>1427</v>
      </c>
      <c r="G42" s="164" t="s">
        <v>1473</v>
      </c>
      <c r="H42" s="37" t="s">
        <v>1471</v>
      </c>
      <c r="I42" s="418" t="s">
        <v>181</v>
      </c>
      <c r="J42" s="23" t="s">
        <v>1478</v>
      </c>
      <c r="K42" s="148">
        <v>43629</v>
      </c>
      <c r="L42" s="4">
        <v>44482</v>
      </c>
      <c r="M42" s="5">
        <f t="shared" si="0"/>
        <v>85.000000118502641</v>
      </c>
      <c r="N42" s="82">
        <v>1</v>
      </c>
      <c r="O42" s="2" t="s">
        <v>1475</v>
      </c>
      <c r="P42" s="2" t="s">
        <v>1476</v>
      </c>
      <c r="Q42" s="90" t="s">
        <v>208</v>
      </c>
      <c r="R42" s="6" t="s">
        <v>36</v>
      </c>
      <c r="S42" s="58">
        <f>T42+U42</f>
        <v>2510492.42</v>
      </c>
      <c r="T42" s="349">
        <v>2510492.42</v>
      </c>
      <c r="U42" s="255">
        <v>0</v>
      </c>
      <c r="V42" s="68">
        <f>W42+X42</f>
        <v>383957.66</v>
      </c>
      <c r="W42" s="349">
        <v>383957.66</v>
      </c>
      <c r="X42" s="255">
        <v>0</v>
      </c>
      <c r="Y42" s="69">
        <f>Z42+AA42</f>
        <v>59070.41</v>
      </c>
      <c r="Z42" s="349">
        <v>59070.41</v>
      </c>
      <c r="AA42" s="207">
        <v>0</v>
      </c>
      <c r="AB42" s="58">
        <v>0</v>
      </c>
      <c r="AC42" s="255">
        <v>0</v>
      </c>
      <c r="AD42" s="255">
        <v>0</v>
      </c>
      <c r="AE42" s="59">
        <f>S42+V42+Y42</f>
        <v>2953520.49</v>
      </c>
      <c r="AF42" s="95">
        <v>0</v>
      </c>
      <c r="AG42" s="58">
        <f>AE42+AF42</f>
        <v>2953520.49</v>
      </c>
      <c r="AH42" s="60" t="s">
        <v>607</v>
      </c>
      <c r="AI42" s="61"/>
      <c r="AJ42" s="62">
        <v>25513.52</v>
      </c>
      <c r="AK42" s="62">
        <v>0</v>
      </c>
    </row>
    <row r="43" spans="1:38" ht="173.25" x14ac:dyDescent="0.25">
      <c r="A43" s="345" t="s">
        <v>1787</v>
      </c>
      <c r="B43" s="235">
        <v>120555</v>
      </c>
      <c r="C43" s="268">
        <v>93</v>
      </c>
      <c r="D43" s="235" t="s">
        <v>167</v>
      </c>
      <c r="E43" s="270" t="s">
        <v>988</v>
      </c>
      <c r="F43" s="419" t="s">
        <v>354</v>
      </c>
      <c r="G43" s="34" t="s">
        <v>426</v>
      </c>
      <c r="H43" s="26" t="s">
        <v>425</v>
      </c>
      <c r="I43" s="456" t="s">
        <v>427</v>
      </c>
      <c r="J43" s="23" t="s">
        <v>428</v>
      </c>
      <c r="K43" s="148">
        <v>43208</v>
      </c>
      <c r="L43" s="15">
        <v>43817</v>
      </c>
      <c r="M43" s="5">
        <f t="shared" si="0"/>
        <v>84.163174801247621</v>
      </c>
      <c r="N43" s="6">
        <v>2</v>
      </c>
      <c r="O43" s="6" t="s">
        <v>449</v>
      </c>
      <c r="P43" s="6" t="s">
        <v>429</v>
      </c>
      <c r="Q43" s="10" t="s">
        <v>208</v>
      </c>
      <c r="R43" s="2" t="s">
        <v>36</v>
      </c>
      <c r="S43" s="57">
        <f t="shared" ref="S43:S45" si="62">T43+U43</f>
        <v>356789.37</v>
      </c>
      <c r="T43" s="234">
        <v>356789.37</v>
      </c>
      <c r="U43" s="234">
        <v>0</v>
      </c>
      <c r="V43" s="57">
        <f t="shared" ref="V43:V45" si="63">W43+X43</f>
        <v>58657.86</v>
      </c>
      <c r="W43" s="234">
        <v>58657.86</v>
      </c>
      <c r="X43" s="234">
        <v>0</v>
      </c>
      <c r="Y43" s="57">
        <f t="shared" ref="Y43:Y45" si="64">Z43+AA43</f>
        <v>8478.52</v>
      </c>
      <c r="Z43" s="234">
        <v>8478.52</v>
      </c>
      <c r="AA43" s="234">
        <v>0</v>
      </c>
      <c r="AB43" s="55">
        <f t="shared" ref="AB43:AB45" si="65">AC43+AD43</f>
        <v>0</v>
      </c>
      <c r="AC43" s="234"/>
      <c r="AD43" s="234"/>
      <c r="AE43" s="63">
        <f t="shared" ref="AE43:AE45" si="66">S43+V43+Y43+AB43</f>
        <v>423925.75</v>
      </c>
      <c r="AF43" s="55">
        <v>0</v>
      </c>
      <c r="AG43" s="55">
        <f t="shared" ref="AG43:AG45" si="67">AE43+AF43</f>
        <v>423925.75</v>
      </c>
      <c r="AH43" s="60" t="s">
        <v>607</v>
      </c>
      <c r="AI43" s="61" t="s">
        <v>181</v>
      </c>
      <c r="AJ43" s="72">
        <f>20867.74+18218.8+30425.63+3648.09+28050.24+50726.48+20867.74+3012.71</f>
        <v>175817.43</v>
      </c>
      <c r="AK43" s="62">
        <f>6395.02+3754.28+1987.29+1098.5+11377.64+4214.19</f>
        <v>28826.92</v>
      </c>
    </row>
    <row r="44" spans="1:38" ht="141.75" x14ac:dyDescent="0.25">
      <c r="A44" s="345" t="s">
        <v>1788</v>
      </c>
      <c r="B44" s="235">
        <v>119189</v>
      </c>
      <c r="C44" s="268">
        <v>466</v>
      </c>
      <c r="D44" s="235" t="s">
        <v>705</v>
      </c>
      <c r="E44" s="260" t="s">
        <v>1060</v>
      </c>
      <c r="F44" s="260" t="s">
        <v>564</v>
      </c>
      <c r="G44" s="26" t="s">
        <v>706</v>
      </c>
      <c r="H44" s="26" t="s">
        <v>816</v>
      </c>
      <c r="I44" s="260" t="s">
        <v>181</v>
      </c>
      <c r="J44" s="23" t="s">
        <v>815</v>
      </c>
      <c r="K44" s="148">
        <v>43278</v>
      </c>
      <c r="L44" s="15">
        <v>43765</v>
      </c>
      <c r="M44" s="5">
        <f t="shared" si="0"/>
        <v>85.000000991333039</v>
      </c>
      <c r="N44" s="6">
        <v>2</v>
      </c>
      <c r="O44" s="6" t="s">
        <v>449</v>
      </c>
      <c r="P44" s="6" t="s">
        <v>429</v>
      </c>
      <c r="Q44" s="10" t="s">
        <v>208</v>
      </c>
      <c r="R44" s="2" t="s">
        <v>36</v>
      </c>
      <c r="S44" s="57">
        <f t="shared" si="62"/>
        <v>514458.8</v>
      </c>
      <c r="T44" s="234">
        <v>514458.8</v>
      </c>
      <c r="U44" s="234">
        <v>0</v>
      </c>
      <c r="V44" s="57">
        <f t="shared" si="63"/>
        <v>78681.929999999978</v>
      </c>
      <c r="W44" s="234">
        <v>78681.929999999978</v>
      </c>
      <c r="X44" s="234">
        <v>0</v>
      </c>
      <c r="Y44" s="57">
        <f t="shared" si="64"/>
        <v>12104.91</v>
      </c>
      <c r="Z44" s="234">
        <v>12104.91</v>
      </c>
      <c r="AA44" s="234">
        <v>0</v>
      </c>
      <c r="AB44" s="55">
        <f t="shared" si="65"/>
        <v>0</v>
      </c>
      <c r="AC44" s="234">
        <v>0</v>
      </c>
      <c r="AD44" s="234">
        <v>0</v>
      </c>
      <c r="AE44" s="63">
        <f t="shared" si="66"/>
        <v>605245.64</v>
      </c>
      <c r="AF44" s="55"/>
      <c r="AG44" s="55">
        <f t="shared" si="67"/>
        <v>605245.64</v>
      </c>
      <c r="AH44" s="60" t="s">
        <v>607</v>
      </c>
      <c r="AI44" s="61" t="s">
        <v>181</v>
      </c>
      <c r="AJ44" s="72">
        <v>44348.46</v>
      </c>
      <c r="AK44" s="62">
        <v>6782.71</v>
      </c>
    </row>
    <row r="45" spans="1:38" ht="141.75" x14ac:dyDescent="0.25">
      <c r="A45" s="345" t="s">
        <v>1789</v>
      </c>
      <c r="B45" s="235">
        <v>125782</v>
      </c>
      <c r="C45" s="268">
        <v>520</v>
      </c>
      <c r="D45" s="418" t="s">
        <v>1093</v>
      </c>
      <c r="E45" s="270" t="s">
        <v>988</v>
      </c>
      <c r="F45" s="253" t="s">
        <v>1153</v>
      </c>
      <c r="G45" s="26" t="s">
        <v>1194</v>
      </c>
      <c r="H45" s="26" t="s">
        <v>816</v>
      </c>
      <c r="I45" s="260" t="s">
        <v>181</v>
      </c>
      <c r="J45" s="23" t="s">
        <v>1195</v>
      </c>
      <c r="K45" s="148">
        <v>43445</v>
      </c>
      <c r="L45" s="15">
        <v>43872</v>
      </c>
      <c r="M45" s="5">
        <f t="shared" si="0"/>
        <v>84.999999737203865</v>
      </c>
      <c r="N45" s="6">
        <v>2</v>
      </c>
      <c r="O45" s="6" t="s">
        <v>449</v>
      </c>
      <c r="P45" s="6" t="s">
        <v>429</v>
      </c>
      <c r="Q45" s="10" t="s">
        <v>208</v>
      </c>
      <c r="R45" s="2" t="s">
        <v>36</v>
      </c>
      <c r="S45" s="57">
        <f t="shared" si="62"/>
        <v>1132056.27</v>
      </c>
      <c r="T45" s="234">
        <v>1132056.27</v>
      </c>
      <c r="U45" s="234">
        <v>0</v>
      </c>
      <c r="V45" s="57">
        <f t="shared" si="63"/>
        <v>173138.02</v>
      </c>
      <c r="W45" s="234">
        <v>173138.02</v>
      </c>
      <c r="X45" s="234">
        <v>0</v>
      </c>
      <c r="Y45" s="57">
        <f t="shared" si="64"/>
        <v>26636.62</v>
      </c>
      <c r="Z45" s="234">
        <v>26636.62</v>
      </c>
      <c r="AA45" s="207">
        <v>0</v>
      </c>
      <c r="AB45" s="55">
        <f t="shared" si="65"/>
        <v>0</v>
      </c>
      <c r="AC45" s="291">
        <v>0</v>
      </c>
      <c r="AD45" s="291">
        <v>0</v>
      </c>
      <c r="AE45" s="63">
        <f t="shared" si="66"/>
        <v>1331830.9100000001</v>
      </c>
      <c r="AF45" s="66"/>
      <c r="AG45" s="55">
        <f t="shared" si="67"/>
        <v>1331830.9100000001</v>
      </c>
      <c r="AH45" s="60" t="s">
        <v>607</v>
      </c>
      <c r="AI45" s="66"/>
      <c r="AJ45" s="119">
        <v>127521.31</v>
      </c>
      <c r="AK45" s="72">
        <v>19503.25</v>
      </c>
    </row>
    <row r="46" spans="1:38" ht="409.5" x14ac:dyDescent="0.25">
      <c r="A46" s="345" t="s">
        <v>1790</v>
      </c>
      <c r="B46" s="235">
        <v>129167</v>
      </c>
      <c r="C46" s="268">
        <v>662</v>
      </c>
      <c r="D46" s="418" t="s">
        <v>705</v>
      </c>
      <c r="E46" s="270" t="s">
        <v>988</v>
      </c>
      <c r="F46" s="425" t="s">
        <v>1427</v>
      </c>
      <c r="G46" s="26" t="s">
        <v>1575</v>
      </c>
      <c r="H46" s="26" t="s">
        <v>1576</v>
      </c>
      <c r="I46" s="260" t="s">
        <v>444</v>
      </c>
      <c r="J46" s="23" t="s">
        <v>1577</v>
      </c>
      <c r="K46" s="148">
        <v>43662</v>
      </c>
      <c r="L46" s="15">
        <v>43845</v>
      </c>
      <c r="M46" s="5">
        <f t="shared" si="0"/>
        <v>84.999999986765175</v>
      </c>
      <c r="N46" s="6">
        <v>2</v>
      </c>
      <c r="O46" s="6" t="s">
        <v>449</v>
      </c>
      <c r="P46" s="6" t="s">
        <v>429</v>
      </c>
      <c r="Q46" s="10" t="s">
        <v>208</v>
      </c>
      <c r="R46" s="2" t="s">
        <v>36</v>
      </c>
      <c r="S46" s="57">
        <v>3211223.95</v>
      </c>
      <c r="T46" s="352">
        <v>3211223.95</v>
      </c>
      <c r="U46" s="234">
        <v>0</v>
      </c>
      <c r="V46" s="57">
        <v>491128.17</v>
      </c>
      <c r="W46" s="234">
        <v>491128.17</v>
      </c>
      <c r="X46" s="234">
        <v>0</v>
      </c>
      <c r="Y46" s="57">
        <v>75558.41</v>
      </c>
      <c r="Z46" s="234">
        <v>75558.41</v>
      </c>
      <c r="AA46" s="207">
        <v>0</v>
      </c>
      <c r="AB46" s="55">
        <v>0</v>
      </c>
      <c r="AC46" s="291">
        <v>0</v>
      </c>
      <c r="AD46" s="291">
        <v>0</v>
      </c>
      <c r="AE46" s="63">
        <f>S46+V46+Y46</f>
        <v>3777910.5300000003</v>
      </c>
      <c r="AF46" s="66">
        <v>0</v>
      </c>
      <c r="AG46" s="234">
        <f>AE46+AF46</f>
        <v>3777910.5300000003</v>
      </c>
      <c r="AH46" s="60" t="s">
        <v>607</v>
      </c>
      <c r="AI46" s="66"/>
      <c r="AJ46" s="119">
        <v>0</v>
      </c>
      <c r="AK46" s="72">
        <v>0</v>
      </c>
    </row>
    <row r="47" spans="1:38" ht="409.5" x14ac:dyDescent="0.25">
      <c r="A47" s="345" t="s">
        <v>1791</v>
      </c>
      <c r="B47" s="271">
        <v>111300</v>
      </c>
      <c r="C47" s="268">
        <v>123</v>
      </c>
      <c r="D47" s="235" t="s">
        <v>168</v>
      </c>
      <c r="E47" s="270" t="s">
        <v>988</v>
      </c>
      <c r="F47" s="419" t="s">
        <v>354</v>
      </c>
      <c r="G47" s="11" t="s">
        <v>290</v>
      </c>
      <c r="H47" s="11" t="s">
        <v>291</v>
      </c>
      <c r="I47" s="260" t="s">
        <v>181</v>
      </c>
      <c r="J47" s="31" t="s">
        <v>292</v>
      </c>
      <c r="K47" s="148">
        <v>43145</v>
      </c>
      <c r="L47" s="15">
        <v>43630</v>
      </c>
      <c r="M47" s="5">
        <f t="shared" si="0"/>
        <v>84.999999881712782</v>
      </c>
      <c r="N47" s="6">
        <v>7</v>
      </c>
      <c r="O47" s="6" t="s">
        <v>293</v>
      </c>
      <c r="P47" s="6" t="s">
        <v>294</v>
      </c>
      <c r="Q47" s="10" t="s">
        <v>208</v>
      </c>
      <c r="R47" s="8" t="s">
        <v>36</v>
      </c>
      <c r="S47" s="57">
        <f>T47+U47</f>
        <v>359294.94</v>
      </c>
      <c r="T47" s="348">
        <v>359294.94</v>
      </c>
      <c r="U47" s="254">
        <v>0</v>
      </c>
      <c r="V47" s="57">
        <f t="shared" ref="V47:V119" si="68">W47+X47</f>
        <v>54950.99</v>
      </c>
      <c r="W47" s="348">
        <v>54950.99</v>
      </c>
      <c r="X47" s="254">
        <v>0</v>
      </c>
      <c r="Y47" s="57">
        <v>8454</v>
      </c>
      <c r="Z47" s="234">
        <v>8454</v>
      </c>
      <c r="AA47" s="234">
        <v>0</v>
      </c>
      <c r="AB47" s="55">
        <f t="shared" ref="AB47:AB118" si="69">AC47+AD47</f>
        <v>0</v>
      </c>
      <c r="AC47" s="400">
        <v>0</v>
      </c>
      <c r="AD47" s="400">
        <v>0</v>
      </c>
      <c r="AE47" s="63">
        <v>422699.93</v>
      </c>
      <c r="AF47" s="55">
        <v>0</v>
      </c>
      <c r="AG47" s="55">
        <f>AE47+AF47</f>
        <v>422699.93</v>
      </c>
      <c r="AH47" s="60" t="s">
        <v>1092</v>
      </c>
      <c r="AI47" s="61" t="s">
        <v>181</v>
      </c>
      <c r="AJ47" s="72">
        <f>93322.21+32434.3+9922.9+28858.69+86598.29</f>
        <v>251136.39</v>
      </c>
      <c r="AK47" s="62">
        <f>14272.81+4960.54+1517.62+4413.68+13244.45</f>
        <v>38409.1</v>
      </c>
      <c r="AL47" s="280"/>
    </row>
    <row r="48" spans="1:38" ht="236.25" x14ac:dyDescent="0.25">
      <c r="A48" s="345" t="s">
        <v>1792</v>
      </c>
      <c r="B48" s="271">
        <v>110505</v>
      </c>
      <c r="C48" s="268">
        <v>125</v>
      </c>
      <c r="D48" s="235" t="s">
        <v>171</v>
      </c>
      <c r="E48" s="270" t="s">
        <v>988</v>
      </c>
      <c r="F48" s="419" t="s">
        <v>354</v>
      </c>
      <c r="G48" s="11" t="s">
        <v>336</v>
      </c>
      <c r="H48" s="11" t="s">
        <v>337</v>
      </c>
      <c r="I48" s="235" t="s">
        <v>181</v>
      </c>
      <c r="J48" s="23" t="s">
        <v>340</v>
      </c>
      <c r="K48" s="148">
        <v>43173</v>
      </c>
      <c r="L48" s="15">
        <v>43660</v>
      </c>
      <c r="M48" s="5">
        <f t="shared" si="0"/>
        <v>84.99999981945335</v>
      </c>
      <c r="N48" s="6">
        <v>7</v>
      </c>
      <c r="O48" s="6" t="s">
        <v>293</v>
      </c>
      <c r="P48" s="6" t="s">
        <v>338</v>
      </c>
      <c r="Q48" s="10" t="s">
        <v>208</v>
      </c>
      <c r="R48" s="6" t="s">
        <v>36</v>
      </c>
      <c r="S48" s="57">
        <f>T48+U48</f>
        <v>470792.44</v>
      </c>
      <c r="T48" s="234">
        <v>470792.44</v>
      </c>
      <c r="U48" s="234">
        <v>0</v>
      </c>
      <c r="V48" s="57">
        <f t="shared" si="68"/>
        <v>72003.55</v>
      </c>
      <c r="W48" s="234">
        <v>72003.55</v>
      </c>
      <c r="X48" s="234">
        <v>0</v>
      </c>
      <c r="Y48" s="57">
        <f>Z48+AA48</f>
        <v>11077.47</v>
      </c>
      <c r="Z48" s="234">
        <v>11077.47</v>
      </c>
      <c r="AA48" s="234">
        <v>0</v>
      </c>
      <c r="AB48" s="55">
        <f t="shared" si="69"/>
        <v>0</v>
      </c>
      <c r="AC48" s="400">
        <v>0</v>
      </c>
      <c r="AD48" s="400">
        <v>0</v>
      </c>
      <c r="AE48" s="63">
        <f>S48+V48+Y48+AB48</f>
        <v>553873.46</v>
      </c>
      <c r="AF48" s="55">
        <v>0</v>
      </c>
      <c r="AG48" s="55">
        <f t="shared" ref="AG48:AG119" si="70">AE48+AF48</f>
        <v>553873.46</v>
      </c>
      <c r="AH48" s="60" t="s">
        <v>1092</v>
      </c>
      <c r="AI48" s="61" t="s">
        <v>181</v>
      </c>
      <c r="AJ48" s="72">
        <f>176594.42+66632.22+64541.51</f>
        <v>307768.15000000002</v>
      </c>
      <c r="AK48" s="62">
        <f>27008.56+10190.81+9871.05</f>
        <v>47070.42</v>
      </c>
    </row>
    <row r="49" spans="1:38" ht="409.5" x14ac:dyDescent="0.25">
      <c r="A49" s="345" t="s">
        <v>1793</v>
      </c>
      <c r="B49" s="271">
        <v>119450</v>
      </c>
      <c r="C49" s="268">
        <v>485</v>
      </c>
      <c r="D49" s="235" t="s">
        <v>864</v>
      </c>
      <c r="E49" s="260" t="s">
        <v>1060</v>
      </c>
      <c r="F49" s="419" t="s">
        <v>564</v>
      </c>
      <c r="G49" s="11" t="s">
        <v>821</v>
      </c>
      <c r="H49" s="11" t="s">
        <v>337</v>
      </c>
      <c r="I49" s="235" t="s">
        <v>181</v>
      </c>
      <c r="J49" s="23" t="s">
        <v>822</v>
      </c>
      <c r="K49" s="148">
        <v>43298</v>
      </c>
      <c r="L49" s="15">
        <v>43786</v>
      </c>
      <c r="M49" s="5">
        <f t="shared" si="0"/>
        <v>85.000002578269815</v>
      </c>
      <c r="N49" s="6">
        <v>7</v>
      </c>
      <c r="O49" s="6" t="s">
        <v>293</v>
      </c>
      <c r="P49" s="6" t="s">
        <v>338</v>
      </c>
      <c r="Q49" s="10" t="s">
        <v>208</v>
      </c>
      <c r="R49" s="6" t="s">
        <v>36</v>
      </c>
      <c r="S49" s="57">
        <f t="shared" ref="S49:S50" si="71">T49+U49</f>
        <v>329678.46000000002</v>
      </c>
      <c r="T49" s="234">
        <v>329678.46000000002</v>
      </c>
      <c r="U49" s="234">
        <v>0</v>
      </c>
      <c r="V49" s="57">
        <f t="shared" si="68"/>
        <v>50421.4</v>
      </c>
      <c r="W49" s="234">
        <v>50421.4</v>
      </c>
      <c r="X49" s="234">
        <v>0</v>
      </c>
      <c r="Y49" s="57">
        <f t="shared" ref="Y49:Y50" si="72">Z49+AA49</f>
        <v>7757.14</v>
      </c>
      <c r="Z49" s="234">
        <v>7757.14</v>
      </c>
      <c r="AA49" s="234">
        <v>0</v>
      </c>
      <c r="AB49" s="55">
        <f t="shared" si="69"/>
        <v>0</v>
      </c>
      <c r="AC49" s="400">
        <v>0</v>
      </c>
      <c r="AD49" s="400">
        <v>0</v>
      </c>
      <c r="AE49" s="63">
        <f t="shared" ref="AE49:AE50" si="73">S49+V49+Y49+AB49</f>
        <v>387857.00000000006</v>
      </c>
      <c r="AF49" s="55">
        <v>0</v>
      </c>
      <c r="AG49" s="55">
        <f t="shared" si="70"/>
        <v>387857.00000000006</v>
      </c>
      <c r="AH49" s="60" t="s">
        <v>607</v>
      </c>
      <c r="AI49" s="61" t="s">
        <v>181</v>
      </c>
      <c r="AJ49" s="72">
        <f>84630.18+30084.9+96223.32</f>
        <v>210938.4</v>
      </c>
      <c r="AK49" s="62">
        <f>12943.44+4601.22+14716.5</f>
        <v>32261.16</v>
      </c>
    </row>
    <row r="50" spans="1:38" s="142" customFormat="1" ht="409.5" x14ac:dyDescent="0.25">
      <c r="A50" s="345" t="s">
        <v>1794</v>
      </c>
      <c r="B50" s="420">
        <v>118753</v>
      </c>
      <c r="C50" s="260">
        <v>438</v>
      </c>
      <c r="D50" s="260" t="s">
        <v>864</v>
      </c>
      <c r="E50" s="270" t="s">
        <v>725</v>
      </c>
      <c r="F50" s="426" t="s">
        <v>632</v>
      </c>
      <c r="G50" s="14" t="s">
        <v>1035</v>
      </c>
      <c r="H50" s="14" t="s">
        <v>337</v>
      </c>
      <c r="I50" s="260" t="s">
        <v>181</v>
      </c>
      <c r="J50" s="14" t="s">
        <v>1037</v>
      </c>
      <c r="K50" s="147">
        <v>43348</v>
      </c>
      <c r="L50" s="15">
        <v>43651</v>
      </c>
      <c r="M50" s="5">
        <f t="shared" si="0"/>
        <v>85.000001668065067</v>
      </c>
      <c r="N50" s="6">
        <v>7</v>
      </c>
      <c r="O50" s="6" t="s">
        <v>293</v>
      </c>
      <c r="P50" s="26" t="s">
        <v>1036</v>
      </c>
      <c r="Q50" s="10" t="s">
        <v>208</v>
      </c>
      <c r="R50" s="6" t="s">
        <v>36</v>
      </c>
      <c r="S50" s="57">
        <f t="shared" si="71"/>
        <v>254786.23</v>
      </c>
      <c r="T50" s="207">
        <v>254786.23</v>
      </c>
      <c r="U50" s="234">
        <v>0</v>
      </c>
      <c r="V50" s="57">
        <f t="shared" si="68"/>
        <v>38967.300000000003</v>
      </c>
      <c r="W50" s="207">
        <v>38967.300000000003</v>
      </c>
      <c r="X50" s="234">
        <v>0</v>
      </c>
      <c r="Y50" s="57">
        <f t="shared" si="72"/>
        <v>5994.97</v>
      </c>
      <c r="Z50" s="207">
        <v>5994.97</v>
      </c>
      <c r="AA50" s="207">
        <v>0</v>
      </c>
      <c r="AB50" s="58">
        <f t="shared" si="69"/>
        <v>0</v>
      </c>
      <c r="AC50" s="351">
        <v>0</v>
      </c>
      <c r="AD50" s="351">
        <v>0</v>
      </c>
      <c r="AE50" s="59">
        <f t="shared" si="73"/>
        <v>299748.5</v>
      </c>
      <c r="AF50" s="60">
        <v>0</v>
      </c>
      <c r="AG50" s="58">
        <f t="shared" si="70"/>
        <v>299748.5</v>
      </c>
      <c r="AH50" s="60" t="s">
        <v>1092</v>
      </c>
      <c r="AI50" s="61" t="s">
        <v>181</v>
      </c>
      <c r="AJ50" s="72">
        <f>56093.22+21812.7+99827.27</f>
        <v>177733.19</v>
      </c>
      <c r="AK50" s="62">
        <f>8578.96+3336.06+15267.71</f>
        <v>27182.729999999996</v>
      </c>
      <c r="AL50" s="277"/>
    </row>
    <row r="51" spans="1:38" s="142" customFormat="1" ht="141.75" x14ac:dyDescent="0.25">
      <c r="A51" s="345" t="s">
        <v>1795</v>
      </c>
      <c r="B51" s="420">
        <v>126380</v>
      </c>
      <c r="C51" s="260">
        <v>567</v>
      </c>
      <c r="D51" s="260" t="s">
        <v>864</v>
      </c>
      <c r="E51" s="270" t="s">
        <v>988</v>
      </c>
      <c r="F51" s="427" t="s">
        <v>1153</v>
      </c>
      <c r="G51" s="173" t="s">
        <v>1182</v>
      </c>
      <c r="H51" s="11" t="s">
        <v>1184</v>
      </c>
      <c r="I51" s="260" t="s">
        <v>181</v>
      </c>
      <c r="J51" s="14" t="s">
        <v>1183</v>
      </c>
      <c r="K51" s="147">
        <v>43440</v>
      </c>
      <c r="L51" s="15">
        <v>43896</v>
      </c>
      <c r="M51" s="5">
        <f t="shared" si="0"/>
        <v>85.00000001812522</v>
      </c>
      <c r="N51" s="6">
        <v>8</v>
      </c>
      <c r="O51" s="6" t="s">
        <v>293</v>
      </c>
      <c r="P51" s="26" t="s">
        <v>338</v>
      </c>
      <c r="Q51" s="10" t="s">
        <v>208</v>
      </c>
      <c r="R51" s="6" t="s">
        <v>36</v>
      </c>
      <c r="S51" s="57">
        <f>T51+U51</f>
        <v>2344798.5</v>
      </c>
      <c r="T51" s="207">
        <v>2344798.5</v>
      </c>
      <c r="U51" s="234">
        <v>0</v>
      </c>
      <c r="V51" s="57">
        <f>W51+X51</f>
        <v>358616.24</v>
      </c>
      <c r="W51" s="207">
        <v>358616.24</v>
      </c>
      <c r="X51" s="234">
        <v>0</v>
      </c>
      <c r="Y51" s="57">
        <f>Z51+AA51</f>
        <v>55171.73</v>
      </c>
      <c r="Z51" s="207">
        <v>55171.73</v>
      </c>
      <c r="AA51" s="207">
        <v>0</v>
      </c>
      <c r="AB51" s="58">
        <f>AC51+AD51</f>
        <v>0</v>
      </c>
      <c r="AC51" s="351">
        <v>0</v>
      </c>
      <c r="AD51" s="351">
        <v>0</v>
      </c>
      <c r="AE51" s="59">
        <f>S51+V51+Y51</f>
        <v>2758586.47</v>
      </c>
      <c r="AF51" s="60">
        <v>78540</v>
      </c>
      <c r="AG51" s="58">
        <f>AE51+AF51+AC51</f>
        <v>2837126.47</v>
      </c>
      <c r="AH51" s="60" t="s">
        <v>607</v>
      </c>
      <c r="AI51" s="61"/>
      <c r="AJ51" s="72">
        <v>18190.810000000001</v>
      </c>
      <c r="AK51" s="62">
        <v>2782.12</v>
      </c>
    </row>
    <row r="52" spans="1:38" s="142" customFormat="1" ht="220.5" x14ac:dyDescent="0.25">
      <c r="A52" s="345" t="s">
        <v>1796</v>
      </c>
      <c r="B52" s="420">
        <v>126524</v>
      </c>
      <c r="C52" s="260">
        <v>552</v>
      </c>
      <c r="D52" s="260" t="s">
        <v>864</v>
      </c>
      <c r="E52" s="270" t="s">
        <v>988</v>
      </c>
      <c r="F52" s="427" t="s">
        <v>1153</v>
      </c>
      <c r="G52" s="14" t="s">
        <v>1249</v>
      </c>
      <c r="H52" s="14" t="s">
        <v>1250</v>
      </c>
      <c r="I52" s="260" t="s">
        <v>181</v>
      </c>
      <c r="J52" s="14" t="s">
        <v>1251</v>
      </c>
      <c r="K52" s="147">
        <v>43480</v>
      </c>
      <c r="L52" s="15">
        <v>44027</v>
      </c>
      <c r="M52" s="5">
        <f t="shared" si="0"/>
        <v>84.99999981002415</v>
      </c>
      <c r="N52" s="6">
        <v>8</v>
      </c>
      <c r="O52" s="6" t="s">
        <v>293</v>
      </c>
      <c r="P52" s="26" t="s">
        <v>338</v>
      </c>
      <c r="Q52" s="10" t="s">
        <v>208</v>
      </c>
      <c r="R52" s="6" t="s">
        <v>36</v>
      </c>
      <c r="S52" s="57">
        <f t="shared" ref="S52:S53" si="74">T52+U52</f>
        <v>2460839.27</v>
      </c>
      <c r="T52" s="207">
        <v>2460839.27</v>
      </c>
      <c r="U52" s="234">
        <v>0</v>
      </c>
      <c r="V52" s="57">
        <f t="shared" ref="V52:V53" si="75">W52+X52</f>
        <v>376363.66</v>
      </c>
      <c r="W52" s="207">
        <v>376363.66</v>
      </c>
      <c r="X52" s="234"/>
      <c r="Y52" s="57">
        <f t="shared" ref="Y52:Y53" si="76">Z52+AA52</f>
        <v>57902.1</v>
      </c>
      <c r="Z52" s="207">
        <v>57902.1</v>
      </c>
      <c r="AA52" s="207">
        <v>0</v>
      </c>
      <c r="AB52" s="58">
        <f t="shared" ref="AB52:AB53" si="77">AC52+AD52</f>
        <v>0</v>
      </c>
      <c r="AC52" s="351">
        <v>0</v>
      </c>
      <c r="AD52" s="351">
        <v>0</v>
      </c>
      <c r="AE52" s="59">
        <f t="shared" ref="AE52" si="78">S52+V52+Y52</f>
        <v>2895105.0300000003</v>
      </c>
      <c r="AF52" s="60">
        <v>0</v>
      </c>
      <c r="AG52" s="58">
        <f>AE52+AF52</f>
        <v>2895105.0300000003</v>
      </c>
      <c r="AH52" s="60" t="s">
        <v>607</v>
      </c>
      <c r="AI52" s="61"/>
      <c r="AJ52" s="72">
        <v>12447.4</v>
      </c>
      <c r="AK52" s="62">
        <v>1903.72</v>
      </c>
    </row>
    <row r="53" spans="1:38" s="142" customFormat="1" ht="236.25" x14ac:dyDescent="0.25">
      <c r="A53" s="345" t="s">
        <v>1797</v>
      </c>
      <c r="B53" s="420">
        <v>126332</v>
      </c>
      <c r="C53" s="260">
        <v>565</v>
      </c>
      <c r="D53" s="260" t="s">
        <v>171</v>
      </c>
      <c r="E53" s="270" t="s">
        <v>988</v>
      </c>
      <c r="F53" s="427" t="s">
        <v>1153</v>
      </c>
      <c r="G53" s="14" t="s">
        <v>1410</v>
      </c>
      <c r="H53" s="14" t="s">
        <v>1411</v>
      </c>
      <c r="I53" s="260" t="s">
        <v>181</v>
      </c>
      <c r="J53" s="118" t="s">
        <v>1412</v>
      </c>
      <c r="K53" s="147">
        <v>43601</v>
      </c>
      <c r="L53" s="15">
        <v>44516</v>
      </c>
      <c r="M53" s="5">
        <f t="shared" si="0"/>
        <v>603500.47169811325</v>
      </c>
      <c r="N53" s="6">
        <v>8</v>
      </c>
      <c r="O53" s="6" t="s">
        <v>293</v>
      </c>
      <c r="P53" s="26" t="s">
        <v>338</v>
      </c>
      <c r="Q53" s="10" t="s">
        <v>208</v>
      </c>
      <c r="R53" s="6" t="s">
        <v>36</v>
      </c>
      <c r="S53" s="57">
        <f t="shared" si="74"/>
        <v>1919131.5</v>
      </c>
      <c r="T53" s="207">
        <v>1919131.5</v>
      </c>
      <c r="U53" s="234">
        <v>0</v>
      </c>
      <c r="V53" s="57">
        <f t="shared" si="75"/>
        <v>293514.21000000002</v>
      </c>
      <c r="W53" s="207">
        <v>293514.21000000002</v>
      </c>
      <c r="X53" s="234">
        <v>0</v>
      </c>
      <c r="Y53" s="57">
        <f t="shared" si="76"/>
        <v>45156.04</v>
      </c>
      <c r="Z53" s="207">
        <v>45156.04</v>
      </c>
      <c r="AA53" s="207">
        <v>0</v>
      </c>
      <c r="AB53" s="58">
        <f t="shared" si="77"/>
        <v>0</v>
      </c>
      <c r="AC53" s="351">
        <v>0</v>
      </c>
      <c r="AD53" s="351">
        <v>0</v>
      </c>
      <c r="AE53" s="59">
        <v>318</v>
      </c>
      <c r="AF53" s="60">
        <v>0</v>
      </c>
      <c r="AG53" s="58">
        <f>AE53+AF53</f>
        <v>318</v>
      </c>
      <c r="AH53" s="60" t="s">
        <v>607</v>
      </c>
      <c r="AI53" s="61"/>
      <c r="AJ53" s="72"/>
      <c r="AK53" s="62"/>
    </row>
    <row r="54" spans="1:38" s="142" customFormat="1" ht="141.75" x14ac:dyDescent="0.25">
      <c r="A54" s="345" t="s">
        <v>1798</v>
      </c>
      <c r="B54" s="420">
        <v>128663</v>
      </c>
      <c r="C54" s="260">
        <v>681</v>
      </c>
      <c r="D54" s="260" t="s">
        <v>173</v>
      </c>
      <c r="E54" s="270" t="s">
        <v>988</v>
      </c>
      <c r="F54" s="427" t="s">
        <v>1728</v>
      </c>
      <c r="G54" s="14" t="s">
        <v>1729</v>
      </c>
      <c r="H54" s="14" t="s">
        <v>1730</v>
      </c>
      <c r="I54" s="235" t="s">
        <v>1731</v>
      </c>
      <c r="J54" s="118" t="s">
        <v>1732</v>
      </c>
      <c r="K54" s="147">
        <v>43683</v>
      </c>
      <c r="L54" s="15">
        <v>44626</v>
      </c>
      <c r="M54" s="5">
        <f>S54/AE54*100</f>
        <v>85.000000279942114</v>
      </c>
      <c r="N54" s="6">
        <v>8</v>
      </c>
      <c r="O54" s="6" t="s">
        <v>293</v>
      </c>
      <c r="P54" s="26" t="s">
        <v>338</v>
      </c>
      <c r="Q54" s="10" t="s">
        <v>208</v>
      </c>
      <c r="R54" s="6" t="s">
        <v>36</v>
      </c>
      <c r="S54" s="57">
        <f>T54+U54</f>
        <v>3188159.16</v>
      </c>
      <c r="T54" s="207">
        <v>3188159.16</v>
      </c>
      <c r="U54" s="234">
        <v>0</v>
      </c>
      <c r="V54" s="57">
        <f>W54+X54</f>
        <v>487600.8</v>
      </c>
      <c r="W54" s="207">
        <v>487600.8</v>
      </c>
      <c r="X54" s="234">
        <v>0</v>
      </c>
      <c r="Y54" s="57">
        <f>Z54+AA54</f>
        <v>57579.43</v>
      </c>
      <c r="Z54" s="207">
        <v>57579.43</v>
      </c>
      <c r="AA54" s="207"/>
      <c r="AB54" s="58">
        <f>AC54+AD54</f>
        <v>17436.080000000002</v>
      </c>
      <c r="AC54" s="351">
        <v>17436.080000000002</v>
      </c>
      <c r="AD54" s="351">
        <v>0</v>
      </c>
      <c r="AE54" s="59">
        <f>S54+V54+Y54+AB54</f>
        <v>3750775.47</v>
      </c>
      <c r="AF54" s="60">
        <v>0</v>
      </c>
      <c r="AG54" s="58"/>
      <c r="AH54" s="60" t="s">
        <v>607</v>
      </c>
      <c r="AI54" s="61"/>
      <c r="AJ54" s="72"/>
      <c r="AK54" s="62"/>
    </row>
    <row r="55" spans="1:38" ht="236.25" x14ac:dyDescent="0.25">
      <c r="A55" s="345" t="s">
        <v>1799</v>
      </c>
      <c r="B55" s="271">
        <v>120503</v>
      </c>
      <c r="C55" s="268">
        <v>80</v>
      </c>
      <c r="D55" s="235" t="s">
        <v>164</v>
      </c>
      <c r="E55" s="270" t="s">
        <v>988</v>
      </c>
      <c r="F55" s="419" t="s">
        <v>353</v>
      </c>
      <c r="G55" s="33" t="s">
        <v>334</v>
      </c>
      <c r="H55" s="11" t="s">
        <v>333</v>
      </c>
      <c r="I55" s="260" t="s">
        <v>181</v>
      </c>
      <c r="J55" s="23" t="s">
        <v>339</v>
      </c>
      <c r="K55" s="148">
        <v>43173</v>
      </c>
      <c r="L55" s="15">
        <v>43599</v>
      </c>
      <c r="M55" s="5">
        <f t="shared" si="0"/>
        <v>79.999997969650394</v>
      </c>
      <c r="N55" s="6">
        <v>8</v>
      </c>
      <c r="O55" s="6" t="s">
        <v>335</v>
      </c>
      <c r="P55" s="6" t="s">
        <v>153</v>
      </c>
      <c r="Q55" s="10" t="s">
        <v>208</v>
      </c>
      <c r="R55" s="6" t="s">
        <v>36</v>
      </c>
      <c r="S55" s="57">
        <f t="shared" ref="S55:S58" si="79">T55+U55</f>
        <v>315216.64000000001</v>
      </c>
      <c r="T55" s="234">
        <v>0</v>
      </c>
      <c r="U55" s="234">
        <v>315216.64000000001</v>
      </c>
      <c r="V55" s="57">
        <f>W55+X55</f>
        <v>70923.75</v>
      </c>
      <c r="W55" s="234">
        <v>0</v>
      </c>
      <c r="X55" s="234">
        <v>70923.75</v>
      </c>
      <c r="Y55" s="57">
        <f t="shared" ref="Y55:Y58" si="80">Z55+AA55</f>
        <v>7880.42</v>
      </c>
      <c r="Z55" s="234">
        <v>0</v>
      </c>
      <c r="AA55" s="234">
        <v>7880.42</v>
      </c>
      <c r="AB55" s="55">
        <f t="shared" si="69"/>
        <v>0</v>
      </c>
      <c r="AC55" s="400">
        <v>0</v>
      </c>
      <c r="AD55" s="400">
        <v>0</v>
      </c>
      <c r="AE55" s="63">
        <f>S55+V55+Y55+AB55</f>
        <v>394020.81</v>
      </c>
      <c r="AF55" s="55">
        <v>0</v>
      </c>
      <c r="AG55" s="55">
        <f t="shared" si="70"/>
        <v>394020.81</v>
      </c>
      <c r="AH55" s="60" t="s">
        <v>1092</v>
      </c>
      <c r="AI55" s="61" t="s">
        <v>181</v>
      </c>
      <c r="AJ55" s="62">
        <f>156760.98+76482.15+5258.25</f>
        <v>238501.38</v>
      </c>
      <c r="AK55" s="62">
        <f>35271.23+17208.49+1183.1</f>
        <v>53662.82</v>
      </c>
    </row>
    <row r="56" spans="1:38" ht="255" x14ac:dyDescent="0.25">
      <c r="A56" s="345" t="s">
        <v>1800</v>
      </c>
      <c r="B56" s="417">
        <v>120710</v>
      </c>
      <c r="C56" s="268">
        <v>103</v>
      </c>
      <c r="D56" s="418" t="s">
        <v>164</v>
      </c>
      <c r="E56" s="270" t="s">
        <v>988</v>
      </c>
      <c r="F56" s="425" t="s">
        <v>353</v>
      </c>
      <c r="G56" s="296" t="s">
        <v>473</v>
      </c>
      <c r="H56" s="297" t="s">
        <v>474</v>
      </c>
      <c r="I56" s="418" t="s">
        <v>181</v>
      </c>
      <c r="J56" s="35" t="s">
        <v>475</v>
      </c>
      <c r="K56" s="148">
        <v>43227</v>
      </c>
      <c r="L56" s="15">
        <v>43776</v>
      </c>
      <c r="M56" s="5">
        <f t="shared" si="0"/>
        <v>79.999999056893557</v>
      </c>
      <c r="N56" s="6">
        <v>8</v>
      </c>
      <c r="O56" s="6" t="s">
        <v>335</v>
      </c>
      <c r="P56" s="6" t="s">
        <v>153</v>
      </c>
      <c r="Q56" s="6" t="s">
        <v>208</v>
      </c>
      <c r="R56" s="6" t="s">
        <v>36</v>
      </c>
      <c r="S56" s="57">
        <f t="shared" si="79"/>
        <v>339304.22</v>
      </c>
      <c r="T56" s="353">
        <v>0</v>
      </c>
      <c r="U56" s="354">
        <v>339304.22</v>
      </c>
      <c r="V56" s="84">
        <f t="shared" si="68"/>
        <v>76343.45</v>
      </c>
      <c r="W56" s="353">
        <v>0</v>
      </c>
      <c r="X56" s="354">
        <v>76343.45</v>
      </c>
      <c r="Y56" s="84">
        <f t="shared" si="80"/>
        <v>8482.61</v>
      </c>
      <c r="Z56" s="355">
        <v>0</v>
      </c>
      <c r="AA56" s="234">
        <v>8482.61</v>
      </c>
      <c r="AB56" s="55">
        <f t="shared" si="69"/>
        <v>0</v>
      </c>
      <c r="AC56" s="349">
        <v>0</v>
      </c>
      <c r="AD56" s="349">
        <v>0</v>
      </c>
      <c r="AE56" s="63">
        <f t="shared" ref="AE56:AE58" si="81">S56+V56+Y56+AB56</f>
        <v>424130.27999999997</v>
      </c>
      <c r="AF56" s="66">
        <v>0</v>
      </c>
      <c r="AG56" s="55">
        <f t="shared" si="70"/>
        <v>424130.27999999997</v>
      </c>
      <c r="AH56" s="60" t="s">
        <v>607</v>
      </c>
      <c r="AI56" s="116" t="s">
        <v>1726</v>
      </c>
      <c r="AJ56" s="62">
        <v>52550.400000000001</v>
      </c>
      <c r="AK56" s="62">
        <v>11823.84</v>
      </c>
    </row>
    <row r="57" spans="1:38" ht="165" x14ac:dyDescent="0.25">
      <c r="A57" s="345" t="s">
        <v>1801</v>
      </c>
      <c r="B57" s="417">
        <v>117665</v>
      </c>
      <c r="C57" s="268">
        <v>413</v>
      </c>
      <c r="D57" s="418" t="s">
        <v>705</v>
      </c>
      <c r="E57" s="270" t="s">
        <v>725</v>
      </c>
      <c r="F57" s="270" t="s">
        <v>633</v>
      </c>
      <c r="G57" s="82" t="s">
        <v>776</v>
      </c>
      <c r="H57" s="11" t="s">
        <v>333</v>
      </c>
      <c r="I57" s="418" t="s">
        <v>181</v>
      </c>
      <c r="J57" s="35" t="s">
        <v>777</v>
      </c>
      <c r="K57" s="274">
        <v>43290</v>
      </c>
      <c r="L57" s="275">
        <v>43625</v>
      </c>
      <c r="M57" s="5">
        <f t="shared" si="0"/>
        <v>80</v>
      </c>
      <c r="N57" s="6">
        <v>8</v>
      </c>
      <c r="O57" s="6" t="s">
        <v>335</v>
      </c>
      <c r="P57" s="6" t="s">
        <v>335</v>
      </c>
      <c r="Q57" s="6" t="s">
        <v>208</v>
      </c>
      <c r="R57" s="6" t="s">
        <v>36</v>
      </c>
      <c r="S57" s="57">
        <f t="shared" si="79"/>
        <v>224534.64</v>
      </c>
      <c r="T57" s="353">
        <v>0</v>
      </c>
      <c r="U57" s="234">
        <v>224534.64</v>
      </c>
      <c r="V57" s="84">
        <f t="shared" si="68"/>
        <v>50520.29</v>
      </c>
      <c r="W57" s="353">
        <v>0</v>
      </c>
      <c r="X57" s="234">
        <v>50520.29</v>
      </c>
      <c r="Y57" s="84">
        <f t="shared" si="80"/>
        <v>5613.37</v>
      </c>
      <c r="Z57" s="355">
        <v>0</v>
      </c>
      <c r="AA57" s="234">
        <v>5613.37</v>
      </c>
      <c r="AB57" s="55">
        <f t="shared" si="69"/>
        <v>0</v>
      </c>
      <c r="AC57" s="349">
        <v>0</v>
      </c>
      <c r="AD57" s="349">
        <v>0</v>
      </c>
      <c r="AE57" s="63">
        <f t="shared" si="81"/>
        <v>280668.3</v>
      </c>
      <c r="AF57" s="66">
        <v>0</v>
      </c>
      <c r="AG57" s="55">
        <f t="shared" si="70"/>
        <v>280668.3</v>
      </c>
      <c r="AH57" s="60" t="s">
        <v>1092</v>
      </c>
      <c r="AI57" s="116" t="s">
        <v>1386</v>
      </c>
      <c r="AJ57" s="65">
        <f>12137.6+162767.84</f>
        <v>174905.44</v>
      </c>
      <c r="AK57" s="62">
        <f>2730.96+36622.76</f>
        <v>39353.72</v>
      </c>
    </row>
    <row r="58" spans="1:38" ht="240" x14ac:dyDescent="0.25">
      <c r="A58" s="345" t="s">
        <v>1802</v>
      </c>
      <c r="B58" s="417">
        <v>117676</v>
      </c>
      <c r="C58" s="268">
        <v>414</v>
      </c>
      <c r="D58" s="418" t="s">
        <v>705</v>
      </c>
      <c r="E58" s="270" t="s">
        <v>725</v>
      </c>
      <c r="F58" s="419" t="s">
        <v>633</v>
      </c>
      <c r="G58" s="82" t="s">
        <v>1038</v>
      </c>
      <c r="H58" s="11" t="s">
        <v>1039</v>
      </c>
      <c r="I58" s="418" t="s">
        <v>181</v>
      </c>
      <c r="J58" s="35" t="s">
        <v>1040</v>
      </c>
      <c r="K58" s="148">
        <v>43348</v>
      </c>
      <c r="L58" s="147">
        <v>43713</v>
      </c>
      <c r="M58" s="5">
        <f t="shared" si="0"/>
        <v>80.000002000969275</v>
      </c>
      <c r="N58" s="6">
        <v>8</v>
      </c>
      <c r="O58" s="6" t="s">
        <v>335</v>
      </c>
      <c r="P58" s="6" t="s">
        <v>153</v>
      </c>
      <c r="Q58" s="6" t="s">
        <v>208</v>
      </c>
      <c r="R58" s="6" t="s">
        <v>36</v>
      </c>
      <c r="S58" s="57">
        <f t="shared" si="79"/>
        <v>239883.75</v>
      </c>
      <c r="T58" s="355">
        <v>0</v>
      </c>
      <c r="U58" s="234">
        <v>239883.75</v>
      </c>
      <c r="V58" s="84">
        <f t="shared" si="68"/>
        <v>53973.85</v>
      </c>
      <c r="W58" s="355">
        <v>0</v>
      </c>
      <c r="X58" s="234">
        <v>53973.85</v>
      </c>
      <c r="Y58" s="84">
        <f t="shared" si="80"/>
        <v>5997.08</v>
      </c>
      <c r="Z58" s="355">
        <v>0</v>
      </c>
      <c r="AA58" s="234">
        <v>5997.08</v>
      </c>
      <c r="AB58" s="55">
        <f t="shared" si="69"/>
        <v>0</v>
      </c>
      <c r="AC58" s="356">
        <v>0</v>
      </c>
      <c r="AD58" s="356">
        <v>0</v>
      </c>
      <c r="AE58" s="63">
        <f t="shared" si="81"/>
        <v>299854.68</v>
      </c>
      <c r="AF58" s="66">
        <v>0</v>
      </c>
      <c r="AG58" s="55">
        <f t="shared" si="70"/>
        <v>299854.68</v>
      </c>
      <c r="AH58" s="60" t="s">
        <v>1092</v>
      </c>
      <c r="AI58" s="66"/>
      <c r="AJ58" s="65">
        <f>39088.01+17899.2+45274.4</f>
        <v>102261.61000000002</v>
      </c>
      <c r="AK58" s="65">
        <f>8794.8+4027.32+10186.73</f>
        <v>23008.85</v>
      </c>
    </row>
    <row r="59" spans="1:38" ht="180" x14ac:dyDescent="0.25">
      <c r="A59" s="345" t="s">
        <v>1803</v>
      </c>
      <c r="B59" s="417">
        <v>126477</v>
      </c>
      <c r="C59" s="268">
        <v>507</v>
      </c>
      <c r="D59" s="418" t="s">
        <v>864</v>
      </c>
      <c r="E59" s="270" t="s">
        <v>988</v>
      </c>
      <c r="F59" s="419" t="s">
        <v>1160</v>
      </c>
      <c r="G59" s="82" t="s">
        <v>1161</v>
      </c>
      <c r="H59" s="11" t="s">
        <v>1162</v>
      </c>
      <c r="I59" s="418" t="s">
        <v>444</v>
      </c>
      <c r="J59" s="35" t="s">
        <v>1163</v>
      </c>
      <c r="K59" s="148">
        <v>43433</v>
      </c>
      <c r="L59" s="15">
        <v>43980</v>
      </c>
      <c r="M59" s="5">
        <f t="shared" si="0"/>
        <v>79.999999536713688</v>
      </c>
      <c r="N59" s="6">
        <v>8</v>
      </c>
      <c r="O59" s="6" t="s">
        <v>335</v>
      </c>
      <c r="P59" s="6" t="s">
        <v>335</v>
      </c>
      <c r="Q59" s="6" t="s">
        <v>208</v>
      </c>
      <c r="R59" s="6" t="s">
        <v>36</v>
      </c>
      <c r="S59" s="57">
        <f>T59+U59</f>
        <v>3108229.07</v>
      </c>
      <c r="T59" s="355">
        <v>0</v>
      </c>
      <c r="U59" s="234">
        <v>3108229.07</v>
      </c>
      <c r="V59" s="84">
        <f>W59+X59</f>
        <v>699351.56</v>
      </c>
      <c r="W59" s="355">
        <v>0</v>
      </c>
      <c r="X59" s="234">
        <v>699351.56</v>
      </c>
      <c r="Y59" s="84">
        <f>Z59+AA59</f>
        <v>77705.73</v>
      </c>
      <c r="Z59" s="355">
        <v>0</v>
      </c>
      <c r="AA59" s="234">
        <v>77705.73</v>
      </c>
      <c r="AB59" s="55">
        <f>AC59+AD59</f>
        <v>0</v>
      </c>
      <c r="AC59" s="356"/>
      <c r="AD59" s="356"/>
      <c r="AE59" s="63">
        <f>S59+V59+Y59+AB59</f>
        <v>3885286.36</v>
      </c>
      <c r="AF59" s="66"/>
      <c r="AG59" s="55">
        <f>AE59+AF59</f>
        <v>3885286.36</v>
      </c>
      <c r="AH59" s="60" t="s">
        <v>607</v>
      </c>
      <c r="AI59" s="66" t="s">
        <v>181</v>
      </c>
      <c r="AJ59" s="65">
        <v>31416</v>
      </c>
      <c r="AK59" s="65">
        <v>7068.6</v>
      </c>
    </row>
    <row r="60" spans="1:38" ht="141.75" x14ac:dyDescent="0.25">
      <c r="A60" s="345" t="s">
        <v>1804</v>
      </c>
      <c r="B60" s="417">
        <v>126372</v>
      </c>
      <c r="C60" s="268">
        <v>510</v>
      </c>
      <c r="D60" s="418" t="s">
        <v>864</v>
      </c>
      <c r="E60" s="270" t="s">
        <v>988</v>
      </c>
      <c r="F60" s="419" t="s">
        <v>1160</v>
      </c>
      <c r="G60" s="82" t="s">
        <v>1191</v>
      </c>
      <c r="H60" s="11" t="s">
        <v>1192</v>
      </c>
      <c r="I60" s="418" t="s">
        <v>444</v>
      </c>
      <c r="J60" s="35" t="s">
        <v>1193</v>
      </c>
      <c r="K60" s="148">
        <v>43445</v>
      </c>
      <c r="L60" s="15">
        <v>44358</v>
      </c>
      <c r="M60" s="5">
        <f t="shared" si="0"/>
        <v>80</v>
      </c>
      <c r="N60" s="6">
        <v>8</v>
      </c>
      <c r="O60" s="6" t="s">
        <v>335</v>
      </c>
      <c r="P60" s="6" t="s">
        <v>335</v>
      </c>
      <c r="Q60" s="6" t="s">
        <v>208</v>
      </c>
      <c r="R60" s="6" t="s">
        <v>36</v>
      </c>
      <c r="S60" s="57">
        <f t="shared" ref="S60:S65" si="82">T60+U60</f>
        <v>2932376.8</v>
      </c>
      <c r="T60" s="355">
        <v>0</v>
      </c>
      <c r="U60" s="234">
        <v>2932376.8</v>
      </c>
      <c r="V60" s="84">
        <f>W60+X60</f>
        <v>659784.78</v>
      </c>
      <c r="W60" s="355">
        <v>0</v>
      </c>
      <c r="X60" s="234">
        <v>659784.78</v>
      </c>
      <c r="Y60" s="84">
        <f>Z60+AA60</f>
        <v>73309.42</v>
      </c>
      <c r="Z60" s="355">
        <v>0</v>
      </c>
      <c r="AA60" s="234">
        <v>73309.42</v>
      </c>
      <c r="AB60" s="55">
        <f>AC60+AD60</f>
        <v>0</v>
      </c>
      <c r="AC60" s="349">
        <v>0</v>
      </c>
      <c r="AD60" s="349">
        <v>0</v>
      </c>
      <c r="AE60" s="63">
        <f>S60+V60+Y60+AB60</f>
        <v>3665471</v>
      </c>
      <c r="AF60" s="94">
        <v>127687</v>
      </c>
      <c r="AG60" s="55">
        <f>AE60+AF60</f>
        <v>3793158</v>
      </c>
      <c r="AH60" s="60" t="s">
        <v>607</v>
      </c>
      <c r="AI60" s="66" t="s">
        <v>181</v>
      </c>
      <c r="AJ60" s="65">
        <f>34729.6+58377.3</f>
        <v>93106.9</v>
      </c>
      <c r="AK60" s="65">
        <f>7814.16+13134.9</f>
        <v>20949.059999999998</v>
      </c>
    </row>
    <row r="61" spans="1:38" ht="141.75" x14ac:dyDescent="0.25">
      <c r="A61" s="345" t="s">
        <v>1805</v>
      </c>
      <c r="B61" s="417">
        <v>128825</v>
      </c>
      <c r="C61" s="268">
        <v>661</v>
      </c>
      <c r="D61" s="418" t="s">
        <v>864</v>
      </c>
      <c r="E61" s="270" t="s">
        <v>988</v>
      </c>
      <c r="F61" s="419" t="s">
        <v>1495</v>
      </c>
      <c r="G61" s="213" t="s">
        <v>1496</v>
      </c>
      <c r="H61" s="214" t="s">
        <v>1499</v>
      </c>
      <c r="I61" s="418" t="s">
        <v>1238</v>
      </c>
      <c r="J61" s="35" t="s">
        <v>1502</v>
      </c>
      <c r="K61" s="148">
        <v>43635</v>
      </c>
      <c r="L61" s="15">
        <v>44427</v>
      </c>
      <c r="M61" s="5">
        <f t="shared" si="0"/>
        <v>79.493002830992353</v>
      </c>
      <c r="N61" s="6">
        <v>8</v>
      </c>
      <c r="O61" s="6" t="s">
        <v>335</v>
      </c>
      <c r="P61" s="6" t="s">
        <v>335</v>
      </c>
      <c r="Q61" s="6" t="s">
        <v>208</v>
      </c>
      <c r="R61" s="6" t="s">
        <v>36</v>
      </c>
      <c r="S61" s="57">
        <f t="shared" si="82"/>
        <v>3436600.48</v>
      </c>
      <c r="T61" s="355">
        <v>0</v>
      </c>
      <c r="U61" s="234">
        <v>3436600.48</v>
      </c>
      <c r="V61" s="84">
        <f t="shared" ref="V61:V65" si="83">W61+X61</f>
        <v>800084.95</v>
      </c>
      <c r="W61" s="355">
        <v>0</v>
      </c>
      <c r="X61" s="234">
        <v>800084.95</v>
      </c>
      <c r="Y61" s="84">
        <f t="shared" ref="Y61:Y65" si="84">Z61+AA61</f>
        <v>59065.17</v>
      </c>
      <c r="Z61" s="355">
        <v>0</v>
      </c>
      <c r="AA61" s="234">
        <v>59065.17</v>
      </c>
      <c r="AB61" s="55">
        <f t="shared" ref="AB61:AB65" si="85">AC61+AD61</f>
        <v>27397.8</v>
      </c>
      <c r="AC61" s="349">
        <v>0</v>
      </c>
      <c r="AD61" s="349">
        <v>27397.8</v>
      </c>
      <c r="AE61" s="63">
        <f t="shared" ref="AE61:AE65" si="86">S61+V61+Y61+AB61</f>
        <v>4323148.3999999994</v>
      </c>
      <c r="AF61" s="94">
        <v>29750</v>
      </c>
      <c r="AG61" s="55">
        <f t="shared" ref="AG61:AG65" si="87">AE61+AF61</f>
        <v>4352898.3999999994</v>
      </c>
      <c r="AH61" s="60" t="s">
        <v>607</v>
      </c>
      <c r="AI61" s="66" t="s">
        <v>181</v>
      </c>
      <c r="AJ61" s="65">
        <v>0</v>
      </c>
      <c r="AK61" s="65">
        <v>0</v>
      </c>
    </row>
    <row r="62" spans="1:38" ht="165" x14ac:dyDescent="0.25">
      <c r="A62" s="345" t="s">
        <v>1806</v>
      </c>
      <c r="B62" s="417">
        <v>129668</v>
      </c>
      <c r="C62" s="268">
        <v>673</v>
      </c>
      <c r="D62" s="418" t="s">
        <v>166</v>
      </c>
      <c r="E62" s="270" t="s">
        <v>988</v>
      </c>
      <c r="F62" s="419" t="s">
        <v>1495</v>
      </c>
      <c r="G62" s="213" t="s">
        <v>1497</v>
      </c>
      <c r="H62" s="214" t="s">
        <v>1500</v>
      </c>
      <c r="I62" s="418" t="s">
        <v>181</v>
      </c>
      <c r="J62" s="35" t="s">
        <v>1503</v>
      </c>
      <c r="K62" s="148">
        <v>43635</v>
      </c>
      <c r="L62" s="15">
        <v>44549</v>
      </c>
      <c r="M62" s="5">
        <f t="shared" si="0"/>
        <v>80.000000100149578</v>
      </c>
      <c r="N62" s="6">
        <v>8</v>
      </c>
      <c r="O62" s="6" t="s">
        <v>335</v>
      </c>
      <c r="P62" s="6" t="s">
        <v>335</v>
      </c>
      <c r="Q62" s="6" t="s">
        <v>208</v>
      </c>
      <c r="R62" s="6" t="s">
        <v>36</v>
      </c>
      <c r="S62" s="57">
        <f t="shared" si="82"/>
        <v>3195221.02</v>
      </c>
      <c r="T62" s="355">
        <v>0</v>
      </c>
      <c r="U62" s="234">
        <v>3195221.02</v>
      </c>
      <c r="V62" s="84">
        <f t="shared" si="83"/>
        <v>718924.72</v>
      </c>
      <c r="W62" s="355">
        <v>0</v>
      </c>
      <c r="X62" s="234">
        <v>718924.72</v>
      </c>
      <c r="Y62" s="84">
        <f t="shared" si="84"/>
        <v>79880.53</v>
      </c>
      <c r="Z62" s="355">
        <v>0</v>
      </c>
      <c r="AA62" s="234">
        <v>79880.53</v>
      </c>
      <c r="AB62" s="55">
        <f t="shared" si="85"/>
        <v>0</v>
      </c>
      <c r="AC62" s="349">
        <v>0</v>
      </c>
      <c r="AD62" s="349"/>
      <c r="AE62" s="63">
        <f t="shared" si="86"/>
        <v>3994026.27</v>
      </c>
      <c r="AF62" s="94">
        <v>0</v>
      </c>
      <c r="AG62" s="55">
        <f t="shared" si="87"/>
        <v>3994026.27</v>
      </c>
      <c r="AH62" s="60" t="s">
        <v>607</v>
      </c>
      <c r="AI62" s="66" t="s">
        <v>181</v>
      </c>
      <c r="AJ62" s="65">
        <v>0</v>
      </c>
      <c r="AK62" s="65">
        <v>0</v>
      </c>
    </row>
    <row r="63" spans="1:38" ht="165" x14ac:dyDescent="0.25">
      <c r="A63" s="345" t="s">
        <v>1807</v>
      </c>
      <c r="B63" s="417">
        <v>128335</v>
      </c>
      <c r="C63" s="268">
        <v>634</v>
      </c>
      <c r="D63" s="418" t="s">
        <v>864</v>
      </c>
      <c r="E63" s="270" t="s">
        <v>988</v>
      </c>
      <c r="F63" s="419" t="s">
        <v>1495</v>
      </c>
      <c r="G63" s="213" t="s">
        <v>1530</v>
      </c>
      <c r="H63" s="214" t="s">
        <v>1529</v>
      </c>
      <c r="I63" s="418" t="s">
        <v>1531</v>
      </c>
      <c r="J63" s="35" t="s">
        <v>1532</v>
      </c>
      <c r="K63" s="148">
        <v>43647</v>
      </c>
      <c r="L63" s="15">
        <v>44562</v>
      </c>
      <c r="M63" s="5">
        <f t="shared" ref="M63:M116" si="88">S63/AE63*100</f>
        <v>79.99999994861092</v>
      </c>
      <c r="N63" s="6">
        <v>8</v>
      </c>
      <c r="O63" s="6" t="s">
        <v>335</v>
      </c>
      <c r="P63" s="6" t="s">
        <v>335</v>
      </c>
      <c r="Q63" s="6" t="s">
        <v>208</v>
      </c>
      <c r="R63" s="6" t="s">
        <v>36</v>
      </c>
      <c r="S63" s="57">
        <f t="shared" si="82"/>
        <v>3113501.31</v>
      </c>
      <c r="T63" s="355">
        <v>0</v>
      </c>
      <c r="U63" s="234">
        <v>3113501.31</v>
      </c>
      <c r="V63" s="84">
        <f t="shared" si="83"/>
        <v>700537.78</v>
      </c>
      <c r="W63" s="355">
        <v>0</v>
      </c>
      <c r="X63" s="234">
        <v>700537.78</v>
      </c>
      <c r="Y63" s="84">
        <f t="shared" si="84"/>
        <v>77837.55</v>
      </c>
      <c r="Z63" s="355">
        <v>0</v>
      </c>
      <c r="AA63" s="234">
        <v>77837.55</v>
      </c>
      <c r="AB63" s="55">
        <v>0</v>
      </c>
      <c r="AC63" s="349">
        <v>0</v>
      </c>
      <c r="AD63" s="349">
        <v>0</v>
      </c>
      <c r="AE63" s="63">
        <f t="shared" si="86"/>
        <v>3891876.6399999997</v>
      </c>
      <c r="AF63" s="94">
        <v>0</v>
      </c>
      <c r="AG63" s="55">
        <f t="shared" si="87"/>
        <v>3891876.6399999997</v>
      </c>
      <c r="AH63" s="60" t="s">
        <v>607</v>
      </c>
      <c r="AI63" s="66" t="s">
        <v>181</v>
      </c>
      <c r="AJ63" s="65">
        <v>0</v>
      </c>
      <c r="AK63" s="65">
        <v>0</v>
      </c>
    </row>
    <row r="64" spans="1:38" ht="283.5" x14ac:dyDescent="0.25">
      <c r="A64" s="345" t="s">
        <v>1808</v>
      </c>
      <c r="B64" s="417">
        <v>129694</v>
      </c>
      <c r="C64" s="268">
        <v>694</v>
      </c>
      <c r="D64" s="418" t="s">
        <v>864</v>
      </c>
      <c r="E64" s="270" t="s">
        <v>988</v>
      </c>
      <c r="F64" s="419" t="s">
        <v>1495</v>
      </c>
      <c r="G64" s="213" t="s">
        <v>1498</v>
      </c>
      <c r="H64" s="214" t="s">
        <v>1501</v>
      </c>
      <c r="I64" s="418" t="s">
        <v>1238</v>
      </c>
      <c r="J64" s="14" t="s">
        <v>1504</v>
      </c>
      <c r="K64" s="148">
        <v>43635</v>
      </c>
      <c r="L64" s="15">
        <v>44458</v>
      </c>
      <c r="M64" s="5">
        <f t="shared" si="88"/>
        <v>79.559234452662935</v>
      </c>
      <c r="N64" s="6">
        <v>8</v>
      </c>
      <c r="O64" s="6" t="s">
        <v>335</v>
      </c>
      <c r="P64" s="6" t="s">
        <v>335</v>
      </c>
      <c r="Q64" s="6" t="s">
        <v>208</v>
      </c>
      <c r="R64" s="6" t="s">
        <v>36</v>
      </c>
      <c r="S64" s="57">
        <f t="shared" si="82"/>
        <v>3495320.83</v>
      </c>
      <c r="T64" s="355">
        <v>0</v>
      </c>
      <c r="U64" s="234">
        <v>3495320.83</v>
      </c>
      <c r="V64" s="84">
        <f t="shared" si="83"/>
        <v>810168.58</v>
      </c>
      <c r="W64" s="355">
        <v>0</v>
      </c>
      <c r="X64" s="234">
        <v>810168.58</v>
      </c>
      <c r="Y64" s="84">
        <f t="shared" si="84"/>
        <v>63661.63</v>
      </c>
      <c r="Z64" s="355">
        <v>0</v>
      </c>
      <c r="AA64" s="234">
        <v>63661.63</v>
      </c>
      <c r="AB64" s="55">
        <f t="shared" si="85"/>
        <v>24205.5</v>
      </c>
      <c r="AC64" s="349">
        <v>0</v>
      </c>
      <c r="AD64" s="349">
        <v>24205.5</v>
      </c>
      <c r="AE64" s="63">
        <f t="shared" si="86"/>
        <v>4393356.54</v>
      </c>
      <c r="AF64" s="94">
        <v>0</v>
      </c>
      <c r="AG64" s="55">
        <f t="shared" si="87"/>
        <v>4393356.54</v>
      </c>
      <c r="AH64" s="60" t="s">
        <v>607</v>
      </c>
      <c r="AI64" s="66" t="s">
        <v>181</v>
      </c>
      <c r="AJ64" s="65">
        <v>0</v>
      </c>
      <c r="AK64" s="65">
        <v>0</v>
      </c>
    </row>
    <row r="65" spans="1:37" ht="141.75" x14ac:dyDescent="0.25">
      <c r="A65" s="345" t="s">
        <v>1809</v>
      </c>
      <c r="B65" s="417">
        <v>129016</v>
      </c>
      <c r="C65" s="268">
        <v>693</v>
      </c>
      <c r="D65" s="418" t="s">
        <v>864</v>
      </c>
      <c r="E65" s="270" t="s">
        <v>988</v>
      </c>
      <c r="F65" s="419" t="s">
        <v>1495</v>
      </c>
      <c r="G65" s="213" t="s">
        <v>1535</v>
      </c>
      <c r="H65" s="214" t="s">
        <v>1536</v>
      </c>
      <c r="I65" s="418" t="s">
        <v>181</v>
      </c>
      <c r="J65" s="14" t="s">
        <v>1537</v>
      </c>
      <c r="K65" s="148">
        <v>43654</v>
      </c>
      <c r="L65" s="15">
        <v>44020</v>
      </c>
      <c r="M65" s="5">
        <f t="shared" si="88"/>
        <v>79.999998958694746</v>
      </c>
      <c r="N65" s="6">
        <v>8</v>
      </c>
      <c r="O65" s="6" t="s">
        <v>335</v>
      </c>
      <c r="P65" s="6" t="s">
        <v>335</v>
      </c>
      <c r="Q65" s="6" t="s">
        <v>208</v>
      </c>
      <c r="R65" s="6" t="s">
        <v>36</v>
      </c>
      <c r="S65" s="57">
        <f t="shared" si="82"/>
        <v>307306.62</v>
      </c>
      <c r="T65" s="355">
        <v>0</v>
      </c>
      <c r="U65" s="234">
        <v>307306.62</v>
      </c>
      <c r="V65" s="84">
        <f t="shared" si="83"/>
        <v>69143.95</v>
      </c>
      <c r="W65" s="355">
        <v>0</v>
      </c>
      <c r="X65" s="234">
        <v>69143.95</v>
      </c>
      <c r="Y65" s="84">
        <f t="shared" si="84"/>
        <v>7682.71</v>
      </c>
      <c r="Z65" s="355">
        <v>0</v>
      </c>
      <c r="AA65" s="234">
        <v>7682.71</v>
      </c>
      <c r="AB65" s="55">
        <f t="shared" si="85"/>
        <v>0</v>
      </c>
      <c r="AC65" s="349">
        <v>0</v>
      </c>
      <c r="AD65" s="349">
        <v>0</v>
      </c>
      <c r="AE65" s="63">
        <f t="shared" si="86"/>
        <v>384133.28</v>
      </c>
      <c r="AF65" s="94">
        <v>0</v>
      </c>
      <c r="AG65" s="55">
        <f t="shared" si="87"/>
        <v>384133.28</v>
      </c>
      <c r="AH65" s="60" t="s">
        <v>607</v>
      </c>
      <c r="AI65" s="66"/>
      <c r="AJ65" s="65">
        <v>0</v>
      </c>
      <c r="AK65" s="65">
        <v>0</v>
      </c>
    </row>
    <row r="66" spans="1:37" ht="315" x14ac:dyDescent="0.25">
      <c r="A66" s="345" t="s">
        <v>1810</v>
      </c>
      <c r="B66" s="417">
        <v>118335</v>
      </c>
      <c r="C66" s="417">
        <v>427</v>
      </c>
      <c r="D66" s="417" t="s">
        <v>705</v>
      </c>
      <c r="E66" s="270" t="s">
        <v>725</v>
      </c>
      <c r="F66" s="419" t="s">
        <v>632</v>
      </c>
      <c r="G66" s="34" t="s">
        <v>711</v>
      </c>
      <c r="H66" s="11" t="s">
        <v>712</v>
      </c>
      <c r="I66" s="418" t="s">
        <v>181</v>
      </c>
      <c r="J66" s="35" t="s">
        <v>718</v>
      </c>
      <c r="K66" s="148">
        <v>43284</v>
      </c>
      <c r="L66" s="147">
        <v>43711</v>
      </c>
      <c r="M66" s="5">
        <f t="shared" si="88"/>
        <v>85.000001775483071</v>
      </c>
      <c r="N66" s="6">
        <v>2</v>
      </c>
      <c r="O66" s="6" t="s">
        <v>713</v>
      </c>
      <c r="P66" s="6" t="s">
        <v>713</v>
      </c>
      <c r="Q66" s="6" t="s">
        <v>208</v>
      </c>
      <c r="R66" s="6" t="s">
        <v>36</v>
      </c>
      <c r="S66" s="57">
        <v>239371.48</v>
      </c>
      <c r="T66" s="234">
        <v>239371.48</v>
      </c>
      <c r="U66" s="349">
        <v>0</v>
      </c>
      <c r="V66" s="57">
        <v>36609.75</v>
      </c>
      <c r="W66" s="234">
        <v>36609.75</v>
      </c>
      <c r="X66" s="356">
        <v>0</v>
      </c>
      <c r="Y66" s="57">
        <v>5632.27</v>
      </c>
      <c r="Z66" s="234">
        <v>5632.27</v>
      </c>
      <c r="AA66" s="349">
        <v>0</v>
      </c>
      <c r="AB66" s="55">
        <f t="shared" si="69"/>
        <v>0</v>
      </c>
      <c r="AC66" s="349">
        <v>0</v>
      </c>
      <c r="AD66" s="349">
        <v>0</v>
      </c>
      <c r="AE66" s="63">
        <f t="shared" ref="AE66:AE69" si="89">S66+V66+Y66+AB66</f>
        <v>281613.5</v>
      </c>
      <c r="AF66" s="66">
        <v>0</v>
      </c>
      <c r="AG66" s="55">
        <f t="shared" si="70"/>
        <v>281613.5</v>
      </c>
      <c r="AH66" s="60" t="s">
        <v>1092</v>
      </c>
      <c r="AI66" s="66" t="s">
        <v>1389</v>
      </c>
      <c r="AJ66" s="65">
        <f>13721.01+66607.28</f>
        <v>80328.289999999994</v>
      </c>
      <c r="AK66" s="65">
        <f>2098.5+10186.99</f>
        <v>12285.49</v>
      </c>
    </row>
    <row r="67" spans="1:37" ht="409.5" x14ac:dyDescent="0.25">
      <c r="A67" s="345" t="s">
        <v>1811</v>
      </c>
      <c r="B67" s="417">
        <v>118396</v>
      </c>
      <c r="C67" s="417">
        <v>428</v>
      </c>
      <c r="D67" s="417" t="s">
        <v>1334</v>
      </c>
      <c r="E67" s="270" t="s">
        <v>725</v>
      </c>
      <c r="F67" s="419" t="s">
        <v>632</v>
      </c>
      <c r="G67" s="11" t="s">
        <v>880</v>
      </c>
      <c r="H67" s="11" t="s">
        <v>881</v>
      </c>
      <c r="I67" s="235" t="s">
        <v>828</v>
      </c>
      <c r="J67" s="122" t="s">
        <v>882</v>
      </c>
      <c r="K67" s="148">
        <v>43312</v>
      </c>
      <c r="L67" s="15">
        <v>43799</v>
      </c>
      <c r="M67" s="5">
        <f t="shared" si="88"/>
        <v>84.20987828497924</v>
      </c>
      <c r="N67" s="123">
        <v>2</v>
      </c>
      <c r="O67" s="6" t="s">
        <v>713</v>
      </c>
      <c r="P67" s="6" t="s">
        <v>713</v>
      </c>
      <c r="Q67" s="6" t="s">
        <v>208</v>
      </c>
      <c r="R67" s="6" t="s">
        <v>36</v>
      </c>
      <c r="S67" s="62">
        <f>T67</f>
        <v>326851.75</v>
      </c>
      <c r="T67" s="349">
        <v>326851.75</v>
      </c>
      <c r="U67" s="349">
        <v>0</v>
      </c>
      <c r="V67" s="57">
        <f t="shared" si="68"/>
        <v>53524.9</v>
      </c>
      <c r="W67" s="349">
        <v>53524.9</v>
      </c>
      <c r="X67" s="349">
        <v>0</v>
      </c>
      <c r="Y67" s="62">
        <f>Z67+AA67</f>
        <v>7762.79</v>
      </c>
      <c r="Z67" s="349">
        <v>7762.79</v>
      </c>
      <c r="AA67" s="349">
        <v>0</v>
      </c>
      <c r="AB67" s="55">
        <f t="shared" si="69"/>
        <v>0</v>
      </c>
      <c r="AC67" s="349">
        <v>0</v>
      </c>
      <c r="AD67" s="349">
        <v>0</v>
      </c>
      <c r="AE67" s="63">
        <f t="shared" si="89"/>
        <v>388139.44</v>
      </c>
      <c r="AF67" s="66">
        <v>0</v>
      </c>
      <c r="AG67" s="55">
        <f t="shared" si="70"/>
        <v>388139.44</v>
      </c>
      <c r="AH67" s="60" t="s">
        <v>607</v>
      </c>
      <c r="AI67" s="66"/>
      <c r="AJ67" s="65">
        <f>38178.44+14834.2+3.22+14453.49+13750.33+62002.5+7008.86</f>
        <v>150231.03999999998</v>
      </c>
      <c r="AK67" s="65">
        <f>3425.9+2621.59-3.22+2550.61+2426.53+9482.73+1236.86</f>
        <v>21741</v>
      </c>
    </row>
    <row r="68" spans="1:37" ht="189" x14ac:dyDescent="0.25">
      <c r="A68" s="345" t="s">
        <v>1812</v>
      </c>
      <c r="B68" s="271">
        <v>119892</v>
      </c>
      <c r="C68" s="424">
        <v>480</v>
      </c>
      <c r="D68" s="271" t="s">
        <v>164</v>
      </c>
      <c r="E68" s="260" t="s">
        <v>1060</v>
      </c>
      <c r="F68" s="419" t="s">
        <v>564</v>
      </c>
      <c r="G68" s="11" t="s">
        <v>1116</v>
      </c>
      <c r="H68" s="37" t="s">
        <v>1117</v>
      </c>
      <c r="I68" s="260" t="s">
        <v>444</v>
      </c>
      <c r="J68" s="23" t="s">
        <v>1118</v>
      </c>
      <c r="K68" s="179">
        <v>43389</v>
      </c>
      <c r="L68" s="15">
        <v>43906</v>
      </c>
      <c r="M68" s="5">
        <f t="shared" si="88"/>
        <v>85.000001891187381</v>
      </c>
      <c r="N68" s="154">
        <v>2</v>
      </c>
      <c r="O68" s="26" t="s">
        <v>713</v>
      </c>
      <c r="P68" s="6" t="s">
        <v>1119</v>
      </c>
      <c r="Q68" s="127" t="s">
        <v>208</v>
      </c>
      <c r="R68" s="128" t="s">
        <v>568</v>
      </c>
      <c r="S68" s="159">
        <f>T68+U68</f>
        <v>337089.82</v>
      </c>
      <c r="T68" s="349">
        <v>337089.82</v>
      </c>
      <c r="U68" s="349">
        <v>0</v>
      </c>
      <c r="V68" s="57">
        <f t="shared" si="68"/>
        <v>51554.92</v>
      </c>
      <c r="W68" s="234">
        <v>51554.92</v>
      </c>
      <c r="X68" s="271">
        <v>0</v>
      </c>
      <c r="Y68" s="160">
        <f>Z68+AA68</f>
        <v>7931.51</v>
      </c>
      <c r="Z68" s="389">
        <v>7931.51</v>
      </c>
      <c r="AA68" s="349">
        <v>0</v>
      </c>
      <c r="AB68" s="128">
        <v>0</v>
      </c>
      <c r="AC68" s="260">
        <v>0</v>
      </c>
      <c r="AD68" s="349">
        <v>0</v>
      </c>
      <c r="AE68" s="63">
        <f t="shared" si="89"/>
        <v>396576.25</v>
      </c>
      <c r="AF68" s="154">
        <v>0</v>
      </c>
      <c r="AG68" s="55">
        <f t="shared" si="70"/>
        <v>396576.25</v>
      </c>
      <c r="AH68" s="154" t="s">
        <v>607</v>
      </c>
      <c r="AI68" s="66" t="s">
        <v>1573</v>
      </c>
      <c r="AJ68" s="119">
        <f>20685.18</f>
        <v>20685.18</v>
      </c>
      <c r="AK68" s="72">
        <f>3163.61</f>
        <v>3163.61</v>
      </c>
    </row>
    <row r="69" spans="1:37" ht="173.25" x14ac:dyDescent="0.25">
      <c r="A69" s="345" t="s">
        <v>1813</v>
      </c>
      <c r="B69" s="271">
        <v>126446</v>
      </c>
      <c r="C69" s="424">
        <v>543</v>
      </c>
      <c r="D69" s="271" t="s">
        <v>170</v>
      </c>
      <c r="E69" s="260" t="s">
        <v>988</v>
      </c>
      <c r="F69" s="419" t="s">
        <v>1153</v>
      </c>
      <c r="G69" s="14" t="s">
        <v>1156</v>
      </c>
      <c r="H69" s="37" t="s">
        <v>1117</v>
      </c>
      <c r="I69" s="260" t="s">
        <v>444</v>
      </c>
      <c r="J69" s="23" t="s">
        <v>1157</v>
      </c>
      <c r="K69" s="178">
        <v>43430</v>
      </c>
      <c r="L69" s="15">
        <v>44253</v>
      </c>
      <c r="M69" s="5">
        <f t="shared" si="88"/>
        <v>85.000000017455704</v>
      </c>
      <c r="N69" s="154">
        <v>2</v>
      </c>
      <c r="O69" s="26" t="s">
        <v>713</v>
      </c>
      <c r="P69" s="6" t="s">
        <v>1119</v>
      </c>
      <c r="Q69" s="127" t="s">
        <v>208</v>
      </c>
      <c r="R69" s="128" t="s">
        <v>568</v>
      </c>
      <c r="S69" s="159">
        <f t="shared" ref="S69" si="90">T69+U69</f>
        <v>2434734.11</v>
      </c>
      <c r="T69" s="349">
        <v>2434734.11</v>
      </c>
      <c r="U69" s="349">
        <v>0</v>
      </c>
      <c r="V69" s="57">
        <f t="shared" si="68"/>
        <v>372371.1</v>
      </c>
      <c r="W69" s="234">
        <v>372371.1</v>
      </c>
      <c r="X69" s="271">
        <v>0</v>
      </c>
      <c r="Y69" s="160">
        <f t="shared" ref="Y69" si="91">Z69+AA69</f>
        <v>57287.86</v>
      </c>
      <c r="Z69" s="389">
        <v>57287.86</v>
      </c>
      <c r="AA69" s="349">
        <v>0</v>
      </c>
      <c r="AB69" s="55">
        <f t="shared" si="69"/>
        <v>0</v>
      </c>
      <c r="AC69" s="349">
        <v>0</v>
      </c>
      <c r="AD69" s="349">
        <v>0</v>
      </c>
      <c r="AE69" s="63">
        <f t="shared" si="89"/>
        <v>2864393.07</v>
      </c>
      <c r="AF69" s="154"/>
      <c r="AG69" s="55">
        <f t="shared" si="70"/>
        <v>2864393.07</v>
      </c>
      <c r="AH69" s="154" t="s">
        <v>607</v>
      </c>
      <c r="AI69" s="66"/>
      <c r="AJ69" s="119">
        <v>0</v>
      </c>
      <c r="AK69" s="72">
        <v>0</v>
      </c>
    </row>
    <row r="70" spans="1:37" ht="220.5" x14ac:dyDescent="0.25">
      <c r="A70" s="345" t="s">
        <v>1814</v>
      </c>
      <c r="B70" s="271">
        <v>120730</v>
      </c>
      <c r="C70" s="268">
        <v>92</v>
      </c>
      <c r="D70" s="235" t="s">
        <v>171</v>
      </c>
      <c r="E70" s="270" t="s">
        <v>988</v>
      </c>
      <c r="F70" s="419" t="s">
        <v>354</v>
      </c>
      <c r="G70" s="11" t="s">
        <v>261</v>
      </c>
      <c r="H70" s="11" t="s">
        <v>260</v>
      </c>
      <c r="I70" s="260" t="s">
        <v>181</v>
      </c>
      <c r="J70" s="23" t="s">
        <v>263</v>
      </c>
      <c r="K70" s="148">
        <v>43145</v>
      </c>
      <c r="L70" s="4">
        <v>43630</v>
      </c>
      <c r="M70" s="5">
        <f t="shared" si="88"/>
        <v>85.000000355065879</v>
      </c>
      <c r="N70" s="6">
        <v>2</v>
      </c>
      <c r="O70" s="6" t="s">
        <v>713</v>
      </c>
      <c r="P70" s="6" t="s">
        <v>1326</v>
      </c>
      <c r="Q70" s="10" t="s">
        <v>208</v>
      </c>
      <c r="R70" s="8" t="s">
        <v>36</v>
      </c>
      <c r="S70" s="55">
        <f>T70+U70</f>
        <v>359088.29</v>
      </c>
      <c r="T70" s="234">
        <v>359088.29</v>
      </c>
      <c r="U70" s="234">
        <v>0</v>
      </c>
      <c r="V70" s="55">
        <f>W70+X70</f>
        <v>54919.39</v>
      </c>
      <c r="W70" s="234">
        <v>54919.39</v>
      </c>
      <c r="X70" s="234">
        <v>0</v>
      </c>
      <c r="Y70" s="55">
        <f>Z70+AA70</f>
        <v>8449.1299999999992</v>
      </c>
      <c r="Z70" s="234">
        <v>8449.1299999999992</v>
      </c>
      <c r="AA70" s="234">
        <v>0</v>
      </c>
      <c r="AB70" s="55">
        <f>AC70+AD70</f>
        <v>0</v>
      </c>
      <c r="AC70" s="234"/>
      <c r="AD70" s="234"/>
      <c r="AE70" s="63">
        <f>S70+V70+Y70+AB70</f>
        <v>422456.81</v>
      </c>
      <c r="AF70" s="55">
        <v>66435.22</v>
      </c>
      <c r="AG70" s="55">
        <f>AE70+AF70</f>
        <v>488892.03</v>
      </c>
      <c r="AH70" s="60" t="s">
        <v>1092</v>
      </c>
      <c r="AI70" s="61" t="s">
        <v>181</v>
      </c>
      <c r="AJ70" s="72">
        <f>61496.4+125218.28+42840+78452.67</f>
        <v>308007.34999999998</v>
      </c>
      <c r="AK70" s="62">
        <f>9405.33+19151.03+6552+11998.64</f>
        <v>47107</v>
      </c>
    </row>
    <row r="71" spans="1:37" ht="141.75" x14ac:dyDescent="0.25">
      <c r="A71" s="345" t="s">
        <v>1815</v>
      </c>
      <c r="B71" s="271">
        <v>129270</v>
      </c>
      <c r="C71" s="268">
        <v>647</v>
      </c>
      <c r="D71" s="235" t="s">
        <v>864</v>
      </c>
      <c r="E71" s="270" t="s">
        <v>988</v>
      </c>
      <c r="F71" s="419" t="s">
        <v>1427</v>
      </c>
      <c r="G71" s="125" t="s">
        <v>1551</v>
      </c>
      <c r="H71" s="11" t="s">
        <v>260</v>
      </c>
      <c r="I71" s="260" t="s">
        <v>181</v>
      </c>
      <c r="J71" s="23" t="s">
        <v>1552</v>
      </c>
      <c r="K71" s="148">
        <v>43656</v>
      </c>
      <c r="L71" s="4">
        <v>44206</v>
      </c>
      <c r="M71" s="5">
        <f t="shared" si="88"/>
        <v>84.999999975703545</v>
      </c>
      <c r="N71" s="6">
        <v>2</v>
      </c>
      <c r="O71" s="6" t="s">
        <v>713</v>
      </c>
      <c r="P71" s="6" t="s">
        <v>1326</v>
      </c>
      <c r="Q71" s="10" t="s">
        <v>208</v>
      </c>
      <c r="R71" s="8" t="s">
        <v>36</v>
      </c>
      <c r="S71" s="55">
        <f>T71+U71</f>
        <v>1749225.82</v>
      </c>
      <c r="T71" s="234">
        <v>1749225.82</v>
      </c>
      <c r="U71" s="234">
        <v>0</v>
      </c>
      <c r="V71" s="55">
        <f>W71+X71</f>
        <v>267528.65999999997</v>
      </c>
      <c r="W71" s="234">
        <v>267528.65999999997</v>
      </c>
      <c r="X71" s="234">
        <v>0</v>
      </c>
      <c r="Y71" s="55">
        <f>Z71+AA71</f>
        <v>41158.25</v>
      </c>
      <c r="Z71" s="234">
        <v>41158.25</v>
      </c>
      <c r="AA71" s="234">
        <v>0</v>
      </c>
      <c r="AB71" s="55">
        <f>AC71+AD71</f>
        <v>0</v>
      </c>
      <c r="AC71" s="234">
        <v>0</v>
      </c>
      <c r="AD71" s="234">
        <v>0</v>
      </c>
      <c r="AE71" s="63">
        <f>S71+V71+Y71+AB71</f>
        <v>2057912.73</v>
      </c>
      <c r="AF71" s="55">
        <v>0</v>
      </c>
      <c r="AG71" s="55">
        <f>AE71+AF71</f>
        <v>2057912.73</v>
      </c>
      <c r="AH71" s="60" t="s">
        <v>607</v>
      </c>
      <c r="AI71" s="61"/>
      <c r="AJ71" s="72">
        <v>0</v>
      </c>
      <c r="AK71" s="62">
        <v>0</v>
      </c>
    </row>
    <row r="72" spans="1:37" ht="157.5" x14ac:dyDescent="0.25">
      <c r="A72" s="345" t="s">
        <v>1816</v>
      </c>
      <c r="B72" s="271">
        <v>128948</v>
      </c>
      <c r="C72" s="268">
        <v>664</v>
      </c>
      <c r="D72" s="235" t="s">
        <v>170</v>
      </c>
      <c r="E72" s="270" t="s">
        <v>988</v>
      </c>
      <c r="F72" s="419" t="s">
        <v>1427</v>
      </c>
      <c r="G72" s="125" t="s">
        <v>1715</v>
      </c>
      <c r="H72" s="11" t="s">
        <v>1117</v>
      </c>
      <c r="I72" s="260" t="s">
        <v>181</v>
      </c>
      <c r="J72" s="23" t="s">
        <v>1716</v>
      </c>
      <c r="K72" s="148">
        <v>43712</v>
      </c>
      <c r="L72" s="4">
        <v>44443</v>
      </c>
      <c r="M72" s="5">
        <f t="shared" ref="M72" si="92">S72/AE72*100</f>
        <v>85.000000102885792</v>
      </c>
      <c r="N72" s="6">
        <v>2</v>
      </c>
      <c r="O72" s="6" t="s">
        <v>713</v>
      </c>
      <c r="P72" s="6" t="s">
        <v>1119</v>
      </c>
      <c r="Q72" s="10" t="s">
        <v>208</v>
      </c>
      <c r="R72" s="8" t="s">
        <v>36</v>
      </c>
      <c r="S72" s="55">
        <f>T72+U72</f>
        <v>826158.81</v>
      </c>
      <c r="T72" s="234">
        <v>826158.81</v>
      </c>
      <c r="U72" s="234">
        <v>0</v>
      </c>
      <c r="V72" s="55">
        <f>W72+X72</f>
        <v>126353.7</v>
      </c>
      <c r="W72" s="234">
        <v>126353.7</v>
      </c>
      <c r="X72" s="234">
        <v>0</v>
      </c>
      <c r="Y72" s="55">
        <f>Z72+AA72</f>
        <v>19439.03</v>
      </c>
      <c r="Z72" s="234">
        <v>19439.03</v>
      </c>
      <c r="AA72" s="234">
        <v>0</v>
      </c>
      <c r="AB72" s="55">
        <f>AC72+AD72</f>
        <v>0</v>
      </c>
      <c r="AC72" s="234">
        <v>0</v>
      </c>
      <c r="AD72" s="234">
        <v>0</v>
      </c>
      <c r="AE72" s="63">
        <f>S72+V72+Y72+AB72</f>
        <v>971951.54</v>
      </c>
      <c r="AF72" s="55">
        <v>0</v>
      </c>
      <c r="AG72" s="55">
        <f>AE72+AF72</f>
        <v>971951.54</v>
      </c>
      <c r="AH72" s="60" t="s">
        <v>607</v>
      </c>
      <c r="AI72" s="61"/>
      <c r="AJ72" s="72">
        <v>0</v>
      </c>
      <c r="AK72" s="62">
        <v>0</v>
      </c>
    </row>
    <row r="73" spans="1:37" ht="315" x14ac:dyDescent="0.25">
      <c r="A73" s="345" t="s">
        <v>1817</v>
      </c>
      <c r="B73" s="271">
        <v>118879</v>
      </c>
      <c r="C73" s="260">
        <v>452</v>
      </c>
      <c r="D73" s="235" t="s">
        <v>705</v>
      </c>
      <c r="E73" s="270" t="s">
        <v>725</v>
      </c>
      <c r="F73" s="419" t="s">
        <v>632</v>
      </c>
      <c r="G73" s="14" t="s">
        <v>823</v>
      </c>
      <c r="H73" s="26" t="s">
        <v>824</v>
      </c>
      <c r="I73" s="260" t="s">
        <v>181</v>
      </c>
      <c r="J73" s="14" t="s">
        <v>825</v>
      </c>
      <c r="K73" s="148">
        <v>43293</v>
      </c>
      <c r="L73" s="15">
        <v>43780</v>
      </c>
      <c r="M73" s="5">
        <f t="shared" si="88"/>
        <v>85</v>
      </c>
      <c r="N73" s="26">
        <v>3</v>
      </c>
      <c r="O73" s="26" t="s">
        <v>450</v>
      </c>
      <c r="P73" s="26" t="s">
        <v>450</v>
      </c>
      <c r="Q73" s="26" t="s">
        <v>208</v>
      </c>
      <c r="R73" s="6" t="s">
        <v>36</v>
      </c>
      <c r="S73" s="72">
        <v>338205.65</v>
      </c>
      <c r="T73" s="207">
        <v>338205.65</v>
      </c>
      <c r="U73" s="349">
        <v>0</v>
      </c>
      <c r="V73" s="57">
        <v>51725.57</v>
      </c>
      <c r="W73" s="207">
        <v>51725.57</v>
      </c>
      <c r="X73" s="349">
        <v>0</v>
      </c>
      <c r="Y73" s="117">
        <v>7957.78</v>
      </c>
      <c r="Z73" s="207">
        <v>7957.78</v>
      </c>
      <c r="AA73" s="207">
        <v>0</v>
      </c>
      <c r="AB73" s="55">
        <v>0</v>
      </c>
      <c r="AC73" s="349">
        <v>0</v>
      </c>
      <c r="AD73" s="349">
        <v>0</v>
      </c>
      <c r="AE73" s="62">
        <f>S73+V73+Y73+AB73</f>
        <v>397889.00000000006</v>
      </c>
      <c r="AF73" s="64">
        <v>0</v>
      </c>
      <c r="AG73" s="62">
        <f t="shared" si="70"/>
        <v>397889.00000000006</v>
      </c>
      <c r="AH73" s="60" t="s">
        <v>607</v>
      </c>
      <c r="AI73" s="116" t="s">
        <v>1390</v>
      </c>
      <c r="AJ73" s="65">
        <f>67994.82+55632.47+47444.77</f>
        <v>171072.06</v>
      </c>
      <c r="AK73" s="65">
        <f>10399.21+8508.49+7256.26</f>
        <v>26163.96</v>
      </c>
    </row>
    <row r="74" spans="1:37" ht="189" x14ac:dyDescent="0.25">
      <c r="A74" s="345" t="s">
        <v>1818</v>
      </c>
      <c r="B74" s="417">
        <v>118774</v>
      </c>
      <c r="C74" s="268">
        <v>442</v>
      </c>
      <c r="D74" s="418" t="s">
        <v>171</v>
      </c>
      <c r="E74" s="270" t="s">
        <v>725</v>
      </c>
      <c r="F74" s="419" t="s">
        <v>632</v>
      </c>
      <c r="G74" s="14" t="s">
        <v>998</v>
      </c>
      <c r="H74" s="26" t="s">
        <v>999</v>
      </c>
      <c r="I74" s="418"/>
      <c r="J74" s="14" t="s">
        <v>1100</v>
      </c>
      <c r="K74" s="148">
        <v>43341</v>
      </c>
      <c r="L74" s="15">
        <v>43798</v>
      </c>
      <c r="M74" s="5">
        <f t="shared" si="88"/>
        <v>84.999996337824783</v>
      </c>
      <c r="N74" s="48">
        <v>3</v>
      </c>
      <c r="O74" s="26" t="s">
        <v>450</v>
      </c>
      <c r="P74" s="26" t="s">
        <v>450</v>
      </c>
      <c r="Q74" s="26" t="s">
        <v>208</v>
      </c>
      <c r="R74" s="6" t="s">
        <v>36</v>
      </c>
      <c r="S74" s="62">
        <f>T74+U74</f>
        <v>220497.36</v>
      </c>
      <c r="T74" s="349">
        <v>220497.36</v>
      </c>
      <c r="U74" s="349">
        <v>0</v>
      </c>
      <c r="V74" s="57">
        <v>33723.14</v>
      </c>
      <c r="W74" s="381">
        <v>33723.14</v>
      </c>
      <c r="X74" s="349">
        <v>0</v>
      </c>
      <c r="Y74" s="62">
        <v>5188.17</v>
      </c>
      <c r="Z74" s="349">
        <v>5188.17</v>
      </c>
      <c r="AA74" s="207">
        <v>0</v>
      </c>
      <c r="AB74" s="55">
        <f t="shared" si="69"/>
        <v>0</v>
      </c>
      <c r="AC74" s="349">
        <v>0</v>
      </c>
      <c r="AD74" s="349">
        <v>0</v>
      </c>
      <c r="AE74" s="63">
        <f t="shared" ref="AE74:AE78" si="93">S74+V74+Y74+AB74</f>
        <v>259408.67</v>
      </c>
      <c r="AF74" s="66"/>
      <c r="AG74" s="55">
        <f t="shared" si="70"/>
        <v>259408.67</v>
      </c>
      <c r="AH74" s="60" t="s">
        <v>607</v>
      </c>
      <c r="AI74" s="116" t="s">
        <v>181</v>
      </c>
      <c r="AJ74" s="65">
        <f>51023.72+12955.7</f>
        <v>63979.42</v>
      </c>
      <c r="AK74" s="65">
        <f>7803.63+1981.46</f>
        <v>9785.09</v>
      </c>
    </row>
    <row r="75" spans="1:37" ht="362.25" x14ac:dyDescent="0.25">
      <c r="A75" s="345" t="s">
        <v>1819</v>
      </c>
      <c r="B75" s="417">
        <v>119901</v>
      </c>
      <c r="C75" s="268">
        <v>486</v>
      </c>
      <c r="D75" s="418" t="s">
        <v>164</v>
      </c>
      <c r="E75" s="418" t="s">
        <v>1060</v>
      </c>
      <c r="F75" s="427" t="s">
        <v>564</v>
      </c>
      <c r="G75" s="47" t="s">
        <v>1129</v>
      </c>
      <c r="H75" s="26" t="s">
        <v>824</v>
      </c>
      <c r="I75" s="418" t="s">
        <v>444</v>
      </c>
      <c r="J75" s="23" t="s">
        <v>1130</v>
      </c>
      <c r="K75" s="147">
        <v>43377</v>
      </c>
      <c r="L75" s="15">
        <v>43864</v>
      </c>
      <c r="M75" s="5">
        <f t="shared" si="88"/>
        <v>85.000004041383775</v>
      </c>
      <c r="N75" s="48">
        <v>3</v>
      </c>
      <c r="O75" s="26" t="s">
        <v>450</v>
      </c>
      <c r="P75" s="26" t="s">
        <v>1131</v>
      </c>
      <c r="Q75" s="26" t="s">
        <v>208</v>
      </c>
      <c r="R75" s="26" t="s">
        <v>568</v>
      </c>
      <c r="S75" s="62">
        <f>T75+U75</f>
        <v>420648.02</v>
      </c>
      <c r="T75" s="349">
        <v>420648.02</v>
      </c>
      <c r="U75" s="356">
        <v>0</v>
      </c>
      <c r="V75" s="57">
        <f>W75+X75</f>
        <v>64334.38</v>
      </c>
      <c r="W75" s="382">
        <v>64334.38</v>
      </c>
      <c r="X75" s="356">
        <v>0</v>
      </c>
      <c r="Y75" s="71">
        <f>Z74:Z75+AA75</f>
        <v>9897.6</v>
      </c>
      <c r="Z75" s="358">
        <v>9897.6</v>
      </c>
      <c r="AA75" s="358">
        <v>0</v>
      </c>
      <c r="AB75" s="55">
        <f t="shared" si="69"/>
        <v>0</v>
      </c>
      <c r="AC75" s="356">
        <v>0</v>
      </c>
      <c r="AD75" s="356">
        <v>0</v>
      </c>
      <c r="AE75" s="63">
        <f t="shared" si="93"/>
        <v>494880</v>
      </c>
      <c r="AF75" s="66"/>
      <c r="AG75" s="55">
        <f t="shared" si="70"/>
        <v>494880</v>
      </c>
      <c r="AH75" s="60" t="s">
        <v>892</v>
      </c>
      <c r="AI75" s="66"/>
      <c r="AJ75" s="119">
        <f>49488-933.45+20905.75</f>
        <v>69460.3</v>
      </c>
      <c r="AK75" s="72">
        <f>7425.99+3197.35</f>
        <v>10623.34</v>
      </c>
    </row>
    <row r="76" spans="1:37" ht="236.25" x14ac:dyDescent="0.25">
      <c r="A76" s="345" t="s">
        <v>1820</v>
      </c>
      <c r="B76" s="417">
        <v>126537</v>
      </c>
      <c r="C76" s="268">
        <v>569</v>
      </c>
      <c r="D76" s="418" t="s">
        <v>171</v>
      </c>
      <c r="E76" s="270" t="s">
        <v>988</v>
      </c>
      <c r="F76" s="419" t="s">
        <v>1153</v>
      </c>
      <c r="G76" s="14" t="s">
        <v>1381</v>
      </c>
      <c r="H76" s="26" t="s">
        <v>824</v>
      </c>
      <c r="I76" s="418" t="s">
        <v>444</v>
      </c>
      <c r="J76" s="23" t="s">
        <v>1382</v>
      </c>
      <c r="K76" s="148">
        <v>43567</v>
      </c>
      <c r="L76" s="15">
        <v>44450</v>
      </c>
      <c r="M76" s="5">
        <f t="shared" si="88"/>
        <v>84.999999931518204</v>
      </c>
      <c r="N76" s="195">
        <v>3</v>
      </c>
      <c r="O76" s="26" t="s">
        <v>450</v>
      </c>
      <c r="P76" s="26" t="s">
        <v>1131</v>
      </c>
      <c r="Q76" s="26" t="s">
        <v>208</v>
      </c>
      <c r="R76" s="26" t="s">
        <v>568</v>
      </c>
      <c r="S76" s="62">
        <f t="shared" ref="S76:S78" si="94">T76+U76</f>
        <v>3103013.95</v>
      </c>
      <c r="T76" s="349">
        <v>3103013.95</v>
      </c>
      <c r="U76" s="357">
        <v>0</v>
      </c>
      <c r="V76" s="57">
        <f t="shared" ref="V76:V78" si="95">W76+X76</f>
        <v>474578.61</v>
      </c>
      <c r="W76" s="382">
        <v>474578.61</v>
      </c>
      <c r="X76" s="357">
        <v>0</v>
      </c>
      <c r="Y76" s="71">
        <f t="shared" ref="Y76" si="96">Z75:Z76+AA76</f>
        <v>73012.09</v>
      </c>
      <c r="Z76" s="358">
        <v>73012.09</v>
      </c>
      <c r="AA76" s="357">
        <v>0</v>
      </c>
      <c r="AB76" s="55">
        <f t="shared" si="69"/>
        <v>0</v>
      </c>
      <c r="AC76" s="357">
        <v>0</v>
      </c>
      <c r="AD76" s="357">
        <v>0</v>
      </c>
      <c r="AE76" s="63">
        <f t="shared" si="93"/>
        <v>3650604.65</v>
      </c>
      <c r="AF76" s="72">
        <v>0</v>
      </c>
      <c r="AG76" s="55">
        <f t="shared" si="70"/>
        <v>3650604.65</v>
      </c>
      <c r="AH76" s="60" t="s">
        <v>892</v>
      </c>
      <c r="AI76" s="66"/>
      <c r="AJ76" s="119">
        <v>25269.65</v>
      </c>
      <c r="AK76" s="72">
        <v>0</v>
      </c>
    </row>
    <row r="77" spans="1:37" ht="204.75" x14ac:dyDescent="0.25">
      <c r="A77" s="345" t="s">
        <v>1821</v>
      </c>
      <c r="B77" s="417">
        <v>129241</v>
      </c>
      <c r="C77" s="424">
        <v>650</v>
      </c>
      <c r="D77" s="417" t="s">
        <v>864</v>
      </c>
      <c r="E77" s="270" t="s">
        <v>988</v>
      </c>
      <c r="F77" s="428" t="s">
        <v>1427</v>
      </c>
      <c r="G77" s="204" t="s">
        <v>1439</v>
      </c>
      <c r="H77" s="8" t="s">
        <v>1440</v>
      </c>
      <c r="I77" s="418" t="s">
        <v>181</v>
      </c>
      <c r="J77" s="23" t="s">
        <v>1428</v>
      </c>
      <c r="K77" s="148">
        <v>43608</v>
      </c>
      <c r="L77" s="15">
        <v>44462</v>
      </c>
      <c r="M77" s="5">
        <f t="shared" si="88"/>
        <v>85.000000168986716</v>
      </c>
      <c r="N77" s="201">
        <v>3</v>
      </c>
      <c r="O77" s="26" t="s">
        <v>450</v>
      </c>
      <c r="P77" s="26" t="s">
        <v>1131</v>
      </c>
      <c r="Q77" s="26" t="s">
        <v>208</v>
      </c>
      <c r="R77" s="26" t="s">
        <v>568</v>
      </c>
      <c r="S77" s="62">
        <f t="shared" si="94"/>
        <v>2514990.63</v>
      </c>
      <c r="T77" s="207">
        <v>2514990.63</v>
      </c>
      <c r="U77" s="357">
        <v>0</v>
      </c>
      <c r="V77" s="57">
        <f t="shared" si="95"/>
        <v>384645.62</v>
      </c>
      <c r="W77" s="383">
        <v>384645.62</v>
      </c>
      <c r="X77" s="357">
        <v>0</v>
      </c>
      <c r="Y77" s="72">
        <f>Z76:Z77+AA77</f>
        <v>59176.25</v>
      </c>
      <c r="Z77" s="207">
        <v>59176.25</v>
      </c>
      <c r="AA77" s="207">
        <v>0</v>
      </c>
      <c r="AB77" s="58">
        <f t="shared" si="69"/>
        <v>0</v>
      </c>
      <c r="AC77" s="357">
        <v>0</v>
      </c>
      <c r="AD77" s="357">
        <v>0</v>
      </c>
      <c r="AE77" s="63">
        <f t="shared" si="93"/>
        <v>2958812.5</v>
      </c>
      <c r="AF77" s="72">
        <v>0</v>
      </c>
      <c r="AG77" s="55">
        <f t="shared" si="70"/>
        <v>2958812.5</v>
      </c>
      <c r="AH77" s="60" t="s">
        <v>892</v>
      </c>
      <c r="AI77" s="66"/>
      <c r="AJ77" s="119">
        <v>25182.5</v>
      </c>
      <c r="AK77" s="72">
        <v>0</v>
      </c>
    </row>
    <row r="78" spans="1:37" ht="220.5" x14ac:dyDescent="0.25">
      <c r="A78" s="345" t="s">
        <v>1822</v>
      </c>
      <c r="B78" s="417">
        <v>129152</v>
      </c>
      <c r="C78" s="424">
        <v>656</v>
      </c>
      <c r="D78" s="417" t="s">
        <v>1334</v>
      </c>
      <c r="E78" s="270" t="str">
        <f t="shared" ref="E78:F78" si="97">E77</f>
        <v>AP 2/11i/2.1</v>
      </c>
      <c r="F78" s="428" t="str">
        <f t="shared" si="97"/>
        <v>CP 12 less/2018</v>
      </c>
      <c r="G78" s="204" t="s">
        <v>1450</v>
      </c>
      <c r="H78" s="175" t="s">
        <v>999</v>
      </c>
      <c r="I78" s="418" t="s">
        <v>181</v>
      </c>
      <c r="J78" s="23" t="s">
        <v>1451</v>
      </c>
      <c r="K78" s="148">
        <v>43621</v>
      </c>
      <c r="L78" s="15">
        <v>44352</v>
      </c>
      <c r="M78" s="5">
        <f t="shared" si="88"/>
        <v>85.000000171199162</v>
      </c>
      <c r="N78" s="205">
        <f t="shared" ref="N78:O78" si="98">N77</f>
        <v>3</v>
      </c>
      <c r="O78" s="26" t="str">
        <f t="shared" si="98"/>
        <v>CĂLĂRAȘI</v>
      </c>
      <c r="P78" s="26" t="s">
        <v>1131</v>
      </c>
      <c r="Q78" s="26" t="s">
        <v>208</v>
      </c>
      <c r="R78" s="26" t="s">
        <v>568</v>
      </c>
      <c r="S78" s="62">
        <f t="shared" si="94"/>
        <v>2482488.84</v>
      </c>
      <c r="T78" s="207">
        <v>2482488.84</v>
      </c>
      <c r="U78" s="357">
        <v>0</v>
      </c>
      <c r="V78" s="57">
        <f t="shared" si="95"/>
        <v>379674.76</v>
      </c>
      <c r="W78" s="383">
        <v>379674.76</v>
      </c>
      <c r="X78" s="357">
        <v>0</v>
      </c>
      <c r="Y78" s="72">
        <f>Z77:Z78+AA78</f>
        <v>58411.5</v>
      </c>
      <c r="Z78" s="207">
        <v>58411.5</v>
      </c>
      <c r="AA78" s="207">
        <v>0</v>
      </c>
      <c r="AB78" s="58">
        <f t="shared" si="69"/>
        <v>0</v>
      </c>
      <c r="AC78" s="357">
        <v>0</v>
      </c>
      <c r="AD78" s="357">
        <v>0</v>
      </c>
      <c r="AE78" s="63">
        <f t="shared" si="93"/>
        <v>2920575.0999999996</v>
      </c>
      <c r="AF78" s="72">
        <v>11900</v>
      </c>
      <c r="AG78" s="55">
        <f t="shared" si="70"/>
        <v>2932475.0999999996</v>
      </c>
      <c r="AH78" s="60" t="s">
        <v>892</v>
      </c>
      <c r="AI78" s="66"/>
      <c r="AJ78" s="119">
        <v>0</v>
      </c>
      <c r="AK78" s="72">
        <v>0</v>
      </c>
    </row>
    <row r="79" spans="1:37" ht="210" x14ac:dyDescent="0.25">
      <c r="A79" s="345" t="s">
        <v>1823</v>
      </c>
      <c r="B79" s="417">
        <v>120791</v>
      </c>
      <c r="C79" s="268">
        <v>88</v>
      </c>
      <c r="D79" s="235" t="s">
        <v>164</v>
      </c>
      <c r="E79" s="270" t="s">
        <v>988</v>
      </c>
      <c r="F79" s="419" t="s">
        <v>354</v>
      </c>
      <c r="G79" s="16" t="s">
        <v>359</v>
      </c>
      <c r="H79" s="11" t="s">
        <v>1435</v>
      </c>
      <c r="I79" s="457" t="s">
        <v>360</v>
      </c>
      <c r="J79" s="35" t="s">
        <v>361</v>
      </c>
      <c r="K79" s="148">
        <v>43180</v>
      </c>
      <c r="L79" s="15">
        <v>43667</v>
      </c>
      <c r="M79" s="5">
        <f t="shared" si="88"/>
        <v>84.174275146898083</v>
      </c>
      <c r="N79" s="6">
        <v>5</v>
      </c>
      <c r="O79" s="6" t="s">
        <v>362</v>
      </c>
      <c r="P79" s="6" t="s">
        <v>363</v>
      </c>
      <c r="Q79" s="10" t="s">
        <v>208</v>
      </c>
      <c r="R79" s="6" t="s">
        <v>36</v>
      </c>
      <c r="S79" s="57">
        <f t="shared" ref="S79:S81" si="99">T79+U79</f>
        <v>316573.06</v>
      </c>
      <c r="T79" s="234">
        <v>316573.06</v>
      </c>
      <c r="U79" s="234">
        <v>0</v>
      </c>
      <c r="V79" s="57">
        <f t="shared" si="68"/>
        <v>51997.5</v>
      </c>
      <c r="W79" s="234">
        <v>51997.5</v>
      </c>
      <c r="X79" s="234">
        <v>0</v>
      </c>
      <c r="Y79" s="57">
        <f>Z79+AA79</f>
        <v>7521.85</v>
      </c>
      <c r="Z79" s="234">
        <v>7521.85</v>
      </c>
      <c r="AA79" s="234">
        <v>0</v>
      </c>
      <c r="AB79" s="55">
        <f t="shared" si="69"/>
        <v>0</v>
      </c>
      <c r="AC79" s="234">
        <v>0</v>
      </c>
      <c r="AD79" s="234">
        <v>0</v>
      </c>
      <c r="AE79" s="63">
        <f>S79+V79+Y79+AB79</f>
        <v>376092.41</v>
      </c>
      <c r="AF79" s="55">
        <v>0</v>
      </c>
      <c r="AG79" s="55">
        <f t="shared" si="70"/>
        <v>376092.41</v>
      </c>
      <c r="AH79" s="60" t="s">
        <v>1534</v>
      </c>
      <c r="AI79" s="61" t="s">
        <v>181</v>
      </c>
      <c r="AJ79" s="72">
        <f>82700.83+16407.5-2095.99+13973.28+13168.81+13492.57+33256.21</f>
        <v>170903.21</v>
      </c>
      <c r="AK79" s="62">
        <f>10873.44+2461.12+2095.99+2014.06+2381.06+5613.51</f>
        <v>25439.18</v>
      </c>
    </row>
    <row r="80" spans="1:37" ht="300" x14ac:dyDescent="0.25">
      <c r="A80" s="345" t="s">
        <v>1824</v>
      </c>
      <c r="B80" s="418">
        <v>128386</v>
      </c>
      <c r="C80" s="268">
        <v>657</v>
      </c>
      <c r="D80" s="271" t="s">
        <v>1334</v>
      </c>
      <c r="E80" s="270" t="s">
        <v>988</v>
      </c>
      <c r="F80" s="428" t="s">
        <v>1427</v>
      </c>
      <c r="G80" s="16" t="s">
        <v>1436</v>
      </c>
      <c r="H80" s="202" t="s">
        <v>1437</v>
      </c>
      <c r="I80" s="418" t="s">
        <v>181</v>
      </c>
      <c r="J80" s="203" t="s">
        <v>1438</v>
      </c>
      <c r="K80" s="148">
        <v>43613</v>
      </c>
      <c r="L80" s="15">
        <v>44436</v>
      </c>
      <c r="M80" s="5">
        <f t="shared" si="88"/>
        <v>84.999999925635848</v>
      </c>
      <c r="N80" s="6">
        <v>5</v>
      </c>
      <c r="O80" s="6" t="s">
        <v>362</v>
      </c>
      <c r="P80" s="202" t="s">
        <v>1437</v>
      </c>
      <c r="Q80" s="10" t="s">
        <v>208</v>
      </c>
      <c r="R80" s="6" t="s">
        <v>36</v>
      </c>
      <c r="S80" s="57">
        <f t="shared" si="99"/>
        <v>3429071.68</v>
      </c>
      <c r="T80" s="234">
        <v>3429071.68</v>
      </c>
      <c r="U80" s="234">
        <v>0</v>
      </c>
      <c r="V80" s="57">
        <f t="shared" si="68"/>
        <v>524446.26</v>
      </c>
      <c r="W80" s="234">
        <v>524446.26</v>
      </c>
      <c r="X80" s="234">
        <v>0</v>
      </c>
      <c r="Y80" s="57">
        <f>Z80+AA80</f>
        <v>80684.039999999994</v>
      </c>
      <c r="Z80" s="234">
        <v>80684.039999999994</v>
      </c>
      <c r="AA80" s="234">
        <v>0</v>
      </c>
      <c r="AB80" s="55">
        <f t="shared" si="69"/>
        <v>0</v>
      </c>
      <c r="AC80" s="234">
        <v>0</v>
      </c>
      <c r="AD80" s="234">
        <v>0</v>
      </c>
      <c r="AE80" s="63">
        <f>S80+V80+Y80+AB80</f>
        <v>4034201.9800000004</v>
      </c>
      <c r="AF80" s="55">
        <v>0</v>
      </c>
      <c r="AG80" s="55">
        <f>AE80+AF80</f>
        <v>4034201.9800000004</v>
      </c>
      <c r="AH80" s="60" t="s">
        <v>607</v>
      </c>
      <c r="AI80" s="61"/>
      <c r="AJ80" s="72">
        <v>0</v>
      </c>
      <c r="AK80" s="62">
        <v>0</v>
      </c>
    </row>
    <row r="81" spans="1:37" ht="165" x14ac:dyDescent="0.25">
      <c r="A81" s="345" t="s">
        <v>1825</v>
      </c>
      <c r="B81" s="418">
        <v>128739</v>
      </c>
      <c r="C81" s="268">
        <v>630</v>
      </c>
      <c r="D81" s="271" t="s">
        <v>705</v>
      </c>
      <c r="E81" s="270" t="s">
        <v>988</v>
      </c>
      <c r="F81" s="428" t="s">
        <v>1427</v>
      </c>
      <c r="G81" s="204" t="s">
        <v>1538</v>
      </c>
      <c r="H81" s="11" t="s">
        <v>1435</v>
      </c>
      <c r="I81" s="418" t="s">
        <v>1531</v>
      </c>
      <c r="J81" s="203" t="s">
        <v>1539</v>
      </c>
      <c r="K81" s="148">
        <v>43654</v>
      </c>
      <c r="L81" s="273">
        <v>44447</v>
      </c>
      <c r="M81" s="5">
        <f t="shared" si="88"/>
        <v>85.000000167824169</v>
      </c>
      <c r="N81" s="6">
        <v>5</v>
      </c>
      <c r="O81" s="6" t="s">
        <v>362</v>
      </c>
      <c r="P81" s="6" t="s">
        <v>363</v>
      </c>
      <c r="Q81" s="10" t="s">
        <v>208</v>
      </c>
      <c r="R81" s="6" t="s">
        <v>36</v>
      </c>
      <c r="S81" s="57">
        <f t="shared" si="99"/>
        <v>2532412.23</v>
      </c>
      <c r="T81" s="234">
        <v>2532412.23</v>
      </c>
      <c r="U81" s="234">
        <v>0</v>
      </c>
      <c r="V81" s="57">
        <f t="shared" si="68"/>
        <v>387310.1</v>
      </c>
      <c r="W81" s="234">
        <v>387310.1</v>
      </c>
      <c r="X81" s="234">
        <v>0</v>
      </c>
      <c r="Y81" s="57">
        <f>Z81+AA81</f>
        <v>59586.17</v>
      </c>
      <c r="Z81" s="234">
        <v>59586.17</v>
      </c>
      <c r="AA81" s="234">
        <v>0</v>
      </c>
      <c r="AB81" s="55">
        <f t="shared" si="69"/>
        <v>0</v>
      </c>
      <c r="AC81" s="234">
        <v>0</v>
      </c>
      <c r="AD81" s="234">
        <v>0</v>
      </c>
      <c r="AE81" s="63">
        <f>S81+V81+Y81+AB81</f>
        <v>2979308.5</v>
      </c>
      <c r="AF81" s="55">
        <v>0</v>
      </c>
      <c r="AG81" s="55">
        <f>AE81+AF81</f>
        <v>2979308.5</v>
      </c>
      <c r="AH81" s="60" t="s">
        <v>607</v>
      </c>
      <c r="AI81" s="61"/>
      <c r="AJ81" s="72">
        <v>0</v>
      </c>
      <c r="AK81" s="62">
        <v>0</v>
      </c>
    </row>
    <row r="82" spans="1:37" ht="236.25" x14ac:dyDescent="0.25">
      <c r="A82" s="345" t="s">
        <v>1826</v>
      </c>
      <c r="B82" s="271">
        <v>120583</v>
      </c>
      <c r="C82" s="268">
        <v>77</v>
      </c>
      <c r="D82" s="235" t="s">
        <v>170</v>
      </c>
      <c r="E82" s="270" t="s">
        <v>988</v>
      </c>
      <c r="F82" s="419" t="s">
        <v>354</v>
      </c>
      <c r="G82" s="11" t="s">
        <v>210</v>
      </c>
      <c r="H82" s="11" t="s">
        <v>213</v>
      </c>
      <c r="I82" s="235" t="s">
        <v>181</v>
      </c>
      <c r="J82" s="3" t="s">
        <v>216</v>
      </c>
      <c r="K82" s="148">
        <v>43126</v>
      </c>
      <c r="L82" s="15">
        <v>43369</v>
      </c>
      <c r="M82" s="5">
        <f t="shared" si="88"/>
        <v>84.999999763641128</v>
      </c>
      <c r="N82" s="6">
        <v>6</v>
      </c>
      <c r="O82" s="6" t="s">
        <v>218</v>
      </c>
      <c r="P82" s="6" t="s">
        <v>219</v>
      </c>
      <c r="Q82" s="9" t="s">
        <v>208</v>
      </c>
      <c r="R82" s="6" t="s">
        <v>36</v>
      </c>
      <c r="S82" s="57">
        <f t="shared" ref="S82:S88" si="100">T82+U82</f>
        <v>359622.64</v>
      </c>
      <c r="T82" s="234">
        <v>359622.64</v>
      </c>
      <c r="U82" s="234">
        <v>0</v>
      </c>
      <c r="V82" s="57">
        <f t="shared" si="68"/>
        <v>55001.11</v>
      </c>
      <c r="W82" s="234">
        <v>55001.11</v>
      </c>
      <c r="X82" s="234">
        <v>0</v>
      </c>
      <c r="Y82" s="57">
        <f t="shared" ref="Y82" si="101">Z82+AA82</f>
        <v>8461.7099999999991</v>
      </c>
      <c r="Z82" s="234">
        <v>8461.7099999999991</v>
      </c>
      <c r="AA82" s="234">
        <v>0</v>
      </c>
      <c r="AB82" s="55">
        <f t="shared" si="69"/>
        <v>0</v>
      </c>
      <c r="AC82" s="234"/>
      <c r="AD82" s="234"/>
      <c r="AE82" s="63">
        <f>S82+V82+Y82+AB82</f>
        <v>423085.46</v>
      </c>
      <c r="AF82" s="55">
        <v>0</v>
      </c>
      <c r="AG82" s="55">
        <f t="shared" si="70"/>
        <v>423085.46</v>
      </c>
      <c r="AH82" s="60" t="s">
        <v>1092</v>
      </c>
      <c r="AI82" s="61" t="s">
        <v>181</v>
      </c>
      <c r="AJ82" s="72">
        <f>41688.25+258393</f>
        <v>300081.25</v>
      </c>
      <c r="AK82" s="67">
        <f>6375.85+39518.93</f>
        <v>45894.78</v>
      </c>
    </row>
    <row r="83" spans="1:37" ht="141.75" x14ac:dyDescent="0.25">
      <c r="A83" s="345" t="s">
        <v>1827</v>
      </c>
      <c r="B83" s="271">
        <v>110080</v>
      </c>
      <c r="C83" s="268">
        <v>118</v>
      </c>
      <c r="D83" s="235" t="s">
        <v>171</v>
      </c>
      <c r="E83" s="270" t="s">
        <v>988</v>
      </c>
      <c r="F83" s="419" t="s">
        <v>354</v>
      </c>
      <c r="G83" s="11" t="s">
        <v>328</v>
      </c>
      <c r="H83" s="11" t="s">
        <v>329</v>
      </c>
      <c r="I83" s="260" t="s">
        <v>181</v>
      </c>
      <c r="J83" s="23" t="s">
        <v>330</v>
      </c>
      <c r="K83" s="148">
        <v>43171</v>
      </c>
      <c r="L83" s="15">
        <v>43658</v>
      </c>
      <c r="M83" s="5">
        <f t="shared" si="88"/>
        <v>84.9999996799977</v>
      </c>
      <c r="N83" s="6">
        <v>6</v>
      </c>
      <c r="O83" s="6" t="s">
        <v>218</v>
      </c>
      <c r="P83" s="6" t="s">
        <v>331</v>
      </c>
      <c r="Q83" s="10" t="s">
        <v>208</v>
      </c>
      <c r="R83" s="6" t="s">
        <v>36</v>
      </c>
      <c r="S83" s="57">
        <f t="shared" si="100"/>
        <v>531246.18999999994</v>
      </c>
      <c r="T83" s="234">
        <v>531246.18999999994</v>
      </c>
      <c r="U83" s="234">
        <v>0</v>
      </c>
      <c r="V83" s="57">
        <f t="shared" si="68"/>
        <v>81249.41</v>
      </c>
      <c r="W83" s="234">
        <v>81249.41</v>
      </c>
      <c r="X83" s="234">
        <v>0</v>
      </c>
      <c r="Y83" s="57">
        <v>12499.92</v>
      </c>
      <c r="Z83" s="234">
        <v>12499.92</v>
      </c>
      <c r="AA83" s="234">
        <v>0</v>
      </c>
      <c r="AB83" s="55">
        <f t="shared" si="69"/>
        <v>0</v>
      </c>
      <c r="AC83" s="234"/>
      <c r="AD83" s="234"/>
      <c r="AE83" s="63">
        <f t="shared" ref="AE83:AE88" si="102">S83+V83+Y83+AB83</f>
        <v>624995.52</v>
      </c>
      <c r="AF83" s="55">
        <v>0</v>
      </c>
      <c r="AG83" s="55">
        <f t="shared" si="70"/>
        <v>624995.52</v>
      </c>
      <c r="AH83" s="60" t="s">
        <v>1092</v>
      </c>
      <c r="AI83" s="61" t="s">
        <v>181</v>
      </c>
      <c r="AJ83" s="72">
        <f>116443.03+69871.41+58803.54+42062.62</f>
        <v>287180.60000000003</v>
      </c>
      <c r="AK83" s="62">
        <f>17808.93+10686.22+8993.49+6433.1</f>
        <v>43921.74</v>
      </c>
    </row>
    <row r="84" spans="1:37" ht="236.25" x14ac:dyDescent="0.25">
      <c r="A84" s="345" t="s">
        <v>1828</v>
      </c>
      <c r="B84" s="271">
        <v>120588</v>
      </c>
      <c r="C84" s="260">
        <v>104</v>
      </c>
      <c r="D84" s="235" t="s">
        <v>705</v>
      </c>
      <c r="E84" s="270" t="s">
        <v>988</v>
      </c>
      <c r="F84" s="419" t="s">
        <v>354</v>
      </c>
      <c r="G84" s="39" t="s">
        <v>409</v>
      </c>
      <c r="H84" s="37" t="s">
        <v>408</v>
      </c>
      <c r="I84" s="235" t="s">
        <v>181</v>
      </c>
      <c r="J84" s="23" t="s">
        <v>410</v>
      </c>
      <c r="K84" s="148">
        <v>43201</v>
      </c>
      <c r="L84" s="15">
        <v>43749</v>
      </c>
      <c r="M84" s="5">
        <f t="shared" si="88"/>
        <v>85.000000000000014</v>
      </c>
      <c r="N84" s="2">
        <v>6</v>
      </c>
      <c r="O84" s="2" t="s">
        <v>218</v>
      </c>
      <c r="P84" s="2" t="s">
        <v>331</v>
      </c>
      <c r="Q84" s="32" t="s">
        <v>208</v>
      </c>
      <c r="R84" s="6" t="s">
        <v>36</v>
      </c>
      <c r="S84" s="57">
        <f t="shared" si="100"/>
        <v>354701.26</v>
      </c>
      <c r="T84" s="234">
        <v>354701.26</v>
      </c>
      <c r="U84" s="234">
        <v>0</v>
      </c>
      <c r="V84" s="57">
        <f t="shared" si="68"/>
        <v>54248.43</v>
      </c>
      <c r="W84" s="234">
        <v>54248.43</v>
      </c>
      <c r="X84" s="234">
        <v>0</v>
      </c>
      <c r="Y84" s="57">
        <f>Z84+AA84</f>
        <v>8345.91</v>
      </c>
      <c r="Z84" s="234">
        <v>8345.91</v>
      </c>
      <c r="AA84" s="234">
        <v>0</v>
      </c>
      <c r="AB84" s="55">
        <f t="shared" si="69"/>
        <v>0</v>
      </c>
      <c r="AC84" s="234">
        <v>0</v>
      </c>
      <c r="AD84" s="234">
        <v>0</v>
      </c>
      <c r="AE84" s="63">
        <f t="shared" si="102"/>
        <v>417295.6</v>
      </c>
      <c r="AF84" s="55">
        <v>0</v>
      </c>
      <c r="AG84" s="55">
        <f t="shared" si="70"/>
        <v>417295.6</v>
      </c>
      <c r="AH84" s="60" t="s">
        <v>607</v>
      </c>
      <c r="AI84" s="61" t="s">
        <v>1388</v>
      </c>
      <c r="AJ84" s="72">
        <f>4830.98+7367.8+23538.62+16315.75+114299.5+15554.15</f>
        <v>181906.8</v>
      </c>
      <c r="AK84" s="62">
        <f>738.85+1126.84+3600.02+2495.35+17481.1+2378.87</f>
        <v>27821.029999999995</v>
      </c>
    </row>
    <row r="85" spans="1:37" ht="173.25" x14ac:dyDescent="0.25">
      <c r="A85" s="345" t="s">
        <v>1829</v>
      </c>
      <c r="B85" s="271">
        <v>126485</v>
      </c>
      <c r="C85" s="268">
        <v>546</v>
      </c>
      <c r="D85" s="235" t="s">
        <v>864</v>
      </c>
      <c r="E85" s="270" t="s">
        <v>988</v>
      </c>
      <c r="F85" s="419" t="s">
        <v>1153</v>
      </c>
      <c r="G85" s="39" t="s">
        <v>1232</v>
      </c>
      <c r="H85" s="37" t="s">
        <v>1230</v>
      </c>
      <c r="I85" s="235" t="s">
        <v>181</v>
      </c>
      <c r="J85" s="23" t="s">
        <v>1231</v>
      </c>
      <c r="K85" s="148">
        <v>43455</v>
      </c>
      <c r="L85" s="15">
        <v>44186</v>
      </c>
      <c r="M85" s="5">
        <f t="shared" si="88"/>
        <v>85</v>
      </c>
      <c r="N85" s="2">
        <v>6</v>
      </c>
      <c r="O85" s="2" t="s">
        <v>218</v>
      </c>
      <c r="P85" s="2" t="s">
        <v>219</v>
      </c>
      <c r="Q85" s="32" t="s">
        <v>208</v>
      </c>
      <c r="R85" s="6" t="s">
        <v>36</v>
      </c>
      <c r="S85" s="57">
        <f t="shared" si="100"/>
        <v>3257796.87</v>
      </c>
      <c r="T85" s="234">
        <v>3257796.87</v>
      </c>
      <c r="U85" s="234">
        <v>0</v>
      </c>
      <c r="V85" s="57">
        <f t="shared" si="68"/>
        <v>498251.29</v>
      </c>
      <c r="W85" s="234">
        <v>498251.29</v>
      </c>
      <c r="X85" s="234">
        <v>0</v>
      </c>
      <c r="Y85" s="57">
        <f t="shared" ref="Y85:Y88" si="103">Z85+AA85</f>
        <v>76654.039999999994</v>
      </c>
      <c r="Z85" s="234">
        <v>76654.039999999994</v>
      </c>
      <c r="AA85" s="234">
        <v>0</v>
      </c>
      <c r="AB85" s="55">
        <f t="shared" si="69"/>
        <v>0</v>
      </c>
      <c r="AC85" s="234">
        <v>0</v>
      </c>
      <c r="AD85" s="234">
        <v>0</v>
      </c>
      <c r="AE85" s="63">
        <f t="shared" si="102"/>
        <v>3832702.2</v>
      </c>
      <c r="AF85" s="55"/>
      <c r="AG85" s="55">
        <f t="shared" si="70"/>
        <v>3832702.2</v>
      </c>
      <c r="AH85" s="60" t="s">
        <v>607</v>
      </c>
      <c r="AI85" s="61" t="s">
        <v>181</v>
      </c>
      <c r="AJ85" s="65">
        <v>121019.01</v>
      </c>
      <c r="AK85" s="62">
        <v>18508.78</v>
      </c>
    </row>
    <row r="86" spans="1:37" ht="141.75" x14ac:dyDescent="0.25">
      <c r="A86" s="345" t="s">
        <v>1830</v>
      </c>
      <c r="B86" s="271">
        <v>126214</v>
      </c>
      <c r="C86" s="268">
        <v>527</v>
      </c>
      <c r="D86" s="235" t="s">
        <v>1093</v>
      </c>
      <c r="E86" s="270" t="s">
        <v>988</v>
      </c>
      <c r="F86" s="419" t="s">
        <v>1153</v>
      </c>
      <c r="G86" s="39" t="s">
        <v>1272</v>
      </c>
      <c r="H86" s="37" t="s">
        <v>1273</v>
      </c>
      <c r="I86" s="235" t="s">
        <v>181</v>
      </c>
      <c r="J86" s="23" t="s">
        <v>1274</v>
      </c>
      <c r="K86" s="148">
        <v>43507</v>
      </c>
      <c r="L86" s="15">
        <v>44419</v>
      </c>
      <c r="M86" s="5">
        <f t="shared" si="88"/>
        <v>85.000000000000014</v>
      </c>
      <c r="N86" s="2">
        <v>6</v>
      </c>
      <c r="O86" s="2" t="s">
        <v>218</v>
      </c>
      <c r="P86" s="2" t="s">
        <v>331</v>
      </c>
      <c r="Q86" s="32" t="s">
        <v>208</v>
      </c>
      <c r="R86" s="6" t="s">
        <v>36</v>
      </c>
      <c r="S86" s="57">
        <f t="shared" si="100"/>
        <v>3316506.2</v>
      </c>
      <c r="T86" s="234">
        <v>3316506.2</v>
      </c>
      <c r="U86" s="234">
        <v>0</v>
      </c>
      <c r="V86" s="57">
        <f t="shared" si="68"/>
        <v>507230.36</v>
      </c>
      <c r="W86" s="234">
        <v>507230.36</v>
      </c>
      <c r="X86" s="234">
        <v>0</v>
      </c>
      <c r="Y86" s="57">
        <f t="shared" si="103"/>
        <v>78035.44</v>
      </c>
      <c r="Z86" s="234">
        <v>78035.44</v>
      </c>
      <c r="AA86" s="234">
        <v>0</v>
      </c>
      <c r="AB86" s="55">
        <f t="shared" si="69"/>
        <v>0</v>
      </c>
      <c r="AC86" s="234">
        <v>0</v>
      </c>
      <c r="AD86" s="234">
        <v>0</v>
      </c>
      <c r="AE86" s="63">
        <f t="shared" si="102"/>
        <v>3901772</v>
      </c>
      <c r="AF86" s="55">
        <v>0</v>
      </c>
      <c r="AG86" s="55">
        <f t="shared" si="70"/>
        <v>3901772</v>
      </c>
      <c r="AH86" s="60" t="s">
        <v>607</v>
      </c>
      <c r="AI86" s="61"/>
      <c r="AJ86" s="65">
        <v>0</v>
      </c>
      <c r="AK86" s="62">
        <v>0</v>
      </c>
    </row>
    <row r="87" spans="1:37" ht="220.5" x14ac:dyDescent="0.25">
      <c r="A87" s="345" t="s">
        <v>1831</v>
      </c>
      <c r="B87" s="235">
        <v>128473</v>
      </c>
      <c r="C87" s="268">
        <v>629</v>
      </c>
      <c r="D87" s="235" t="s">
        <v>705</v>
      </c>
      <c r="E87" s="270" t="str">
        <f>$E$190</f>
        <v>AP2/11i /2.1</v>
      </c>
      <c r="F87" s="423" t="s">
        <v>1427</v>
      </c>
      <c r="G87" s="39" t="s">
        <v>1507</v>
      </c>
      <c r="H87" s="37" t="s">
        <v>1508</v>
      </c>
      <c r="I87" s="235" t="s">
        <v>444</v>
      </c>
      <c r="J87" s="23" t="s">
        <v>1509</v>
      </c>
      <c r="K87" s="148">
        <v>43640</v>
      </c>
      <c r="L87" s="15">
        <v>44554</v>
      </c>
      <c r="M87" s="5">
        <f t="shared" si="88"/>
        <v>85</v>
      </c>
      <c r="N87" s="2">
        <v>6</v>
      </c>
      <c r="O87" s="2" t="s">
        <v>218</v>
      </c>
      <c r="P87" s="2" t="s">
        <v>331</v>
      </c>
      <c r="Q87" s="32" t="s">
        <v>208</v>
      </c>
      <c r="R87" s="6" t="s">
        <v>36</v>
      </c>
      <c r="S87" s="57">
        <f t="shared" si="100"/>
        <v>2773068.05</v>
      </c>
      <c r="T87" s="234">
        <v>2773068.05</v>
      </c>
      <c r="U87" s="234">
        <v>0</v>
      </c>
      <c r="V87" s="57">
        <f t="shared" si="68"/>
        <v>424116.29</v>
      </c>
      <c r="W87" s="234">
        <v>424116.29</v>
      </c>
      <c r="X87" s="234">
        <v>0</v>
      </c>
      <c r="Y87" s="57">
        <f t="shared" si="103"/>
        <v>65248.66</v>
      </c>
      <c r="Z87" s="234">
        <v>65248.66</v>
      </c>
      <c r="AA87" s="234">
        <v>0</v>
      </c>
      <c r="AB87" s="55">
        <f t="shared" si="69"/>
        <v>0</v>
      </c>
      <c r="AC87" s="234">
        <v>0</v>
      </c>
      <c r="AD87" s="234">
        <v>0</v>
      </c>
      <c r="AE87" s="63">
        <f t="shared" si="102"/>
        <v>3262433</v>
      </c>
      <c r="AF87" s="55">
        <v>102340</v>
      </c>
      <c r="AG87" s="55">
        <f t="shared" si="70"/>
        <v>3364773</v>
      </c>
      <c r="AH87" s="60" t="s">
        <v>892</v>
      </c>
      <c r="AI87" s="61"/>
      <c r="AJ87" s="65">
        <v>0</v>
      </c>
      <c r="AK87" s="62">
        <v>0</v>
      </c>
    </row>
    <row r="88" spans="1:37" ht="409.5" x14ac:dyDescent="0.25">
      <c r="A88" s="345" t="s">
        <v>1832</v>
      </c>
      <c r="B88" s="235">
        <v>129268</v>
      </c>
      <c r="C88" s="429">
        <v>655</v>
      </c>
      <c r="D88" s="235" t="s">
        <v>1334</v>
      </c>
      <c r="E88" s="270" t="str">
        <f>$E$190</f>
        <v>AP2/11i /2.1</v>
      </c>
      <c r="F88" s="423" t="s">
        <v>1427</v>
      </c>
      <c r="G88" s="39" t="s">
        <v>1492</v>
      </c>
      <c r="H88" s="37" t="s">
        <v>1553</v>
      </c>
      <c r="I88" s="235" t="s">
        <v>181</v>
      </c>
      <c r="J88" s="23" t="s">
        <v>1493</v>
      </c>
      <c r="K88" s="148">
        <v>43634</v>
      </c>
      <c r="L88" s="15">
        <v>44214</v>
      </c>
      <c r="M88" s="5">
        <f t="shared" si="88"/>
        <v>84.999999999999986</v>
      </c>
      <c r="N88" s="2">
        <v>5</v>
      </c>
      <c r="O88" s="2" t="s">
        <v>218</v>
      </c>
      <c r="P88" s="2" t="s">
        <v>1494</v>
      </c>
      <c r="Q88" s="32" t="str">
        <f t="shared" ref="Q88:R88" si="104">Q86</f>
        <v>APL</v>
      </c>
      <c r="R88" s="6" t="str">
        <f t="shared" si="104"/>
        <v>119 - Investiții în capacitatea instituțională și în eficiența administrațiilor și a serviciilor publice la nivel național, regional și local, în perspectiva realizării de reforme, a unei mai bune legiferări și a bunei guvernanțe</v>
      </c>
      <c r="S88" s="57">
        <f t="shared" si="100"/>
        <v>1962765.6</v>
      </c>
      <c r="T88" s="234">
        <v>1962765.6</v>
      </c>
      <c r="U88" s="234">
        <v>0</v>
      </c>
      <c r="V88" s="57">
        <f t="shared" si="68"/>
        <v>300187.68</v>
      </c>
      <c r="W88" s="234">
        <v>300187.68</v>
      </c>
      <c r="X88" s="234">
        <v>0</v>
      </c>
      <c r="Y88" s="57">
        <f t="shared" si="103"/>
        <v>46182.720000000001</v>
      </c>
      <c r="Z88" s="234">
        <v>46182.720000000001</v>
      </c>
      <c r="AA88" s="234">
        <v>0</v>
      </c>
      <c r="AB88" s="55">
        <f t="shared" si="69"/>
        <v>0</v>
      </c>
      <c r="AC88" s="234">
        <v>0</v>
      </c>
      <c r="AD88" s="234">
        <v>0</v>
      </c>
      <c r="AE88" s="63">
        <f t="shared" si="102"/>
        <v>2309136.0000000005</v>
      </c>
      <c r="AF88" s="55">
        <v>0</v>
      </c>
      <c r="AG88" s="55">
        <f t="shared" si="70"/>
        <v>2309136.0000000005</v>
      </c>
      <c r="AH88" s="60" t="s">
        <v>607</v>
      </c>
      <c r="AI88" s="61" t="s">
        <v>181</v>
      </c>
      <c r="AJ88" s="65">
        <v>0</v>
      </c>
      <c r="AK88" s="62">
        <v>0</v>
      </c>
    </row>
    <row r="89" spans="1:37" ht="165" x14ac:dyDescent="0.25">
      <c r="A89" s="345" t="s">
        <v>1833</v>
      </c>
      <c r="B89" s="235">
        <v>120642</v>
      </c>
      <c r="C89" s="268">
        <v>84</v>
      </c>
      <c r="D89" s="235" t="s">
        <v>167</v>
      </c>
      <c r="E89" s="270" t="s">
        <v>988</v>
      </c>
      <c r="F89" s="419" t="s">
        <v>354</v>
      </c>
      <c r="G89" s="39" t="s">
        <v>355</v>
      </c>
      <c r="H89" s="2" t="s">
        <v>356</v>
      </c>
      <c r="I89" s="235" t="s">
        <v>181</v>
      </c>
      <c r="J89" s="35" t="s">
        <v>537</v>
      </c>
      <c r="K89" s="148">
        <v>43175</v>
      </c>
      <c r="L89" s="15">
        <v>43662</v>
      </c>
      <c r="M89" s="5">
        <f t="shared" si="88"/>
        <v>84.999998716744599</v>
      </c>
      <c r="N89" s="6">
        <v>2</v>
      </c>
      <c r="O89" s="6" t="s">
        <v>357</v>
      </c>
      <c r="P89" s="6" t="s">
        <v>358</v>
      </c>
      <c r="Q89" s="10" t="s">
        <v>208</v>
      </c>
      <c r="R89" s="6" t="s">
        <v>36</v>
      </c>
      <c r="S89" s="57">
        <f>T89+U89</f>
        <v>264951.15000000002</v>
      </c>
      <c r="T89" s="234">
        <v>264951.15000000002</v>
      </c>
      <c r="U89" s="234">
        <v>0</v>
      </c>
      <c r="V89" s="57">
        <f t="shared" si="68"/>
        <v>40521.949999999997</v>
      </c>
      <c r="W89" s="234">
        <v>40521.949999999997</v>
      </c>
      <c r="X89" s="234">
        <v>0</v>
      </c>
      <c r="Y89" s="57">
        <f>Z89+AA89</f>
        <v>6234.14</v>
      </c>
      <c r="Z89" s="234">
        <v>6234.14</v>
      </c>
      <c r="AA89" s="234">
        <v>0</v>
      </c>
      <c r="AB89" s="55">
        <f t="shared" si="69"/>
        <v>0</v>
      </c>
      <c r="AC89" s="234">
        <v>0</v>
      </c>
      <c r="AD89" s="234">
        <v>0</v>
      </c>
      <c r="AE89" s="63">
        <f>S89+V89+Y89+AB89</f>
        <v>311707.24000000005</v>
      </c>
      <c r="AF89" s="55">
        <v>0</v>
      </c>
      <c r="AG89" s="55">
        <f t="shared" si="70"/>
        <v>311707.24000000005</v>
      </c>
      <c r="AH89" s="60" t="s">
        <v>1092</v>
      </c>
      <c r="AI89" s="61" t="s">
        <v>181</v>
      </c>
      <c r="AJ89" s="72">
        <f>27532.48+85262.91+44625</f>
        <v>157420.39000000001</v>
      </c>
      <c r="AK89" s="62">
        <f>4210.85+13040.2+6825</f>
        <v>24076.050000000003</v>
      </c>
    </row>
    <row r="90" spans="1:37" ht="141.75" x14ac:dyDescent="0.25">
      <c r="A90" s="345" t="s">
        <v>1834</v>
      </c>
      <c r="B90" s="271">
        <v>116521</v>
      </c>
      <c r="C90" s="260">
        <v>405</v>
      </c>
      <c r="D90" s="235" t="s">
        <v>864</v>
      </c>
      <c r="E90" s="270" t="s">
        <v>725</v>
      </c>
      <c r="F90" s="253" t="s">
        <v>632</v>
      </c>
      <c r="G90" s="11" t="s">
        <v>831</v>
      </c>
      <c r="H90" s="11" t="s">
        <v>674</v>
      </c>
      <c r="I90" s="235" t="s">
        <v>181</v>
      </c>
      <c r="J90" s="11" t="s">
        <v>832</v>
      </c>
      <c r="K90" s="148">
        <v>43304</v>
      </c>
      <c r="L90" s="15">
        <v>43792</v>
      </c>
      <c r="M90" s="5">
        <f t="shared" si="88"/>
        <v>85.000001706742694</v>
      </c>
      <c r="N90" s="2">
        <v>2</v>
      </c>
      <c r="O90" s="6" t="s">
        <v>357</v>
      </c>
      <c r="P90" s="6" t="s">
        <v>357</v>
      </c>
      <c r="Q90" s="6" t="s">
        <v>208</v>
      </c>
      <c r="R90" s="6" t="s">
        <v>36</v>
      </c>
      <c r="S90" s="57">
        <f t="shared" ref="S90" si="105">T90+U90</f>
        <v>249012.35</v>
      </c>
      <c r="T90" s="349">
        <v>249012.35</v>
      </c>
      <c r="U90" s="349">
        <v>0</v>
      </c>
      <c r="V90" s="57">
        <f t="shared" si="68"/>
        <v>38084.239999999998</v>
      </c>
      <c r="W90" s="349">
        <v>38084.239999999998</v>
      </c>
      <c r="X90" s="349">
        <v>0</v>
      </c>
      <c r="Y90" s="62">
        <f>Z90+AA90</f>
        <v>5859.11</v>
      </c>
      <c r="Z90" s="349">
        <v>5859.11</v>
      </c>
      <c r="AA90" s="349">
        <v>0</v>
      </c>
      <c r="AB90" s="55">
        <f t="shared" si="69"/>
        <v>0</v>
      </c>
      <c r="AC90" s="349">
        <v>0</v>
      </c>
      <c r="AD90" s="349">
        <v>0</v>
      </c>
      <c r="AE90" s="63">
        <f t="shared" ref="AE90" si="106">S90+V90+Y90+AB90</f>
        <v>292955.7</v>
      </c>
      <c r="AF90" s="64">
        <v>0</v>
      </c>
      <c r="AG90" s="55">
        <f t="shared" si="70"/>
        <v>292955.7</v>
      </c>
      <c r="AH90" s="60" t="s">
        <v>607</v>
      </c>
      <c r="AI90" s="64"/>
      <c r="AJ90" s="65">
        <f>32343.8+5296.22+6433.86+7045.82</f>
        <v>51119.7</v>
      </c>
      <c r="AK90" s="65">
        <f>4946.7+810.01+983.99+1077.59</f>
        <v>7818.29</v>
      </c>
    </row>
    <row r="91" spans="1:37" ht="204.75" x14ac:dyDescent="0.25">
      <c r="A91" s="345" t="s">
        <v>1835</v>
      </c>
      <c r="B91" s="271">
        <v>126409</v>
      </c>
      <c r="C91" s="260">
        <v>551</v>
      </c>
      <c r="D91" s="235" t="s">
        <v>170</v>
      </c>
      <c r="E91" s="270" t="s">
        <v>988</v>
      </c>
      <c r="F91" s="253" t="s">
        <v>1153</v>
      </c>
      <c r="G91" s="11" t="s">
        <v>1180</v>
      </c>
      <c r="H91" s="11" t="s">
        <v>674</v>
      </c>
      <c r="I91" s="235" t="s">
        <v>181</v>
      </c>
      <c r="J91" s="11" t="s">
        <v>1181</v>
      </c>
      <c r="K91" s="148">
        <v>43439</v>
      </c>
      <c r="L91" s="15">
        <v>44321</v>
      </c>
      <c r="M91" s="5">
        <f t="shared" si="88"/>
        <v>85.000000331630361</v>
      </c>
      <c r="N91" s="2">
        <v>2</v>
      </c>
      <c r="O91" s="6" t="s">
        <v>357</v>
      </c>
      <c r="P91" s="6" t="s">
        <v>357</v>
      </c>
      <c r="Q91" s="6" t="s">
        <v>208</v>
      </c>
      <c r="R91" s="6" t="s">
        <v>36</v>
      </c>
      <c r="S91" s="57">
        <f>T91+U91</f>
        <v>3075713.52</v>
      </c>
      <c r="T91" s="349">
        <v>3075713.52</v>
      </c>
      <c r="U91" s="349">
        <v>0</v>
      </c>
      <c r="V91" s="57">
        <f>W91+X91</f>
        <v>470403.23</v>
      </c>
      <c r="W91" s="349">
        <v>470403.23</v>
      </c>
      <c r="X91" s="349">
        <v>0</v>
      </c>
      <c r="Y91" s="62">
        <f>Z91+AA91</f>
        <v>72369.73000000001</v>
      </c>
      <c r="Z91" s="349">
        <v>72369.73000000001</v>
      </c>
      <c r="AA91" s="349">
        <v>0</v>
      </c>
      <c r="AB91" s="55">
        <f>AC91+AD91</f>
        <v>0</v>
      </c>
      <c r="AC91" s="349">
        <v>0</v>
      </c>
      <c r="AD91" s="349">
        <v>0</v>
      </c>
      <c r="AE91" s="63">
        <f>S91+V91+Y91+AB91</f>
        <v>3618486.48</v>
      </c>
      <c r="AF91" s="64">
        <v>0</v>
      </c>
      <c r="AG91" s="55">
        <f>AE91+AF91</f>
        <v>3618486.48</v>
      </c>
      <c r="AH91" s="60" t="s">
        <v>607</v>
      </c>
      <c r="AI91" s="64"/>
      <c r="AJ91" s="65">
        <f>8011.13+70554.57</f>
        <v>78565.700000000012</v>
      </c>
      <c r="AK91" s="65">
        <f>1225.23+10790.69</f>
        <v>12015.92</v>
      </c>
    </row>
    <row r="92" spans="1:37" ht="141.75" x14ac:dyDescent="0.25">
      <c r="A92" s="345" t="s">
        <v>1836</v>
      </c>
      <c r="B92" s="271">
        <v>125754</v>
      </c>
      <c r="C92" s="260">
        <v>531</v>
      </c>
      <c r="D92" s="235" t="s">
        <v>1093</v>
      </c>
      <c r="E92" s="270" t="s">
        <v>988</v>
      </c>
      <c r="F92" s="253" t="s">
        <v>1153</v>
      </c>
      <c r="G92" s="11" t="s">
        <v>1353</v>
      </c>
      <c r="H92" s="11" t="s">
        <v>1506</v>
      </c>
      <c r="I92" s="235" t="s">
        <v>181</v>
      </c>
      <c r="J92" s="11" t="s">
        <v>1354</v>
      </c>
      <c r="K92" s="4">
        <v>43550</v>
      </c>
      <c r="L92" s="15">
        <v>44465</v>
      </c>
      <c r="M92" s="5">
        <f t="shared" si="88"/>
        <v>85</v>
      </c>
      <c r="N92" s="2">
        <v>2</v>
      </c>
      <c r="O92" s="6" t="s">
        <v>357</v>
      </c>
      <c r="P92" s="6" t="s">
        <v>357</v>
      </c>
      <c r="Q92" s="6" t="s">
        <v>208</v>
      </c>
      <c r="R92" s="6" t="s">
        <v>36</v>
      </c>
      <c r="S92" s="57">
        <f t="shared" ref="S92:S93" si="107">T92+U92</f>
        <v>1983050</v>
      </c>
      <c r="T92" s="349">
        <v>1983050</v>
      </c>
      <c r="U92" s="349">
        <v>0</v>
      </c>
      <c r="V92" s="57">
        <f t="shared" ref="V92:V93" si="108">W92+X92</f>
        <v>303290</v>
      </c>
      <c r="W92" s="349">
        <v>303290</v>
      </c>
      <c r="X92" s="349">
        <v>0</v>
      </c>
      <c r="Y92" s="62">
        <f t="shared" ref="Y92:Y93" si="109">Z92+AA92</f>
        <v>46660</v>
      </c>
      <c r="Z92" s="349">
        <v>46660</v>
      </c>
      <c r="AA92" s="349">
        <v>0</v>
      </c>
      <c r="AB92" s="55">
        <f t="shared" ref="AB92:AB93" si="110">AC92+AD92</f>
        <v>0</v>
      </c>
      <c r="AC92" s="349">
        <v>0</v>
      </c>
      <c r="AD92" s="349">
        <v>0</v>
      </c>
      <c r="AE92" s="55">
        <f t="shared" ref="AE92:AE93" si="111">S92+V92+Y92+AB92</f>
        <v>2333000</v>
      </c>
      <c r="AF92" s="64">
        <v>0</v>
      </c>
      <c r="AG92" s="55">
        <f t="shared" ref="AG92:AG93" si="112">AE92+AF92</f>
        <v>2333000</v>
      </c>
      <c r="AH92" s="60" t="s">
        <v>607</v>
      </c>
      <c r="AI92" s="64"/>
      <c r="AJ92" s="65">
        <v>0</v>
      </c>
      <c r="AK92" s="65">
        <v>0</v>
      </c>
    </row>
    <row r="93" spans="1:37" ht="189" x14ac:dyDescent="0.25">
      <c r="A93" s="345" t="s">
        <v>1837</v>
      </c>
      <c r="B93" s="271">
        <v>109686</v>
      </c>
      <c r="C93" s="424">
        <v>122</v>
      </c>
      <c r="D93" s="271" t="s">
        <v>171</v>
      </c>
      <c r="E93" s="270" t="s">
        <v>988</v>
      </c>
      <c r="F93" s="419" t="s">
        <v>354</v>
      </c>
      <c r="G93" s="11" t="s">
        <v>1585</v>
      </c>
      <c r="H93" s="37" t="s">
        <v>674</v>
      </c>
      <c r="I93" s="260" t="s">
        <v>444</v>
      </c>
      <c r="J93" s="28" t="s">
        <v>675</v>
      </c>
      <c r="K93" s="148">
        <v>43276</v>
      </c>
      <c r="L93" s="15">
        <v>43763</v>
      </c>
      <c r="M93" s="5">
        <f t="shared" si="88"/>
        <v>85.000000118226325</v>
      </c>
      <c r="N93" s="2">
        <v>2</v>
      </c>
      <c r="O93" s="2" t="s">
        <v>676</v>
      </c>
      <c r="P93" s="2" t="s">
        <v>676</v>
      </c>
      <c r="Q93" s="41" t="s">
        <v>208</v>
      </c>
      <c r="R93" s="2" t="s">
        <v>36</v>
      </c>
      <c r="S93" s="55">
        <f t="shared" si="107"/>
        <v>359480.02</v>
      </c>
      <c r="T93" s="234">
        <v>359480.02</v>
      </c>
      <c r="U93" s="234">
        <v>0</v>
      </c>
      <c r="V93" s="55">
        <f t="shared" si="108"/>
        <v>54979.3</v>
      </c>
      <c r="W93" s="234">
        <v>54979.3</v>
      </c>
      <c r="X93" s="234">
        <v>0</v>
      </c>
      <c r="Y93" s="55">
        <f t="shared" si="109"/>
        <v>8458.35</v>
      </c>
      <c r="Z93" s="234">
        <v>8458.35</v>
      </c>
      <c r="AA93" s="234">
        <v>0</v>
      </c>
      <c r="AB93" s="55">
        <f t="shared" si="110"/>
        <v>0</v>
      </c>
      <c r="AC93" s="234"/>
      <c r="AD93" s="234"/>
      <c r="AE93" s="63">
        <f t="shared" si="111"/>
        <v>422917.67</v>
      </c>
      <c r="AF93" s="55">
        <v>0</v>
      </c>
      <c r="AG93" s="55">
        <f t="shared" si="112"/>
        <v>422917.67</v>
      </c>
      <c r="AH93" s="60" t="s">
        <v>607</v>
      </c>
      <c r="AI93" s="61" t="s">
        <v>181</v>
      </c>
      <c r="AJ93" s="72">
        <f>31070.04+37860.62+76874</f>
        <v>145804.66</v>
      </c>
      <c r="AK93" s="62">
        <f>4751.89+5790.44+11757.2</f>
        <v>22299.53</v>
      </c>
    </row>
    <row r="94" spans="1:37" ht="189" x14ac:dyDescent="0.3">
      <c r="A94" s="345" t="s">
        <v>1838</v>
      </c>
      <c r="B94" s="417">
        <v>126515</v>
      </c>
      <c r="C94" s="268">
        <v>547</v>
      </c>
      <c r="D94" s="418" t="s">
        <v>864</v>
      </c>
      <c r="E94" s="253" t="s">
        <v>988</v>
      </c>
      <c r="F94" s="253" t="s">
        <v>1153</v>
      </c>
      <c r="G94" s="135" t="s">
        <v>1294</v>
      </c>
      <c r="H94" s="14" t="s">
        <v>1295</v>
      </c>
      <c r="I94" s="418" t="s">
        <v>181</v>
      </c>
      <c r="J94" s="47" t="s">
        <v>1296</v>
      </c>
      <c r="K94" s="148">
        <v>43521</v>
      </c>
      <c r="L94" s="15">
        <v>44433</v>
      </c>
      <c r="M94" s="5">
        <f t="shared" si="88"/>
        <v>84.999999929518182</v>
      </c>
      <c r="N94" s="2">
        <v>7</v>
      </c>
      <c r="O94" s="6" t="s">
        <v>1297</v>
      </c>
      <c r="P94" s="6" t="s">
        <v>1298</v>
      </c>
      <c r="Q94" s="6" t="s">
        <v>208</v>
      </c>
      <c r="R94" s="6" t="s">
        <v>36</v>
      </c>
      <c r="S94" s="57">
        <f t="shared" ref="S94" si="113">T94+U94</f>
        <v>2411970.2999999998</v>
      </c>
      <c r="T94" s="358">
        <v>2411970.2999999998</v>
      </c>
      <c r="U94" s="349">
        <v>0</v>
      </c>
      <c r="V94" s="57">
        <f t="shared" si="68"/>
        <v>368889.58</v>
      </c>
      <c r="W94" s="358">
        <v>368889.58</v>
      </c>
      <c r="X94" s="349">
        <v>0</v>
      </c>
      <c r="Y94" s="62">
        <f>Z94+AA94</f>
        <v>56752.24</v>
      </c>
      <c r="Z94" s="358">
        <v>56752.24</v>
      </c>
      <c r="AA94" s="358">
        <v>0</v>
      </c>
      <c r="AB94" s="146">
        <f t="shared" si="69"/>
        <v>0</v>
      </c>
      <c r="AC94" s="358">
        <v>0</v>
      </c>
      <c r="AD94" s="358">
        <v>0</v>
      </c>
      <c r="AE94" s="63">
        <f t="shared" ref="AE94" si="114">S94+V94+Y94+AB94</f>
        <v>2837612.12</v>
      </c>
      <c r="AF94" s="71">
        <v>72392.72</v>
      </c>
      <c r="AG94" s="55">
        <f t="shared" si="70"/>
        <v>2910004.8400000003</v>
      </c>
      <c r="AH94" s="60" t="s">
        <v>607</v>
      </c>
      <c r="AI94" s="64"/>
      <c r="AJ94" s="65">
        <v>6945.35</v>
      </c>
      <c r="AK94" s="65">
        <v>1062.23</v>
      </c>
    </row>
    <row r="95" spans="1:37" s="18" customFormat="1" ht="252" x14ac:dyDescent="0.25">
      <c r="A95" s="345" t="s">
        <v>1839</v>
      </c>
      <c r="B95" s="271">
        <v>120631</v>
      </c>
      <c r="C95" s="268">
        <v>81</v>
      </c>
      <c r="D95" s="268" t="s">
        <v>167</v>
      </c>
      <c r="E95" s="270" t="s">
        <v>988</v>
      </c>
      <c r="F95" s="419" t="s">
        <v>354</v>
      </c>
      <c r="G95" s="17" t="s">
        <v>251</v>
      </c>
      <c r="H95" s="41" t="s">
        <v>252</v>
      </c>
      <c r="I95" s="260" t="s">
        <v>181</v>
      </c>
      <c r="J95" s="14" t="s">
        <v>1642</v>
      </c>
      <c r="K95" s="148">
        <v>43129</v>
      </c>
      <c r="L95" s="15">
        <v>43614</v>
      </c>
      <c r="M95" s="5">
        <f t="shared" si="88"/>
        <v>84.999999195969949</v>
      </c>
      <c r="N95" s="8">
        <v>3</v>
      </c>
      <c r="O95" s="8" t="s">
        <v>253</v>
      </c>
      <c r="P95" s="8" t="s">
        <v>265</v>
      </c>
      <c r="Q95" s="10" t="s">
        <v>208</v>
      </c>
      <c r="R95" s="8" t="s">
        <v>36</v>
      </c>
      <c r="S95" s="55">
        <f t="shared" ref="S95:S97" si="115">T95+U95</f>
        <v>528587.19999999995</v>
      </c>
      <c r="T95" s="359">
        <v>528587.19999999995</v>
      </c>
      <c r="U95" s="349">
        <v>0</v>
      </c>
      <c r="V95" s="57">
        <f t="shared" si="68"/>
        <v>80842.75</v>
      </c>
      <c r="W95" s="359">
        <v>80842.75</v>
      </c>
      <c r="X95" s="349">
        <v>0</v>
      </c>
      <c r="Y95" s="55">
        <f t="shared" ref="Y95:Y97" si="116">Z95+AA95</f>
        <v>12437.35</v>
      </c>
      <c r="Z95" s="359">
        <v>12437.35</v>
      </c>
      <c r="AA95" s="291">
        <v>0</v>
      </c>
      <c r="AB95" s="55">
        <f t="shared" si="69"/>
        <v>0</v>
      </c>
      <c r="AC95" s="291"/>
      <c r="AD95" s="291"/>
      <c r="AE95" s="63">
        <f>S95+V95+Y95+AB95</f>
        <v>621867.29999999993</v>
      </c>
      <c r="AF95" s="58">
        <v>0</v>
      </c>
      <c r="AG95" s="55">
        <f t="shared" si="70"/>
        <v>621867.29999999993</v>
      </c>
      <c r="AH95" s="60" t="s">
        <v>1092</v>
      </c>
      <c r="AI95" s="70" t="s">
        <v>181</v>
      </c>
      <c r="AJ95" s="72">
        <f>26400.15+283575.59+135169.98</f>
        <v>445145.72000000009</v>
      </c>
      <c r="AK95" s="67">
        <f>4037.67+43370.38+20673.05</f>
        <v>68081.099999999991</v>
      </c>
    </row>
    <row r="96" spans="1:37" ht="299.25" x14ac:dyDescent="0.25">
      <c r="A96" s="345" t="s">
        <v>1840</v>
      </c>
      <c r="B96" s="271">
        <v>118772</v>
      </c>
      <c r="C96" s="271">
        <v>441</v>
      </c>
      <c r="D96" s="271" t="s">
        <v>705</v>
      </c>
      <c r="E96" s="270" t="s">
        <v>725</v>
      </c>
      <c r="F96" s="270" t="s">
        <v>632</v>
      </c>
      <c r="G96" s="17" t="s">
        <v>894</v>
      </c>
      <c r="H96" s="41" t="s">
        <v>893</v>
      </c>
      <c r="I96" s="260" t="s">
        <v>181</v>
      </c>
      <c r="J96" s="14" t="s">
        <v>895</v>
      </c>
      <c r="K96" s="148">
        <v>43313</v>
      </c>
      <c r="L96" s="147">
        <v>43677</v>
      </c>
      <c r="M96" s="5">
        <f t="shared" si="88"/>
        <v>85</v>
      </c>
      <c r="N96" s="48">
        <v>3</v>
      </c>
      <c r="O96" s="8" t="s">
        <v>253</v>
      </c>
      <c r="P96" s="26" t="s">
        <v>896</v>
      </c>
      <c r="Q96" s="10" t="s">
        <v>208</v>
      </c>
      <c r="R96" s="8" t="s">
        <v>36</v>
      </c>
      <c r="S96" s="55">
        <f t="shared" si="115"/>
        <v>232055.1</v>
      </c>
      <c r="T96" s="349">
        <v>232055.1</v>
      </c>
      <c r="U96" s="349">
        <v>0</v>
      </c>
      <c r="V96" s="57">
        <f t="shared" si="68"/>
        <v>35490.78</v>
      </c>
      <c r="W96" s="349">
        <v>35490.78</v>
      </c>
      <c r="X96" s="349">
        <v>0</v>
      </c>
      <c r="Y96" s="55">
        <f t="shared" si="116"/>
        <v>5460.12</v>
      </c>
      <c r="Z96" s="349">
        <v>5460.12</v>
      </c>
      <c r="AA96" s="349">
        <v>0</v>
      </c>
      <c r="AB96" s="55">
        <f t="shared" si="69"/>
        <v>0</v>
      </c>
      <c r="AC96" s="349">
        <v>0</v>
      </c>
      <c r="AD96" s="349">
        <v>0</v>
      </c>
      <c r="AE96" s="63">
        <f t="shared" ref="AE96:AE97" si="117">S96+V96+Y96+AB96</f>
        <v>273006</v>
      </c>
      <c r="AF96" s="66">
        <v>0</v>
      </c>
      <c r="AG96" s="55">
        <f t="shared" si="70"/>
        <v>273006</v>
      </c>
      <c r="AH96" s="60" t="s">
        <v>1092</v>
      </c>
      <c r="AI96" s="70" t="s">
        <v>181</v>
      </c>
      <c r="AJ96" s="119">
        <f>27300.6+41576.52+27300.6+53393.2</f>
        <v>149570.91999999998</v>
      </c>
      <c r="AK96" s="72">
        <f>10534.15+12341.4</f>
        <v>22875.55</v>
      </c>
    </row>
    <row r="97" spans="1:38" ht="393.75" x14ac:dyDescent="0.25">
      <c r="A97" s="345" t="s">
        <v>1841</v>
      </c>
      <c r="B97" s="271">
        <v>129704</v>
      </c>
      <c r="C97" s="271">
        <v>671</v>
      </c>
      <c r="D97" s="271" t="s">
        <v>172</v>
      </c>
      <c r="E97" s="430" t="str">
        <f>$E$105</f>
        <v>AP 2/11i/2.1</v>
      </c>
      <c r="F97" s="270" t="e">
        <f>#REF!</f>
        <v>#REF!</v>
      </c>
      <c r="G97" s="279" t="s">
        <v>1706</v>
      </c>
      <c r="H97" s="41" t="str">
        <f>$H$96</f>
        <v>Municipiul Moreni</v>
      </c>
      <c r="I97" s="260"/>
      <c r="J97" s="14" t="s">
        <v>1705</v>
      </c>
      <c r="K97" s="274">
        <v>43706</v>
      </c>
      <c r="L97" s="275">
        <v>44194</v>
      </c>
      <c r="M97" s="5">
        <f t="shared" si="88"/>
        <v>84.999999926251363</v>
      </c>
      <c r="N97" s="278">
        <f t="shared" ref="N97:R97" si="118">N96</f>
        <v>3</v>
      </c>
      <c r="O97" s="8" t="str">
        <f t="shared" si="118"/>
        <v>Dâmbovița</v>
      </c>
      <c r="P97" s="26" t="str">
        <f t="shared" si="118"/>
        <v>Moreni</v>
      </c>
      <c r="Q97" s="10" t="str">
        <f t="shared" si="118"/>
        <v>APL</v>
      </c>
      <c r="R97" s="8" t="str">
        <f t="shared" si="118"/>
        <v>119 - Investiții în capacitatea instituțională și în eficiența administrațiilor și a serviciilor publice la nivel național, regional și local, în perspectiva realizării de reforme, a unei mai bune legiferări și a bunei guvernanțe</v>
      </c>
      <c r="S97" s="55">
        <f t="shared" si="115"/>
        <v>1152563.67</v>
      </c>
      <c r="T97" s="349">
        <v>1152563.67</v>
      </c>
      <c r="U97" s="349">
        <v>0</v>
      </c>
      <c r="V97" s="57">
        <f t="shared" si="68"/>
        <v>176274.44</v>
      </c>
      <c r="W97" s="349">
        <v>176274.44</v>
      </c>
      <c r="X97" s="349">
        <v>0</v>
      </c>
      <c r="Y97" s="55">
        <f t="shared" si="116"/>
        <v>27119.15</v>
      </c>
      <c r="Z97" s="349">
        <v>27119.15</v>
      </c>
      <c r="AA97" s="349">
        <v>0</v>
      </c>
      <c r="AB97" s="55">
        <f t="shared" si="69"/>
        <v>0</v>
      </c>
      <c r="AC97" s="349">
        <v>0</v>
      </c>
      <c r="AD97" s="349">
        <v>0</v>
      </c>
      <c r="AE97" s="63">
        <f t="shared" si="117"/>
        <v>1355957.2599999998</v>
      </c>
      <c r="AF97" s="66">
        <v>0</v>
      </c>
      <c r="AG97" s="55">
        <f t="shared" si="70"/>
        <v>1355957.2599999998</v>
      </c>
      <c r="AH97" s="60" t="s">
        <v>607</v>
      </c>
      <c r="AI97" s="61" t="s">
        <v>181</v>
      </c>
      <c r="AJ97" s="119"/>
      <c r="AK97" s="72"/>
    </row>
    <row r="98" spans="1:38" s="29" customFormat="1" ht="189" x14ac:dyDescent="0.25">
      <c r="A98" s="345" t="s">
        <v>1842</v>
      </c>
      <c r="B98" s="271">
        <v>120693</v>
      </c>
      <c r="C98" s="268">
        <v>114</v>
      </c>
      <c r="D98" s="260" t="s">
        <v>164</v>
      </c>
      <c r="E98" s="270" t="s">
        <v>988</v>
      </c>
      <c r="F98" s="419" t="s">
        <v>354</v>
      </c>
      <c r="G98" s="30" t="s">
        <v>272</v>
      </c>
      <c r="H98" s="14" t="s">
        <v>273</v>
      </c>
      <c r="I98" s="260" t="s">
        <v>181</v>
      </c>
      <c r="J98" s="28" t="s">
        <v>274</v>
      </c>
      <c r="K98" s="148">
        <v>43145</v>
      </c>
      <c r="L98" s="15">
        <v>43630</v>
      </c>
      <c r="M98" s="5">
        <f t="shared" si="88"/>
        <v>85.000000594539443</v>
      </c>
      <c r="N98" s="8">
        <v>4</v>
      </c>
      <c r="O98" s="8" t="s">
        <v>286</v>
      </c>
      <c r="P98" s="8" t="s">
        <v>275</v>
      </c>
      <c r="Q98" s="10" t="s">
        <v>208</v>
      </c>
      <c r="R98" s="8" t="s">
        <v>36</v>
      </c>
      <c r="S98" s="58">
        <f t="shared" ref="S98:S102" si="119">T98+U98</f>
        <v>357419.52000000002</v>
      </c>
      <c r="T98" s="234">
        <v>357419.52000000002</v>
      </c>
      <c r="U98" s="349">
        <v>0</v>
      </c>
      <c r="V98" s="57">
        <f t="shared" si="68"/>
        <v>54664.160000000003</v>
      </c>
      <c r="W98" s="359">
        <v>54664.160000000003</v>
      </c>
      <c r="X98" s="349">
        <v>0</v>
      </c>
      <c r="Y98" s="57">
        <f t="shared" ref="Y98:Y102" si="120">Z98+AA98</f>
        <v>8409.8700000000008</v>
      </c>
      <c r="Z98" s="359">
        <v>8409.8700000000008</v>
      </c>
      <c r="AA98" s="390">
        <v>0</v>
      </c>
      <c r="AB98" s="55">
        <f t="shared" si="69"/>
        <v>0</v>
      </c>
      <c r="AC98" s="291"/>
      <c r="AD98" s="291"/>
      <c r="AE98" s="59">
        <f>S98+V98+Y98+AB98</f>
        <v>420493.55000000005</v>
      </c>
      <c r="AF98" s="58">
        <v>0</v>
      </c>
      <c r="AG98" s="55">
        <f t="shared" si="70"/>
        <v>420493.55000000005</v>
      </c>
      <c r="AH98" s="60" t="s">
        <v>1092</v>
      </c>
      <c r="AI98" s="70" t="s">
        <v>181</v>
      </c>
      <c r="AJ98" s="72">
        <f>23754.1+18458.09+169515.5</f>
        <v>211727.69</v>
      </c>
      <c r="AK98" s="62">
        <f>3632.98+2823.02+25925.91</f>
        <v>32381.91</v>
      </c>
      <c r="AL98" s="276"/>
    </row>
    <row r="99" spans="1:38" ht="330.75" x14ac:dyDescent="0.25">
      <c r="A99" s="345" t="s">
        <v>1843</v>
      </c>
      <c r="B99" s="418">
        <v>119288</v>
      </c>
      <c r="C99" s="268">
        <v>487</v>
      </c>
      <c r="D99" s="418" t="s">
        <v>171</v>
      </c>
      <c r="E99" s="260" t="s">
        <v>1060</v>
      </c>
      <c r="F99" s="260" t="s">
        <v>564</v>
      </c>
      <c r="G99" s="157" t="s">
        <v>666</v>
      </c>
      <c r="H99" s="14" t="s">
        <v>665</v>
      </c>
      <c r="I99" s="418" t="s">
        <v>181</v>
      </c>
      <c r="J99" s="47" t="s">
        <v>667</v>
      </c>
      <c r="K99" s="148">
        <v>43272</v>
      </c>
      <c r="L99" s="15">
        <v>43667</v>
      </c>
      <c r="M99" s="5">
        <f t="shared" si="88"/>
        <v>85</v>
      </c>
      <c r="N99" s="8">
        <v>4</v>
      </c>
      <c r="O99" s="8" t="s">
        <v>286</v>
      </c>
      <c r="P99" s="8" t="s">
        <v>443</v>
      </c>
      <c r="Q99" s="10" t="s">
        <v>208</v>
      </c>
      <c r="R99" s="8" t="s">
        <v>36</v>
      </c>
      <c r="S99" s="58">
        <f t="shared" si="119"/>
        <v>360400</v>
      </c>
      <c r="T99" s="349">
        <v>360400</v>
      </c>
      <c r="U99" s="349">
        <v>0</v>
      </c>
      <c r="V99" s="57">
        <f t="shared" si="68"/>
        <v>55120</v>
      </c>
      <c r="W99" s="234">
        <v>55120</v>
      </c>
      <c r="X99" s="271">
        <v>0</v>
      </c>
      <c r="Y99" s="57">
        <f t="shared" si="120"/>
        <v>8480</v>
      </c>
      <c r="Z99" s="391">
        <v>8480</v>
      </c>
      <c r="AA99" s="349">
        <v>0</v>
      </c>
      <c r="AB99" s="55">
        <f t="shared" si="69"/>
        <v>0</v>
      </c>
      <c r="AC99" s="391">
        <v>0</v>
      </c>
      <c r="AD99" s="391">
        <v>0</v>
      </c>
      <c r="AE99" s="59">
        <f t="shared" ref="AE99:AE102" si="121">S99+V99+Y99+AB99</f>
        <v>424000</v>
      </c>
      <c r="AF99" s="66"/>
      <c r="AG99" s="55">
        <f t="shared" si="70"/>
        <v>424000</v>
      </c>
      <c r="AH99" s="60" t="s">
        <v>1092</v>
      </c>
      <c r="AI99" s="70" t="s">
        <v>1413</v>
      </c>
      <c r="AJ99" s="72">
        <f>37115.76+50985.81+52794.78</f>
        <v>140896.35</v>
      </c>
      <c r="AK99" s="62">
        <f>5676.53+7797.82+8074.49</f>
        <v>21548.839999999997</v>
      </c>
    </row>
    <row r="100" spans="1:38" s="121" customFormat="1" ht="409.5" x14ac:dyDescent="0.25">
      <c r="A100" s="345" t="s">
        <v>1844</v>
      </c>
      <c r="B100" s="431">
        <v>118780</v>
      </c>
      <c r="C100" s="432">
        <v>443</v>
      </c>
      <c r="D100" s="432" t="s">
        <v>171</v>
      </c>
      <c r="E100" s="433" t="s">
        <v>725</v>
      </c>
      <c r="F100" s="433" t="s">
        <v>632</v>
      </c>
      <c r="G100" s="120" t="s">
        <v>876</v>
      </c>
      <c r="H100" s="156" t="s">
        <v>273</v>
      </c>
      <c r="I100" s="260" t="s">
        <v>877</v>
      </c>
      <c r="J100" s="14" t="s">
        <v>878</v>
      </c>
      <c r="K100" s="147">
        <v>43312</v>
      </c>
      <c r="L100" s="15">
        <v>43677</v>
      </c>
      <c r="M100" s="5">
        <f t="shared" si="88"/>
        <v>84.150233941460755</v>
      </c>
      <c r="N100" s="8">
        <v>4</v>
      </c>
      <c r="O100" s="8" t="s">
        <v>621</v>
      </c>
      <c r="P100" s="8" t="s">
        <v>879</v>
      </c>
      <c r="Q100" s="10" t="s">
        <v>208</v>
      </c>
      <c r="R100" s="8" t="s">
        <v>36</v>
      </c>
      <c r="S100" s="58">
        <f t="shared" si="119"/>
        <v>230233.66</v>
      </c>
      <c r="T100" s="207">
        <v>230233.66</v>
      </c>
      <c r="U100" s="207">
        <v>0</v>
      </c>
      <c r="V100" s="57">
        <f t="shared" si="68"/>
        <v>37892.730000000003</v>
      </c>
      <c r="W100" s="207">
        <v>37892.730000000003</v>
      </c>
      <c r="X100" s="207">
        <v>0</v>
      </c>
      <c r="Y100" s="57">
        <f t="shared" si="120"/>
        <v>2736.73</v>
      </c>
      <c r="Z100" s="207">
        <v>2736.73</v>
      </c>
      <c r="AA100" s="207">
        <v>0</v>
      </c>
      <c r="AB100" s="55">
        <f t="shared" si="69"/>
        <v>2735.24</v>
      </c>
      <c r="AC100" s="207">
        <v>2735.24</v>
      </c>
      <c r="AD100" s="351">
        <v>0</v>
      </c>
      <c r="AE100" s="59">
        <f t="shared" si="121"/>
        <v>273598.36</v>
      </c>
      <c r="AF100" s="60">
        <v>0</v>
      </c>
      <c r="AG100" s="55">
        <f t="shared" si="70"/>
        <v>273598.36</v>
      </c>
      <c r="AH100" s="60" t="s">
        <v>1092</v>
      </c>
      <c r="AI100" s="70" t="s">
        <v>181</v>
      </c>
      <c r="AJ100" s="119">
        <f>20000+13556.78+14548.44+16155.2+43317.01+18404.95</f>
        <v>125982.37999999999</v>
      </c>
      <c r="AK100" s="72">
        <f>5449.34+2345.17+2850.92+7319.42+2814.87</f>
        <v>20779.719999999998</v>
      </c>
    </row>
    <row r="101" spans="1:38" ht="409.5" x14ac:dyDescent="0.25">
      <c r="A101" s="345" t="s">
        <v>1845</v>
      </c>
      <c r="B101" s="420">
        <v>119830</v>
      </c>
      <c r="C101" s="260">
        <v>474</v>
      </c>
      <c r="D101" s="260" t="s">
        <v>168</v>
      </c>
      <c r="E101" s="260" t="s">
        <v>1060</v>
      </c>
      <c r="F101" s="260" t="s">
        <v>564</v>
      </c>
      <c r="G101" s="132" t="s">
        <v>943</v>
      </c>
      <c r="H101" s="26" t="s">
        <v>944</v>
      </c>
      <c r="I101" s="418" t="s">
        <v>181</v>
      </c>
      <c r="J101" s="14" t="s">
        <v>945</v>
      </c>
      <c r="K101" s="148">
        <v>43322</v>
      </c>
      <c r="L101" s="15">
        <v>43779</v>
      </c>
      <c r="M101" s="5">
        <f t="shared" si="88"/>
        <v>84.999997553055863</v>
      </c>
      <c r="N101" s="8">
        <v>4</v>
      </c>
      <c r="O101" s="8" t="s">
        <v>621</v>
      </c>
      <c r="P101" s="8" t="s">
        <v>946</v>
      </c>
      <c r="Q101" s="10" t="s">
        <v>208</v>
      </c>
      <c r="R101" s="8" t="s">
        <v>36</v>
      </c>
      <c r="S101" s="58">
        <f t="shared" si="119"/>
        <v>347372.04</v>
      </c>
      <c r="T101" s="207">
        <v>347372.04</v>
      </c>
      <c r="U101" s="207">
        <v>0</v>
      </c>
      <c r="V101" s="57">
        <f t="shared" si="68"/>
        <v>53127.519999999997</v>
      </c>
      <c r="W101" s="351">
        <v>53127.519999999997</v>
      </c>
      <c r="X101" s="351">
        <v>0</v>
      </c>
      <c r="Y101" s="57">
        <f t="shared" si="120"/>
        <v>8173.4400000000005</v>
      </c>
      <c r="Z101" s="207">
        <v>8173.4400000000005</v>
      </c>
      <c r="AA101" s="207">
        <v>0</v>
      </c>
      <c r="AB101" s="58">
        <f t="shared" si="69"/>
        <v>0</v>
      </c>
      <c r="AC101" s="373">
        <v>0</v>
      </c>
      <c r="AD101" s="373">
        <v>0</v>
      </c>
      <c r="AE101" s="59">
        <f>S101+V101+Y101+AB101</f>
        <v>408673</v>
      </c>
      <c r="AF101" s="59">
        <v>0</v>
      </c>
      <c r="AG101" s="55">
        <f t="shared" si="70"/>
        <v>408673</v>
      </c>
      <c r="AH101" s="64" t="s">
        <v>607</v>
      </c>
      <c r="AI101" s="70" t="s">
        <v>1099</v>
      </c>
      <c r="AJ101" s="119">
        <f>35636.51+21048.64-1411.02</f>
        <v>55274.130000000005</v>
      </c>
      <c r="AK101" s="62">
        <f>2750.67+1411.02</f>
        <v>4161.6900000000005</v>
      </c>
    </row>
    <row r="102" spans="1:38" ht="346.5" x14ac:dyDescent="0.25">
      <c r="A102" s="345" t="s">
        <v>1846</v>
      </c>
      <c r="B102" s="420">
        <v>118793</v>
      </c>
      <c r="C102" s="260">
        <v>446</v>
      </c>
      <c r="D102" s="420" t="s">
        <v>1093</v>
      </c>
      <c r="E102" s="270" t="s">
        <v>725</v>
      </c>
      <c r="F102" s="260" t="s">
        <v>632</v>
      </c>
      <c r="G102" s="14" t="s">
        <v>947</v>
      </c>
      <c r="H102" s="26" t="s">
        <v>944</v>
      </c>
      <c r="I102" s="418"/>
      <c r="J102" s="294" t="s">
        <v>948</v>
      </c>
      <c r="K102" s="148">
        <v>43322</v>
      </c>
      <c r="L102" s="147">
        <v>43778</v>
      </c>
      <c r="M102" s="295">
        <f t="shared" si="88"/>
        <v>85.000000000000014</v>
      </c>
      <c r="N102" s="8">
        <v>4</v>
      </c>
      <c r="O102" s="8" t="s">
        <v>621</v>
      </c>
      <c r="P102" s="8" t="s">
        <v>946</v>
      </c>
      <c r="Q102" s="26" t="s">
        <v>208</v>
      </c>
      <c r="R102" s="26" t="s">
        <v>36</v>
      </c>
      <c r="S102" s="58">
        <f t="shared" si="119"/>
        <v>239897.2</v>
      </c>
      <c r="T102" s="360">
        <v>239897.2</v>
      </c>
      <c r="U102" s="351">
        <v>0</v>
      </c>
      <c r="V102" s="57">
        <f t="shared" si="68"/>
        <v>36690.160000000003</v>
      </c>
      <c r="W102" s="351">
        <v>36690.160000000003</v>
      </c>
      <c r="X102" s="351">
        <v>0</v>
      </c>
      <c r="Y102" s="57">
        <f t="shared" si="120"/>
        <v>5644.6399999999994</v>
      </c>
      <c r="Z102" s="207">
        <v>5644.6399999999994</v>
      </c>
      <c r="AA102" s="207">
        <v>0</v>
      </c>
      <c r="AB102" s="58">
        <f t="shared" si="69"/>
        <v>0</v>
      </c>
      <c r="AC102" s="351"/>
      <c r="AD102" s="351"/>
      <c r="AE102" s="59">
        <f t="shared" si="121"/>
        <v>282232</v>
      </c>
      <c r="AF102" s="60"/>
      <c r="AG102" s="58">
        <f t="shared" si="70"/>
        <v>282232</v>
      </c>
      <c r="AH102" s="60" t="s">
        <v>1722</v>
      </c>
      <c r="AI102" s="66" t="s">
        <v>1647</v>
      </c>
      <c r="AJ102" s="119">
        <f>28223.2-2998.75+22606.01+22326.95-3666.19+27637.47-3510+26460+23562.85</f>
        <v>140641.54</v>
      </c>
      <c r="AK102" s="72">
        <f>2998.75+3414.71+3666.19+3510+3603.73</f>
        <v>17193.38</v>
      </c>
    </row>
    <row r="103" spans="1:38" s="170" customFormat="1" ht="204.75" x14ac:dyDescent="0.25">
      <c r="A103" s="345" t="s">
        <v>1847</v>
      </c>
      <c r="B103" s="434">
        <v>126292</v>
      </c>
      <c r="C103" s="435">
        <v>514</v>
      </c>
      <c r="D103" s="436" t="s">
        <v>864</v>
      </c>
      <c r="E103" s="430" t="s">
        <v>988</v>
      </c>
      <c r="F103" s="361" t="s">
        <v>1153</v>
      </c>
      <c r="G103" s="168" t="s">
        <v>1173</v>
      </c>
      <c r="H103" s="160" t="s">
        <v>1174</v>
      </c>
      <c r="I103" s="458" t="s">
        <v>181</v>
      </c>
      <c r="J103" s="169" t="s">
        <v>1175</v>
      </c>
      <c r="K103" s="148">
        <v>43439</v>
      </c>
      <c r="L103" s="15">
        <v>43926</v>
      </c>
      <c r="M103" s="5">
        <f t="shared" si="88"/>
        <v>84.999999635678833</v>
      </c>
      <c r="N103" s="174">
        <v>4</v>
      </c>
      <c r="O103" s="160" t="s">
        <v>621</v>
      </c>
      <c r="P103" s="160" t="s">
        <v>443</v>
      </c>
      <c r="Q103" s="160" t="s">
        <v>208</v>
      </c>
      <c r="R103" s="26" t="s">
        <v>36</v>
      </c>
      <c r="S103" s="58">
        <f>T103+U103</f>
        <v>2333106.34</v>
      </c>
      <c r="T103" s="207">
        <v>2333106.34</v>
      </c>
      <c r="U103" s="207">
        <v>0</v>
      </c>
      <c r="V103" s="57">
        <f>W103+X103</f>
        <v>356828.04</v>
      </c>
      <c r="W103" s="207">
        <v>356828.04</v>
      </c>
      <c r="X103" s="207">
        <v>0</v>
      </c>
      <c r="Y103" s="57">
        <f>Z103+AA103</f>
        <v>54896.62</v>
      </c>
      <c r="Z103" s="207">
        <v>54896.62</v>
      </c>
      <c r="AA103" s="207">
        <v>0</v>
      </c>
      <c r="AB103" s="57">
        <v>0</v>
      </c>
      <c r="AC103" s="207">
        <v>0</v>
      </c>
      <c r="AD103" s="207">
        <v>0</v>
      </c>
      <c r="AE103" s="59">
        <f>S103+V103+Y103+AB103</f>
        <v>2744831</v>
      </c>
      <c r="AF103" s="72"/>
      <c r="AG103" s="58">
        <f>AE103+AF103</f>
        <v>2744831</v>
      </c>
      <c r="AH103" s="60" t="s">
        <v>892</v>
      </c>
      <c r="AI103" s="71"/>
      <c r="AJ103" s="119">
        <v>0</v>
      </c>
      <c r="AK103" s="72">
        <v>0</v>
      </c>
    </row>
    <row r="104" spans="1:38" s="188" customFormat="1" ht="189" x14ac:dyDescent="0.25">
      <c r="A104" s="345" t="s">
        <v>1848</v>
      </c>
      <c r="B104" s="434">
        <v>126320</v>
      </c>
      <c r="C104" s="435">
        <v>515</v>
      </c>
      <c r="D104" s="436" t="s">
        <v>864</v>
      </c>
      <c r="E104" s="361" t="s">
        <v>988</v>
      </c>
      <c r="F104" s="361" t="s">
        <v>1153</v>
      </c>
      <c r="G104" s="182" t="s">
        <v>1305</v>
      </c>
      <c r="H104" s="183" t="s">
        <v>273</v>
      </c>
      <c r="I104" s="458" t="s">
        <v>1308</v>
      </c>
      <c r="J104" s="189" t="s">
        <v>1307</v>
      </c>
      <c r="K104" s="148">
        <v>43531</v>
      </c>
      <c r="L104" s="15">
        <v>44446</v>
      </c>
      <c r="M104" s="5">
        <f t="shared" si="88"/>
        <v>84.263733041248912</v>
      </c>
      <c r="N104" s="174">
        <v>4</v>
      </c>
      <c r="O104" s="160" t="s">
        <v>621</v>
      </c>
      <c r="P104" s="160" t="s">
        <v>879</v>
      </c>
      <c r="Q104" s="160" t="s">
        <v>208</v>
      </c>
      <c r="R104" s="6" t="s">
        <v>36</v>
      </c>
      <c r="S104" s="184">
        <f t="shared" ref="S104" si="122">T104+U104</f>
        <v>2765436.54</v>
      </c>
      <c r="T104" s="361">
        <v>2765436.54</v>
      </c>
      <c r="U104" s="361">
        <v>0</v>
      </c>
      <c r="V104" s="185">
        <f t="shared" ref="V104" si="123">W104+X104</f>
        <v>450808.12</v>
      </c>
      <c r="W104" s="361">
        <v>450808.12</v>
      </c>
      <c r="X104" s="361">
        <v>0</v>
      </c>
      <c r="Y104" s="185">
        <f t="shared" ref="Y104" si="124">Z104+AA104</f>
        <v>28427.56</v>
      </c>
      <c r="Z104" s="361">
        <v>28427.56</v>
      </c>
      <c r="AA104" s="361">
        <v>0</v>
      </c>
      <c r="AB104" s="24">
        <f t="shared" ref="AB104" si="125">AC104+AD104</f>
        <v>37210.080000000002</v>
      </c>
      <c r="AC104" s="361">
        <v>37210.080000000002</v>
      </c>
      <c r="AD104" s="361">
        <v>0</v>
      </c>
      <c r="AE104" s="186">
        <f>S104+V104+Y104+AB104</f>
        <v>3281882.3000000003</v>
      </c>
      <c r="AF104" s="160">
        <v>0</v>
      </c>
      <c r="AG104" s="184">
        <f t="shared" ref="AG104" si="126">AE104+AF104</f>
        <v>3281882.3000000003</v>
      </c>
      <c r="AH104" s="60" t="s">
        <v>607</v>
      </c>
      <c r="AI104" s="187"/>
      <c r="AJ104" s="119">
        <v>14000</v>
      </c>
      <c r="AK104" s="72">
        <v>0</v>
      </c>
    </row>
    <row r="105" spans="1:38" s="170" customFormat="1" ht="267.75" x14ac:dyDescent="0.25">
      <c r="A105" s="345" t="s">
        <v>1849</v>
      </c>
      <c r="B105" s="434">
        <v>128004</v>
      </c>
      <c r="C105" s="435">
        <v>635</v>
      </c>
      <c r="D105" s="436" t="s">
        <v>170</v>
      </c>
      <c r="E105" s="430" t="s">
        <v>988</v>
      </c>
      <c r="F105" s="428" t="s">
        <v>1427</v>
      </c>
      <c r="G105" s="168" t="s">
        <v>1448</v>
      </c>
      <c r="H105" s="160" t="s">
        <v>1447</v>
      </c>
      <c r="I105" s="458" t="s">
        <v>181</v>
      </c>
      <c r="J105" s="169" t="s">
        <v>1449</v>
      </c>
      <c r="K105" s="148">
        <v>43620</v>
      </c>
      <c r="L105" s="15">
        <v>44351</v>
      </c>
      <c r="M105" s="5">
        <f t="shared" si="88"/>
        <v>85</v>
      </c>
      <c r="N105" s="174">
        <v>4</v>
      </c>
      <c r="O105" s="160" t="s">
        <v>621</v>
      </c>
      <c r="P105" s="160" t="s">
        <v>443</v>
      </c>
      <c r="Q105" s="160" t="s">
        <v>208</v>
      </c>
      <c r="R105" s="160" t="s">
        <v>36</v>
      </c>
      <c r="S105" s="58">
        <f>T105+U105</f>
        <v>1919118.95</v>
      </c>
      <c r="T105" s="207">
        <v>1919118.95</v>
      </c>
      <c r="U105" s="207">
        <v>0</v>
      </c>
      <c r="V105" s="57">
        <f>W105+X105</f>
        <v>293512.31</v>
      </c>
      <c r="W105" s="207">
        <v>293512.31</v>
      </c>
      <c r="X105" s="207">
        <v>0</v>
      </c>
      <c r="Y105" s="57">
        <f>Z105+AA105</f>
        <v>45155.74</v>
      </c>
      <c r="Z105" s="207">
        <v>45155.74</v>
      </c>
      <c r="AA105" s="207">
        <v>0</v>
      </c>
      <c r="AB105" s="57">
        <v>0</v>
      </c>
      <c r="AC105" s="207">
        <v>0</v>
      </c>
      <c r="AD105" s="207">
        <v>0</v>
      </c>
      <c r="AE105" s="59">
        <f>S105+V105+Y105+AB105</f>
        <v>2257787</v>
      </c>
      <c r="AF105" s="72">
        <v>0</v>
      </c>
      <c r="AG105" s="58">
        <f>AE105+AF105</f>
        <v>2257787</v>
      </c>
      <c r="AH105" s="60" t="s">
        <v>892</v>
      </c>
      <c r="AI105" s="71"/>
      <c r="AJ105" s="119">
        <v>0</v>
      </c>
      <c r="AK105" s="72">
        <v>0</v>
      </c>
    </row>
    <row r="106" spans="1:38" s="170" customFormat="1" ht="141.75" x14ac:dyDescent="0.25">
      <c r="A106" s="345" t="s">
        <v>1850</v>
      </c>
      <c r="B106" s="437">
        <v>126500</v>
      </c>
      <c r="C106" s="435">
        <v>501</v>
      </c>
      <c r="D106" s="436" t="s">
        <v>167</v>
      </c>
      <c r="E106" s="430" t="s">
        <v>988</v>
      </c>
      <c r="F106" s="428" t="s">
        <v>1283</v>
      </c>
      <c r="G106" s="209" t="s">
        <v>1461</v>
      </c>
      <c r="H106" s="160" t="s">
        <v>877</v>
      </c>
      <c r="I106" s="361" t="s">
        <v>316</v>
      </c>
      <c r="J106" s="169" t="s">
        <v>1462</v>
      </c>
      <c r="K106" s="148">
        <v>43626</v>
      </c>
      <c r="L106" s="15">
        <v>44357</v>
      </c>
      <c r="M106" s="5">
        <f t="shared" si="88"/>
        <v>83.560067781888534</v>
      </c>
      <c r="N106" s="174">
        <v>4</v>
      </c>
      <c r="O106" s="160" t="s">
        <v>621</v>
      </c>
      <c r="P106" s="160" t="s">
        <v>443</v>
      </c>
      <c r="Q106" s="160" t="s">
        <v>208</v>
      </c>
      <c r="R106" s="160" t="s">
        <v>36</v>
      </c>
      <c r="S106" s="58">
        <f>T106+U106</f>
        <v>1824019.35</v>
      </c>
      <c r="T106" s="207">
        <v>1824019.35</v>
      </c>
      <c r="U106" s="207">
        <v>0</v>
      </c>
      <c r="V106" s="57">
        <f>W106+X106</f>
        <v>315206.96999999997</v>
      </c>
      <c r="W106" s="207">
        <v>315206.96999999997</v>
      </c>
      <c r="X106" s="207">
        <v>0</v>
      </c>
      <c r="Y106" s="57">
        <f>Z106+AA106</f>
        <v>6678.79</v>
      </c>
      <c r="Z106" s="207">
        <v>6678.79</v>
      </c>
      <c r="AA106" s="207">
        <v>0</v>
      </c>
      <c r="AB106" s="57">
        <f>AC106+AD106</f>
        <v>36978.89</v>
      </c>
      <c r="AC106" s="207">
        <v>36978.89</v>
      </c>
      <c r="AD106" s="207">
        <v>0</v>
      </c>
      <c r="AE106" s="59">
        <f>S106+V106+Y106+AB106</f>
        <v>2182884.0000000005</v>
      </c>
      <c r="AF106" s="72">
        <v>0</v>
      </c>
      <c r="AG106" s="58">
        <f>AE106+AF106</f>
        <v>2182884.0000000005</v>
      </c>
      <c r="AH106" s="60" t="s">
        <v>892</v>
      </c>
      <c r="AI106" s="71" t="s">
        <v>372</v>
      </c>
      <c r="AJ106" s="119">
        <v>0</v>
      </c>
      <c r="AK106" s="72">
        <v>0</v>
      </c>
    </row>
    <row r="107" spans="1:38" ht="299.25" x14ac:dyDescent="0.25">
      <c r="A107" s="345" t="s">
        <v>1851</v>
      </c>
      <c r="B107" s="271">
        <v>120590</v>
      </c>
      <c r="C107" s="268">
        <v>69</v>
      </c>
      <c r="D107" s="235" t="s">
        <v>705</v>
      </c>
      <c r="E107" s="270" t="s">
        <v>988</v>
      </c>
      <c r="F107" s="419" t="s">
        <v>354</v>
      </c>
      <c r="G107" s="11" t="s">
        <v>209</v>
      </c>
      <c r="H107" s="11" t="s">
        <v>212</v>
      </c>
      <c r="I107" s="235" t="s">
        <v>181</v>
      </c>
      <c r="J107" s="3" t="s">
        <v>215</v>
      </c>
      <c r="K107" s="148">
        <v>43129</v>
      </c>
      <c r="L107" s="15">
        <v>43553</v>
      </c>
      <c r="M107" s="5">
        <f t="shared" si="88"/>
        <v>85</v>
      </c>
      <c r="N107" s="6">
        <v>2</v>
      </c>
      <c r="O107" s="6" t="s">
        <v>222</v>
      </c>
      <c r="P107" s="6" t="s">
        <v>220</v>
      </c>
      <c r="Q107" s="9" t="s">
        <v>208</v>
      </c>
      <c r="R107" s="6" t="s">
        <v>36</v>
      </c>
      <c r="S107" s="55">
        <f t="shared" ref="S107:S108" si="127">T107+U107</f>
        <v>312939.57</v>
      </c>
      <c r="T107" s="234">
        <v>312939.57</v>
      </c>
      <c r="U107" s="234">
        <v>0</v>
      </c>
      <c r="V107" s="57">
        <f t="shared" si="68"/>
        <v>47861.35</v>
      </c>
      <c r="W107" s="234">
        <v>47861.35</v>
      </c>
      <c r="X107" s="234">
        <v>0</v>
      </c>
      <c r="Y107" s="55">
        <f t="shared" ref="Y107:Y108" si="128">Z107+AA107</f>
        <v>7363.28</v>
      </c>
      <c r="Z107" s="234">
        <v>7363.28</v>
      </c>
      <c r="AA107" s="234">
        <v>0</v>
      </c>
      <c r="AB107" s="55">
        <f t="shared" si="69"/>
        <v>0</v>
      </c>
      <c r="AC107" s="234"/>
      <c r="AD107" s="234"/>
      <c r="AE107" s="63">
        <f>S107+V107+Y107+AB107</f>
        <v>368164.2</v>
      </c>
      <c r="AF107" s="55">
        <v>0</v>
      </c>
      <c r="AG107" s="55">
        <f t="shared" si="70"/>
        <v>368164.2</v>
      </c>
      <c r="AH107" s="60" t="s">
        <v>1092</v>
      </c>
      <c r="AI107" s="61" t="s">
        <v>181</v>
      </c>
      <c r="AJ107" s="72">
        <f>9308-1234.73+160612.06+49663.87+46769.73+51648.35</f>
        <v>316767.27999999997</v>
      </c>
      <c r="AK107" s="67">
        <f>1234.73+24564.19+7595.65+7153.01+7899.17</f>
        <v>48446.75</v>
      </c>
    </row>
    <row r="108" spans="1:38" s="139" customFormat="1" ht="409.5" x14ac:dyDescent="0.25">
      <c r="A108" s="345" t="s">
        <v>1852</v>
      </c>
      <c r="B108" s="420">
        <v>118013</v>
      </c>
      <c r="C108" s="260">
        <v>419</v>
      </c>
      <c r="D108" s="260" t="s">
        <v>1334</v>
      </c>
      <c r="E108" s="270" t="s">
        <v>725</v>
      </c>
      <c r="F108" s="260" t="s">
        <v>632</v>
      </c>
      <c r="G108" s="14" t="s">
        <v>989</v>
      </c>
      <c r="H108" s="14" t="s">
        <v>990</v>
      </c>
      <c r="I108" s="260" t="s">
        <v>181</v>
      </c>
      <c r="J108" s="14" t="s">
        <v>991</v>
      </c>
      <c r="K108" s="147">
        <v>43336</v>
      </c>
      <c r="L108" s="15">
        <v>43762</v>
      </c>
      <c r="M108" s="5">
        <f t="shared" si="88"/>
        <v>84.999998597642829</v>
      </c>
      <c r="N108" s="26">
        <v>2</v>
      </c>
      <c r="O108" s="6" t="s">
        <v>222</v>
      </c>
      <c r="P108" s="6" t="s">
        <v>220</v>
      </c>
      <c r="Q108" s="9" t="s">
        <v>208</v>
      </c>
      <c r="R108" s="6" t="s">
        <v>36</v>
      </c>
      <c r="S108" s="58">
        <f t="shared" si="127"/>
        <v>242448.93</v>
      </c>
      <c r="T108" s="207">
        <v>242448.93</v>
      </c>
      <c r="U108" s="207">
        <v>0</v>
      </c>
      <c r="V108" s="57">
        <f t="shared" si="68"/>
        <v>37080.43</v>
      </c>
      <c r="W108" s="207">
        <v>37080.43</v>
      </c>
      <c r="X108" s="351">
        <v>0</v>
      </c>
      <c r="Y108" s="55">
        <f t="shared" si="128"/>
        <v>5704.68</v>
      </c>
      <c r="Z108" s="207">
        <v>5704.68</v>
      </c>
      <c r="AA108" s="207">
        <v>0</v>
      </c>
      <c r="AB108" s="58">
        <f t="shared" si="69"/>
        <v>0</v>
      </c>
      <c r="AC108" s="207">
        <v>0</v>
      </c>
      <c r="AD108" s="207">
        <v>0</v>
      </c>
      <c r="AE108" s="59">
        <f t="shared" ref="AE108:AE166" si="129">S108+V108+Y108+AB108</f>
        <v>285234.03999999998</v>
      </c>
      <c r="AF108" s="60">
        <v>0</v>
      </c>
      <c r="AG108" s="58">
        <f t="shared" si="70"/>
        <v>285234.03999999998</v>
      </c>
      <c r="AH108" s="60" t="s">
        <v>607</v>
      </c>
      <c r="AI108" s="61" t="s">
        <v>181</v>
      </c>
      <c r="AJ108" s="119">
        <f>15022.29+13320.88</f>
        <v>28343.17</v>
      </c>
      <c r="AK108" s="72">
        <f>2297.52+2037.3</f>
        <v>4334.82</v>
      </c>
    </row>
    <row r="109" spans="1:38" ht="220.5" x14ac:dyDescent="0.25">
      <c r="A109" s="345" t="s">
        <v>1853</v>
      </c>
      <c r="B109" s="271">
        <v>126419</v>
      </c>
      <c r="C109" s="424">
        <v>561</v>
      </c>
      <c r="D109" s="271" t="s">
        <v>864</v>
      </c>
      <c r="E109" s="260" t="s">
        <v>988</v>
      </c>
      <c r="F109" s="419" t="s">
        <v>1153</v>
      </c>
      <c r="G109" s="14" t="s">
        <v>1158</v>
      </c>
      <c r="H109" s="37" t="s">
        <v>990</v>
      </c>
      <c r="I109" s="260" t="s">
        <v>181</v>
      </c>
      <c r="J109" s="23" t="s">
        <v>1159</v>
      </c>
      <c r="K109" s="147">
        <v>43432</v>
      </c>
      <c r="L109" s="15">
        <v>44283</v>
      </c>
      <c r="M109" s="5">
        <f t="shared" si="88"/>
        <v>85</v>
      </c>
      <c r="N109" s="154">
        <v>2</v>
      </c>
      <c r="O109" s="26" t="s">
        <v>222</v>
      </c>
      <c r="P109" s="6" t="s">
        <v>220</v>
      </c>
      <c r="Q109" s="127" t="s">
        <v>208</v>
      </c>
      <c r="R109" s="128" t="s">
        <v>36</v>
      </c>
      <c r="S109" s="159">
        <f t="shared" ref="S109:S112" si="130">T109+U109</f>
        <v>2627225.9</v>
      </c>
      <c r="T109" s="349">
        <v>2627225.9</v>
      </c>
      <c r="U109" s="349">
        <v>0</v>
      </c>
      <c r="V109" s="57">
        <f t="shared" ref="V109:V110" si="131">W109+X109</f>
        <v>401811.02</v>
      </c>
      <c r="W109" s="234">
        <v>401811.02</v>
      </c>
      <c r="X109" s="349">
        <v>0</v>
      </c>
      <c r="Y109" s="160">
        <f t="shared" ref="Y109:Y112" si="132">Z109+AA109</f>
        <v>61817.079999999994</v>
      </c>
      <c r="Z109" s="389">
        <v>61817.079999999994</v>
      </c>
      <c r="AA109" s="349">
        <v>0</v>
      </c>
      <c r="AB109" s="58">
        <f t="shared" si="69"/>
        <v>0</v>
      </c>
      <c r="AC109" s="349">
        <v>0</v>
      </c>
      <c r="AD109" s="349">
        <v>0</v>
      </c>
      <c r="AE109" s="63">
        <f>S109+V109+Y109+AB109</f>
        <v>3090854</v>
      </c>
      <c r="AF109" s="154">
        <v>0</v>
      </c>
      <c r="AG109" s="55">
        <f t="shared" ref="AG109:AG112" si="133">AE109+AF109</f>
        <v>3090854</v>
      </c>
      <c r="AH109" s="154" t="s">
        <v>607</v>
      </c>
      <c r="AI109" s="66" t="s">
        <v>181</v>
      </c>
      <c r="AJ109" s="119">
        <v>1649.73</v>
      </c>
      <c r="AK109" s="72">
        <v>252.31</v>
      </c>
    </row>
    <row r="110" spans="1:38" ht="189" x14ac:dyDescent="0.25">
      <c r="A110" s="345" t="s">
        <v>1854</v>
      </c>
      <c r="B110" s="271">
        <v>125256</v>
      </c>
      <c r="C110" s="424">
        <v>562</v>
      </c>
      <c r="D110" s="271" t="s">
        <v>864</v>
      </c>
      <c r="E110" s="260" t="s">
        <v>988</v>
      </c>
      <c r="F110" s="419" t="s">
        <v>1153</v>
      </c>
      <c r="G110" s="14" t="s">
        <v>1189</v>
      </c>
      <c r="H110" s="11" t="s">
        <v>1190</v>
      </c>
      <c r="I110" s="260" t="s">
        <v>181</v>
      </c>
      <c r="J110" s="23" t="s">
        <v>1188</v>
      </c>
      <c r="K110" s="147">
        <v>43444</v>
      </c>
      <c r="L110" s="15">
        <v>43809</v>
      </c>
      <c r="M110" s="5">
        <f t="shared" si="88"/>
        <v>84.999999921204406</v>
      </c>
      <c r="N110" s="154">
        <v>2</v>
      </c>
      <c r="O110" s="26" t="s">
        <v>222</v>
      </c>
      <c r="P110" s="26" t="s">
        <v>222</v>
      </c>
      <c r="Q110" s="127" t="s">
        <v>208</v>
      </c>
      <c r="R110" s="128" t="s">
        <v>36</v>
      </c>
      <c r="S110" s="159">
        <f t="shared" si="130"/>
        <v>3236221.13</v>
      </c>
      <c r="T110" s="349">
        <v>3236221.13</v>
      </c>
      <c r="U110" s="349">
        <v>0</v>
      </c>
      <c r="V110" s="57">
        <f t="shared" si="131"/>
        <v>494951.47</v>
      </c>
      <c r="W110" s="234">
        <v>494951.47</v>
      </c>
      <c r="X110" s="349">
        <v>0</v>
      </c>
      <c r="Y110" s="160">
        <f t="shared" si="132"/>
        <v>76146.38</v>
      </c>
      <c r="Z110" s="389">
        <v>76146.38</v>
      </c>
      <c r="AA110" s="349">
        <v>0</v>
      </c>
      <c r="AB110" s="58">
        <f t="shared" si="69"/>
        <v>0</v>
      </c>
      <c r="AC110" s="349">
        <v>0</v>
      </c>
      <c r="AD110" s="349">
        <v>0</v>
      </c>
      <c r="AE110" s="63">
        <f t="shared" ref="AE110" si="134">S110+V110+Y110+AB110</f>
        <v>3807318.9799999995</v>
      </c>
      <c r="AF110" s="154">
        <v>630578.23</v>
      </c>
      <c r="AG110" s="55">
        <f t="shared" si="133"/>
        <v>4437897.209999999</v>
      </c>
      <c r="AH110" s="154" t="s">
        <v>892</v>
      </c>
      <c r="AI110" s="66"/>
      <c r="AJ110" s="119">
        <f>160000+39034.57+1812730.08</f>
        <v>2011764.6500000001</v>
      </c>
      <c r="AK110" s="72">
        <f>30440.58+277241.07</f>
        <v>307681.65000000002</v>
      </c>
    </row>
    <row r="111" spans="1:38" ht="393.75" x14ac:dyDescent="0.25">
      <c r="A111" s="345" t="s">
        <v>1855</v>
      </c>
      <c r="B111" s="271">
        <v>126291</v>
      </c>
      <c r="C111" s="424">
        <v>535</v>
      </c>
      <c r="D111" s="271" t="s">
        <v>171</v>
      </c>
      <c r="E111" s="260" t="s">
        <v>988</v>
      </c>
      <c r="F111" s="419" t="s">
        <v>1153</v>
      </c>
      <c r="G111" s="14" t="s">
        <v>1259</v>
      </c>
      <c r="H111" s="37" t="s">
        <v>1260</v>
      </c>
      <c r="I111" s="260" t="s">
        <v>444</v>
      </c>
      <c r="J111" s="23" t="s">
        <v>1261</v>
      </c>
      <c r="K111" s="147">
        <v>43493</v>
      </c>
      <c r="L111" s="15">
        <v>44343</v>
      </c>
      <c r="M111" s="5">
        <f t="shared" si="88"/>
        <v>85</v>
      </c>
      <c r="N111" s="154">
        <v>2</v>
      </c>
      <c r="O111" s="26" t="s">
        <v>222</v>
      </c>
      <c r="P111" s="6" t="s">
        <v>222</v>
      </c>
      <c r="Q111" s="127" t="s">
        <v>208</v>
      </c>
      <c r="R111" s="128" t="s">
        <v>36</v>
      </c>
      <c r="S111" s="159">
        <f t="shared" si="130"/>
        <v>1421225.5</v>
      </c>
      <c r="T111" s="349">
        <v>1421225.5</v>
      </c>
      <c r="U111" s="349">
        <v>0</v>
      </c>
      <c r="V111" s="57">
        <f>W111+X111</f>
        <v>217363.9</v>
      </c>
      <c r="W111" s="234">
        <v>217363.9</v>
      </c>
      <c r="X111" s="271">
        <v>0</v>
      </c>
      <c r="Y111" s="160">
        <f t="shared" si="132"/>
        <v>33440.6</v>
      </c>
      <c r="Z111" s="389">
        <v>33440.6</v>
      </c>
      <c r="AA111" s="349">
        <v>0</v>
      </c>
      <c r="AB111" s="58">
        <f t="shared" si="69"/>
        <v>0</v>
      </c>
      <c r="AC111" s="260"/>
      <c r="AD111" s="349"/>
      <c r="AE111" s="63">
        <f>S111+V111+Y111+AB111</f>
        <v>1672030</v>
      </c>
      <c r="AF111" s="154"/>
      <c r="AG111" s="55">
        <f t="shared" si="133"/>
        <v>1672030</v>
      </c>
      <c r="AH111" s="154" t="s">
        <v>892</v>
      </c>
      <c r="AI111" s="66"/>
      <c r="AJ111" s="119">
        <v>61734</v>
      </c>
      <c r="AK111" s="72">
        <v>0</v>
      </c>
    </row>
    <row r="112" spans="1:38" ht="220.5" x14ac:dyDescent="0.25">
      <c r="A112" s="345" t="s">
        <v>1856</v>
      </c>
      <c r="B112" s="271">
        <v>128555</v>
      </c>
      <c r="C112" s="424">
        <v>679</v>
      </c>
      <c r="D112" s="271" t="s">
        <v>173</v>
      </c>
      <c r="E112" s="260" t="s">
        <v>988</v>
      </c>
      <c r="F112" s="419" t="s">
        <v>1427</v>
      </c>
      <c r="G112" s="14" t="s">
        <v>1658</v>
      </c>
      <c r="H112" s="37" t="s">
        <v>1260</v>
      </c>
      <c r="I112" s="459" t="s">
        <v>1659</v>
      </c>
      <c r="J112" s="23" t="s">
        <v>1660</v>
      </c>
      <c r="K112" s="147">
        <v>43690</v>
      </c>
      <c r="L112" s="15">
        <v>44056</v>
      </c>
      <c r="M112" s="5">
        <f t="shared" si="88"/>
        <v>84.288170125844573</v>
      </c>
      <c r="N112" s="154">
        <v>2</v>
      </c>
      <c r="O112" s="26" t="s">
        <v>222</v>
      </c>
      <c r="P112" s="6" t="s">
        <v>222</v>
      </c>
      <c r="Q112" s="127" t="s">
        <v>208</v>
      </c>
      <c r="R112" s="128" t="s">
        <v>36</v>
      </c>
      <c r="S112" s="159">
        <f t="shared" si="130"/>
        <v>338596.52</v>
      </c>
      <c r="T112" s="349">
        <v>338596.52</v>
      </c>
      <c r="U112" s="349">
        <v>0</v>
      </c>
      <c r="V112" s="57">
        <f>W112+X112</f>
        <v>55082.2</v>
      </c>
      <c r="W112" s="234">
        <v>55082.2</v>
      </c>
      <c r="X112" s="271">
        <v>0</v>
      </c>
      <c r="Y112" s="160">
        <f t="shared" si="132"/>
        <v>4670.12</v>
      </c>
      <c r="Z112" s="389">
        <v>4670.12</v>
      </c>
      <c r="AA112" s="349">
        <v>0</v>
      </c>
      <c r="AB112" s="58">
        <f t="shared" si="69"/>
        <v>3364.14</v>
      </c>
      <c r="AC112" s="260">
        <v>3364.14</v>
      </c>
      <c r="AD112" s="349">
        <v>0</v>
      </c>
      <c r="AE112" s="63">
        <f>S112+V112+Y112+AB112</f>
        <v>401712.98000000004</v>
      </c>
      <c r="AF112" s="154"/>
      <c r="AG112" s="55">
        <f t="shared" si="133"/>
        <v>401712.98000000004</v>
      </c>
      <c r="AH112" s="154" t="s">
        <v>892</v>
      </c>
      <c r="AI112" s="66"/>
      <c r="AJ112" s="119"/>
      <c r="AK112" s="72"/>
    </row>
    <row r="113" spans="1:38" ht="157.5" x14ac:dyDescent="0.25">
      <c r="A113" s="345" t="s">
        <v>1857</v>
      </c>
      <c r="B113" s="235">
        <v>111029</v>
      </c>
      <c r="C113" s="268">
        <v>126</v>
      </c>
      <c r="D113" s="235" t="s">
        <v>168</v>
      </c>
      <c r="E113" s="270" t="s">
        <v>988</v>
      </c>
      <c r="F113" s="419" t="s">
        <v>354</v>
      </c>
      <c r="G113" s="11" t="s">
        <v>414</v>
      </c>
      <c r="H113" s="37" t="s">
        <v>415</v>
      </c>
      <c r="I113" s="260" t="s">
        <v>181</v>
      </c>
      <c r="J113" s="23" t="s">
        <v>416</v>
      </c>
      <c r="K113" s="148">
        <v>43208</v>
      </c>
      <c r="L113" s="15">
        <v>43695</v>
      </c>
      <c r="M113" s="5">
        <f t="shared" si="88"/>
        <v>85.000001177275294</v>
      </c>
      <c r="N113" s="6">
        <v>3</v>
      </c>
      <c r="O113" s="6" t="s">
        <v>413</v>
      </c>
      <c r="P113" s="6" t="s">
        <v>413</v>
      </c>
      <c r="Q113" s="10" t="s">
        <v>208</v>
      </c>
      <c r="R113" s="6" t="s">
        <v>36</v>
      </c>
      <c r="S113" s="57">
        <f t="shared" ref="S113" si="135">T113+U113</f>
        <v>361003.08</v>
      </c>
      <c r="T113" s="234">
        <v>361003.08</v>
      </c>
      <c r="U113" s="234">
        <v>0</v>
      </c>
      <c r="V113" s="57">
        <f t="shared" si="68"/>
        <v>55212.23</v>
      </c>
      <c r="W113" s="234">
        <v>55212.23</v>
      </c>
      <c r="X113" s="234"/>
      <c r="Y113" s="57">
        <f>Z113+AA113</f>
        <v>8494.19</v>
      </c>
      <c r="Z113" s="234">
        <v>8494.19</v>
      </c>
      <c r="AA113" s="234">
        <v>0</v>
      </c>
      <c r="AB113" s="55">
        <f t="shared" si="69"/>
        <v>0</v>
      </c>
      <c r="AC113" s="234"/>
      <c r="AD113" s="234"/>
      <c r="AE113" s="63">
        <f t="shared" si="129"/>
        <v>424709.5</v>
      </c>
      <c r="AF113" s="55">
        <v>0</v>
      </c>
      <c r="AG113" s="55">
        <f t="shared" si="70"/>
        <v>424709.5</v>
      </c>
      <c r="AH113" s="60" t="s">
        <v>1092</v>
      </c>
      <c r="AI113" s="61" t="s">
        <v>181</v>
      </c>
      <c r="AJ113" s="72">
        <f>42470.95-5481.19+41319.73-5371.57+40493.34+1354.85+42470.95-5027.75</f>
        <v>152229.31</v>
      </c>
      <c r="AK113" s="62">
        <f>5481.19+5371.57+6702.77+5027.75</f>
        <v>22583.279999999999</v>
      </c>
    </row>
    <row r="114" spans="1:38" ht="141.75" x14ac:dyDescent="0.25">
      <c r="A114" s="345" t="s">
        <v>1858</v>
      </c>
      <c r="B114" s="235">
        <v>116685</v>
      </c>
      <c r="C114" s="268">
        <v>407</v>
      </c>
      <c r="D114" s="235" t="s">
        <v>864</v>
      </c>
      <c r="E114" s="270" t="s">
        <v>725</v>
      </c>
      <c r="F114" s="419" t="s">
        <v>632</v>
      </c>
      <c r="G114" s="34" t="s">
        <v>817</v>
      </c>
      <c r="H114" s="37" t="s">
        <v>820</v>
      </c>
      <c r="I114" s="260" t="s">
        <v>818</v>
      </c>
      <c r="J114" s="23" t="s">
        <v>819</v>
      </c>
      <c r="K114" s="148">
        <v>43298</v>
      </c>
      <c r="L114" s="15">
        <v>43754</v>
      </c>
      <c r="M114" s="5">
        <f t="shared" si="88"/>
        <v>84.519132769277391</v>
      </c>
      <c r="N114" s="6">
        <v>3</v>
      </c>
      <c r="O114" s="6" t="s">
        <v>413</v>
      </c>
      <c r="P114" s="6" t="s">
        <v>413</v>
      </c>
      <c r="Q114" s="10" t="s">
        <v>208</v>
      </c>
      <c r="R114" s="6" t="s">
        <v>36</v>
      </c>
      <c r="S114" s="57">
        <f>T114+U114</f>
        <v>335058.15000000002</v>
      </c>
      <c r="T114" s="234">
        <v>335058.15000000002</v>
      </c>
      <c r="U114" s="234">
        <v>0</v>
      </c>
      <c r="V114" s="57">
        <f>W114+X114</f>
        <v>53442.06</v>
      </c>
      <c r="W114" s="234">
        <v>53442.06</v>
      </c>
      <c r="X114" s="234">
        <v>0</v>
      </c>
      <c r="Y114" s="57">
        <f>Z114+AA114</f>
        <v>0</v>
      </c>
      <c r="Z114" s="234">
        <v>0</v>
      </c>
      <c r="AA114" s="234">
        <v>0</v>
      </c>
      <c r="AB114" s="55">
        <f>AC114+AD114</f>
        <v>7928.55</v>
      </c>
      <c r="AC114" s="234">
        <v>7928.55</v>
      </c>
      <c r="AD114" s="234">
        <v>0</v>
      </c>
      <c r="AE114" s="63">
        <f>S114+V114+Y114+AB114</f>
        <v>396428.76</v>
      </c>
      <c r="AF114" s="55">
        <v>0</v>
      </c>
      <c r="AG114" s="55">
        <f>AE114+AF114</f>
        <v>396428.76</v>
      </c>
      <c r="AH114" s="60" t="s">
        <v>607</v>
      </c>
      <c r="AI114" s="61" t="s">
        <v>1452</v>
      </c>
      <c r="AJ114" s="72">
        <f>39681.48+14195.1+26259.61+31194.01+22961.47</f>
        <v>134291.66999999998</v>
      </c>
      <c r="AK114" s="62">
        <f>7488.22+4204.9+10139.04</f>
        <v>21832.16</v>
      </c>
    </row>
    <row r="115" spans="1:38" ht="409.5" x14ac:dyDescent="0.25">
      <c r="A115" s="345" t="s">
        <v>1859</v>
      </c>
      <c r="B115" s="235">
        <v>118751</v>
      </c>
      <c r="C115" s="268">
        <v>437</v>
      </c>
      <c r="D115" s="235" t="s">
        <v>864</v>
      </c>
      <c r="E115" s="270" t="s">
        <v>725</v>
      </c>
      <c r="F115" s="419" t="s">
        <v>632</v>
      </c>
      <c r="G115" s="11" t="s">
        <v>997</v>
      </c>
      <c r="H115" s="37" t="s">
        <v>415</v>
      </c>
      <c r="I115" s="260" t="s">
        <v>181</v>
      </c>
      <c r="J115" s="23" t="s">
        <v>1101</v>
      </c>
      <c r="K115" s="148">
        <v>43340</v>
      </c>
      <c r="L115" s="15">
        <v>43644</v>
      </c>
      <c r="M115" s="5">
        <f t="shared" si="88"/>
        <v>85.000001668371198</v>
      </c>
      <c r="N115" s="6">
        <v>3</v>
      </c>
      <c r="O115" s="6" t="s">
        <v>413</v>
      </c>
      <c r="P115" s="6" t="s">
        <v>413</v>
      </c>
      <c r="Q115" s="10" t="s">
        <v>208</v>
      </c>
      <c r="R115" s="6" t="s">
        <v>36</v>
      </c>
      <c r="S115" s="57">
        <v>254739.48</v>
      </c>
      <c r="T115" s="349">
        <v>254739.48</v>
      </c>
      <c r="U115" s="234">
        <v>0</v>
      </c>
      <c r="V115" s="57">
        <v>38960.15</v>
      </c>
      <c r="W115" s="234">
        <v>38960.15</v>
      </c>
      <c r="X115" s="234">
        <v>0</v>
      </c>
      <c r="Y115" s="57">
        <f>Z115+AA115</f>
        <v>5993.87</v>
      </c>
      <c r="Z115" s="234">
        <v>5993.87</v>
      </c>
      <c r="AA115" s="234">
        <v>0</v>
      </c>
      <c r="AB115" s="55">
        <f t="shared" si="69"/>
        <v>0</v>
      </c>
      <c r="AC115" s="234">
        <v>0</v>
      </c>
      <c r="AD115" s="234">
        <v>0</v>
      </c>
      <c r="AE115" s="63">
        <f t="shared" si="129"/>
        <v>299693.5</v>
      </c>
      <c r="AF115" s="55">
        <v>0</v>
      </c>
      <c r="AG115" s="55">
        <f t="shared" si="70"/>
        <v>299693.5</v>
      </c>
      <c r="AH115" s="60" t="s">
        <v>1092</v>
      </c>
      <c r="AI115" s="61" t="s">
        <v>181</v>
      </c>
      <c r="AJ115" s="72">
        <f>29969-3256.9+24552.01-3830.33</f>
        <v>47433.78</v>
      </c>
      <c r="AK115" s="62">
        <f>3256.9+3830.83</f>
        <v>7087.73</v>
      </c>
      <c r="AL115" s="280"/>
    </row>
    <row r="116" spans="1:38" ht="210" x14ac:dyDescent="0.25">
      <c r="A116" s="345" t="s">
        <v>1860</v>
      </c>
      <c r="B116" s="420">
        <v>126535</v>
      </c>
      <c r="C116" s="268">
        <v>564</v>
      </c>
      <c r="D116" s="418" t="s">
        <v>864</v>
      </c>
      <c r="E116" s="270" t="s">
        <v>988</v>
      </c>
      <c r="F116" s="419" t="s">
        <v>1153</v>
      </c>
      <c r="G116" s="175" t="s">
        <v>1211</v>
      </c>
      <c r="H116" s="149" t="s">
        <v>415</v>
      </c>
      <c r="I116" s="418" t="s">
        <v>181</v>
      </c>
      <c r="J116" s="176" t="s">
        <v>1212</v>
      </c>
      <c r="K116" s="148">
        <v>43447</v>
      </c>
      <c r="L116" s="15">
        <v>44178</v>
      </c>
      <c r="M116" s="5">
        <f t="shared" si="88"/>
        <v>85</v>
      </c>
      <c r="N116" s="6">
        <v>3</v>
      </c>
      <c r="O116" s="6" t="s">
        <v>413</v>
      </c>
      <c r="P116" s="6" t="s">
        <v>413</v>
      </c>
      <c r="Q116" s="10" t="s">
        <v>208</v>
      </c>
      <c r="R116" s="6" t="s">
        <v>36</v>
      </c>
      <c r="S116" s="57">
        <f>T116+U116</f>
        <v>3199377.9</v>
      </c>
      <c r="T116" s="349">
        <v>3199377.9</v>
      </c>
      <c r="U116" s="349">
        <v>0</v>
      </c>
      <c r="V116" s="177">
        <f>W116+X116</f>
        <v>489316.62</v>
      </c>
      <c r="W116" s="349">
        <v>489316.62</v>
      </c>
      <c r="X116" s="349">
        <v>0</v>
      </c>
      <c r="Y116" s="57">
        <f t="shared" ref="Y116" si="136">Z116+AA116</f>
        <v>75279.48</v>
      </c>
      <c r="Z116" s="234">
        <v>75279.48</v>
      </c>
      <c r="AA116" s="234">
        <v>0</v>
      </c>
      <c r="AB116" s="55">
        <f t="shared" si="69"/>
        <v>0</v>
      </c>
      <c r="AC116" s="349">
        <v>0</v>
      </c>
      <c r="AD116" s="349">
        <v>0</v>
      </c>
      <c r="AE116" s="63">
        <f t="shared" si="129"/>
        <v>3763974</v>
      </c>
      <c r="AF116" s="66"/>
      <c r="AG116" s="55">
        <f t="shared" si="70"/>
        <v>3763974</v>
      </c>
      <c r="AH116" s="60" t="s">
        <v>607</v>
      </c>
      <c r="AI116" s="61"/>
      <c r="AJ116" s="65">
        <f>376397-13919.8-271463.08</f>
        <v>91014.12</v>
      </c>
      <c r="AK116" s="65">
        <v>13919.8</v>
      </c>
    </row>
    <row r="117" spans="1:38" ht="157.5" x14ac:dyDescent="0.25">
      <c r="A117" s="345" t="s">
        <v>1861</v>
      </c>
      <c r="B117" s="235">
        <v>120638</v>
      </c>
      <c r="C117" s="268">
        <v>97</v>
      </c>
      <c r="D117" s="235" t="s">
        <v>167</v>
      </c>
      <c r="E117" s="270" t="s">
        <v>988</v>
      </c>
      <c r="F117" s="419" t="s">
        <v>354</v>
      </c>
      <c r="G117" s="11" t="s">
        <v>301</v>
      </c>
      <c r="H117" s="2" t="s">
        <v>300</v>
      </c>
      <c r="I117" s="235" t="s">
        <v>181</v>
      </c>
      <c r="J117" s="3" t="s">
        <v>302</v>
      </c>
      <c r="K117" s="148">
        <v>43145</v>
      </c>
      <c r="L117" s="15">
        <v>43630</v>
      </c>
      <c r="M117" s="5">
        <f t="shared" ref="M117:M170" si="137">S117/AE117*100</f>
        <v>84.999998641808133</v>
      </c>
      <c r="N117" s="6">
        <v>4</v>
      </c>
      <c r="O117" s="6" t="s">
        <v>298</v>
      </c>
      <c r="P117" s="6" t="s">
        <v>299</v>
      </c>
      <c r="Q117" s="9" t="s">
        <v>208</v>
      </c>
      <c r="R117" s="6" t="s">
        <v>36</v>
      </c>
      <c r="S117" s="55">
        <f t="shared" ref="S117:S119" si="138">T117+U117</f>
        <v>312916.02</v>
      </c>
      <c r="T117" s="348">
        <v>312916.02</v>
      </c>
      <c r="U117" s="362">
        <v>0</v>
      </c>
      <c r="V117" s="57">
        <f t="shared" si="68"/>
        <v>47857.75</v>
      </c>
      <c r="W117" s="234">
        <v>47857.75</v>
      </c>
      <c r="X117" s="234">
        <v>0</v>
      </c>
      <c r="Y117" s="55">
        <f t="shared" ref="Y117:Y119" si="139">Z117+AA117</f>
        <v>7362.73</v>
      </c>
      <c r="Z117" s="234">
        <v>7362.73</v>
      </c>
      <c r="AA117" s="234">
        <v>0</v>
      </c>
      <c r="AB117" s="55">
        <f t="shared" si="69"/>
        <v>0</v>
      </c>
      <c r="AC117" s="234"/>
      <c r="AD117" s="234"/>
      <c r="AE117" s="63">
        <f t="shared" si="129"/>
        <v>368136.5</v>
      </c>
      <c r="AF117" s="55">
        <v>0</v>
      </c>
      <c r="AG117" s="55">
        <f t="shared" si="70"/>
        <v>368136.5</v>
      </c>
      <c r="AH117" s="60" t="s">
        <v>1092</v>
      </c>
      <c r="AI117" s="61" t="s">
        <v>372</v>
      </c>
      <c r="AJ117" s="72">
        <f>52755.63+22985.7+161813.96</f>
        <v>237555.28999999998</v>
      </c>
      <c r="AK117" s="62">
        <f>8068.51+3515.46+24748.01</f>
        <v>36331.979999999996</v>
      </c>
    </row>
    <row r="118" spans="1:38" ht="173.25" x14ac:dyDescent="0.25">
      <c r="A118" s="345" t="s">
        <v>1862</v>
      </c>
      <c r="B118" s="417">
        <v>120714</v>
      </c>
      <c r="C118" s="268">
        <v>111</v>
      </c>
      <c r="D118" s="268" t="s">
        <v>167</v>
      </c>
      <c r="E118" s="270" t="s">
        <v>988</v>
      </c>
      <c r="F118" s="419" t="s">
        <v>354</v>
      </c>
      <c r="G118" s="11" t="s">
        <v>321</v>
      </c>
      <c r="H118" s="2" t="s">
        <v>319</v>
      </c>
      <c r="I118" s="235" t="s">
        <v>320</v>
      </c>
      <c r="J118" s="23" t="s">
        <v>538</v>
      </c>
      <c r="K118" s="148">
        <v>43166</v>
      </c>
      <c r="L118" s="15">
        <v>43653</v>
      </c>
      <c r="M118" s="5">
        <f t="shared" si="137"/>
        <v>85</v>
      </c>
      <c r="N118" s="2">
        <v>4</v>
      </c>
      <c r="O118" s="6" t="s">
        <v>298</v>
      </c>
      <c r="P118" s="6" t="s">
        <v>299</v>
      </c>
      <c r="Q118" s="32" t="s">
        <v>208</v>
      </c>
      <c r="R118" s="6" t="s">
        <v>36</v>
      </c>
      <c r="S118" s="55">
        <f t="shared" si="138"/>
        <v>355906.39</v>
      </c>
      <c r="T118" s="359">
        <v>355906.39</v>
      </c>
      <c r="U118" s="359">
        <v>0</v>
      </c>
      <c r="V118" s="57">
        <f t="shared" si="68"/>
        <v>54432.74</v>
      </c>
      <c r="W118" s="234">
        <v>54432.74</v>
      </c>
      <c r="X118" s="234">
        <v>0</v>
      </c>
      <c r="Y118" s="55">
        <f t="shared" si="139"/>
        <v>8374.27</v>
      </c>
      <c r="Z118" s="234">
        <v>8374.27</v>
      </c>
      <c r="AA118" s="234">
        <v>0</v>
      </c>
      <c r="AB118" s="55">
        <f t="shared" si="69"/>
        <v>0</v>
      </c>
      <c r="AC118" s="234"/>
      <c r="AD118" s="234"/>
      <c r="AE118" s="63">
        <f t="shared" si="129"/>
        <v>418713.4</v>
      </c>
      <c r="AF118" s="55">
        <v>0</v>
      </c>
      <c r="AG118" s="55">
        <f t="shared" si="70"/>
        <v>418713.4</v>
      </c>
      <c r="AH118" s="60" t="s">
        <v>1092</v>
      </c>
      <c r="AI118" s="61" t="s">
        <v>181</v>
      </c>
      <c r="AJ118" s="72">
        <f>3489.68+25692.1+174568.93+89130.02</f>
        <v>292880.73</v>
      </c>
      <c r="AK118" s="62">
        <f>533.71+3929.38+26698.78+13631.64</f>
        <v>44793.509999999995</v>
      </c>
    </row>
    <row r="119" spans="1:38" ht="173.25" x14ac:dyDescent="0.25">
      <c r="A119" s="345" t="s">
        <v>1863</v>
      </c>
      <c r="B119" s="417">
        <v>119758</v>
      </c>
      <c r="C119" s="268">
        <v>460</v>
      </c>
      <c r="D119" s="268" t="s">
        <v>705</v>
      </c>
      <c r="E119" s="260" t="s">
        <v>1060</v>
      </c>
      <c r="F119" s="419" t="s">
        <v>564</v>
      </c>
      <c r="G119" s="93" t="s">
        <v>595</v>
      </c>
      <c r="H119" s="11" t="s">
        <v>596</v>
      </c>
      <c r="I119" s="235" t="s">
        <v>181</v>
      </c>
      <c r="J119" s="23" t="s">
        <v>597</v>
      </c>
      <c r="K119" s="148">
        <v>43264</v>
      </c>
      <c r="L119" s="15">
        <v>43751</v>
      </c>
      <c r="M119" s="5">
        <f t="shared" si="137"/>
        <v>85</v>
      </c>
      <c r="N119" s="2">
        <v>4</v>
      </c>
      <c r="O119" s="6" t="s">
        <v>298</v>
      </c>
      <c r="P119" s="6" t="s">
        <v>598</v>
      </c>
      <c r="Q119" s="32" t="s">
        <v>208</v>
      </c>
      <c r="R119" s="6" t="s">
        <v>36</v>
      </c>
      <c r="S119" s="55">
        <f t="shared" si="138"/>
        <v>356536.75</v>
      </c>
      <c r="T119" s="359">
        <v>356536.75</v>
      </c>
      <c r="U119" s="359">
        <v>0</v>
      </c>
      <c r="V119" s="57">
        <f t="shared" si="68"/>
        <v>54529.15</v>
      </c>
      <c r="W119" s="234">
        <v>54529.15</v>
      </c>
      <c r="X119" s="234"/>
      <c r="Y119" s="55">
        <f t="shared" si="139"/>
        <v>8389.1</v>
      </c>
      <c r="Z119" s="234">
        <v>8389.1</v>
      </c>
      <c r="AA119" s="234">
        <v>0</v>
      </c>
      <c r="AB119" s="55">
        <f t="shared" ref="AB119" si="140">AC119+AD119</f>
        <v>0</v>
      </c>
      <c r="AC119" s="234"/>
      <c r="AD119" s="234"/>
      <c r="AE119" s="63">
        <f t="shared" si="129"/>
        <v>419455</v>
      </c>
      <c r="AF119" s="55"/>
      <c r="AG119" s="55">
        <f t="shared" si="70"/>
        <v>419455</v>
      </c>
      <c r="AH119" s="60" t="s">
        <v>607</v>
      </c>
      <c r="AI119" s="61"/>
      <c r="AJ119" s="119">
        <f>41000-4123.49+46557.9+41000-738.9+41000-662.4+104836.1</f>
        <v>268869.21000000002</v>
      </c>
      <c r="AK119" s="62">
        <f>5639.94+7120.62+6157.58+22203.04</f>
        <v>41121.18</v>
      </c>
    </row>
    <row r="120" spans="1:38" ht="173.25" x14ac:dyDescent="0.25">
      <c r="A120" s="345" t="s">
        <v>1864</v>
      </c>
      <c r="B120" s="417">
        <v>116766</v>
      </c>
      <c r="C120" s="268">
        <v>409</v>
      </c>
      <c r="D120" s="268" t="s">
        <v>705</v>
      </c>
      <c r="E120" s="270" t="s">
        <v>725</v>
      </c>
      <c r="F120" s="235" t="s">
        <v>632</v>
      </c>
      <c r="G120" s="14" t="s">
        <v>677</v>
      </c>
      <c r="H120" s="11" t="s">
        <v>320</v>
      </c>
      <c r="I120" s="418" t="s">
        <v>181</v>
      </c>
      <c r="J120" s="11" t="s">
        <v>678</v>
      </c>
      <c r="K120" s="148">
        <v>43278</v>
      </c>
      <c r="L120" s="15">
        <v>43826</v>
      </c>
      <c r="M120" s="5">
        <f t="shared" si="137"/>
        <v>85.000000275422053</v>
      </c>
      <c r="N120" s="2">
        <v>4</v>
      </c>
      <c r="O120" s="6" t="s">
        <v>298</v>
      </c>
      <c r="P120" s="48" t="s">
        <v>679</v>
      </c>
      <c r="Q120" s="48" t="s">
        <v>208</v>
      </c>
      <c r="R120" s="6" t="s">
        <v>36</v>
      </c>
      <c r="S120" s="55">
        <f>T120+U120</f>
        <v>308617.27</v>
      </c>
      <c r="T120" s="359">
        <v>308617.27</v>
      </c>
      <c r="U120" s="359">
        <v>0</v>
      </c>
      <c r="V120" s="57">
        <f>W120+X120</f>
        <v>47200.29</v>
      </c>
      <c r="W120" s="234">
        <v>47200.29</v>
      </c>
      <c r="X120" s="234">
        <v>0</v>
      </c>
      <c r="Y120" s="55">
        <f>Z120+AA120</f>
        <v>7261.58</v>
      </c>
      <c r="Z120" s="234">
        <v>7261.58</v>
      </c>
      <c r="AA120" s="352">
        <v>0</v>
      </c>
      <c r="AB120" s="55">
        <f>AC120+AD120</f>
        <v>0</v>
      </c>
      <c r="AC120" s="352">
        <v>0</v>
      </c>
      <c r="AD120" s="352">
        <v>0</v>
      </c>
      <c r="AE120" s="63">
        <f>S120+V120+Y120+AB120</f>
        <v>363079.14</v>
      </c>
      <c r="AF120" s="166">
        <v>0</v>
      </c>
      <c r="AG120" s="55">
        <f>AE120+AF120</f>
        <v>363079.14</v>
      </c>
      <c r="AH120" s="60" t="s">
        <v>607</v>
      </c>
      <c r="AI120" s="116" t="s">
        <v>1664</v>
      </c>
      <c r="AJ120" s="119">
        <v>30060.880000000001</v>
      </c>
      <c r="AK120" s="65">
        <v>4597.55</v>
      </c>
    </row>
    <row r="121" spans="1:38" ht="141.75" x14ac:dyDescent="0.25">
      <c r="A121" s="345" t="s">
        <v>1865</v>
      </c>
      <c r="B121" s="417">
        <v>126293</v>
      </c>
      <c r="C121" s="268">
        <v>523</v>
      </c>
      <c r="D121" s="418" t="s">
        <v>864</v>
      </c>
      <c r="E121" s="270" t="s">
        <v>988</v>
      </c>
      <c r="F121" s="260" t="s">
        <v>1153</v>
      </c>
      <c r="G121" s="14" t="s">
        <v>1198</v>
      </c>
      <c r="H121" s="14" t="s">
        <v>1167</v>
      </c>
      <c r="I121" s="418" t="s">
        <v>181</v>
      </c>
      <c r="J121" s="14" t="s">
        <v>1168</v>
      </c>
      <c r="K121" s="148">
        <v>43437</v>
      </c>
      <c r="L121" s="15">
        <v>44289</v>
      </c>
      <c r="M121" s="5">
        <f t="shared" si="137"/>
        <v>85.000000538702352</v>
      </c>
      <c r="N121" s="2">
        <v>4</v>
      </c>
      <c r="O121" s="6" t="s">
        <v>298</v>
      </c>
      <c r="P121" s="48" t="s">
        <v>679</v>
      </c>
      <c r="Q121" s="48" t="s">
        <v>208</v>
      </c>
      <c r="R121" s="6" t="s">
        <v>36</v>
      </c>
      <c r="S121" s="55">
        <f>T121+U121</f>
        <v>2366798.75</v>
      </c>
      <c r="T121" s="359">
        <v>2366798.75</v>
      </c>
      <c r="U121" s="359">
        <v>0</v>
      </c>
      <c r="V121" s="57">
        <f>W121+X121</f>
        <v>361980.97</v>
      </c>
      <c r="W121" s="234">
        <v>361980.97</v>
      </c>
      <c r="X121" s="234">
        <v>0</v>
      </c>
      <c r="Y121" s="55">
        <f>Z121+AA121</f>
        <v>55689.38</v>
      </c>
      <c r="Z121" s="234">
        <v>55689.38</v>
      </c>
      <c r="AA121" s="349">
        <v>0</v>
      </c>
      <c r="AB121" s="55">
        <f>AC121+AD121</f>
        <v>0</v>
      </c>
      <c r="AC121" s="349">
        <v>0</v>
      </c>
      <c r="AD121" s="349">
        <v>0</v>
      </c>
      <c r="AE121" s="63">
        <f>S121+V121+Y121</f>
        <v>2784469.0999999996</v>
      </c>
      <c r="AF121" s="63">
        <v>129948</v>
      </c>
      <c r="AG121" s="55">
        <f>AE121+AF121</f>
        <v>2914417.0999999996</v>
      </c>
      <c r="AH121" s="60" t="s">
        <v>607</v>
      </c>
      <c r="AI121" s="116" t="s">
        <v>181</v>
      </c>
      <c r="AJ121" s="65">
        <v>3500.5</v>
      </c>
      <c r="AK121" s="65">
        <v>535.38</v>
      </c>
    </row>
    <row r="122" spans="1:38" ht="141.75" x14ac:dyDescent="0.25">
      <c r="A122" s="345" t="s">
        <v>1866</v>
      </c>
      <c r="B122" s="417">
        <v>126212</v>
      </c>
      <c r="C122" s="268">
        <v>516</v>
      </c>
      <c r="D122" s="418" t="s">
        <v>864</v>
      </c>
      <c r="E122" s="270" t="s">
        <v>988</v>
      </c>
      <c r="F122" s="260" t="s">
        <v>1153</v>
      </c>
      <c r="G122" s="14" t="s">
        <v>1197</v>
      </c>
      <c r="H122" s="14" t="s">
        <v>596</v>
      </c>
      <c r="I122" s="418" t="s">
        <v>181</v>
      </c>
      <c r="J122" s="14" t="s">
        <v>1196</v>
      </c>
      <c r="K122" s="148">
        <v>43445</v>
      </c>
      <c r="L122" s="15">
        <v>43993</v>
      </c>
      <c r="M122" s="5">
        <f t="shared" si="137"/>
        <v>85.000000138721092</v>
      </c>
      <c r="N122" s="2">
        <v>4</v>
      </c>
      <c r="O122" s="6" t="s">
        <v>298</v>
      </c>
      <c r="P122" s="6" t="s">
        <v>598</v>
      </c>
      <c r="Q122" s="6" t="s">
        <v>208</v>
      </c>
      <c r="R122" s="6" t="s">
        <v>36</v>
      </c>
      <c r="S122" s="55">
        <f t="shared" ref="S122:S123" si="141">T122+U122</f>
        <v>3063701.5</v>
      </c>
      <c r="T122" s="359">
        <v>3063701.5</v>
      </c>
      <c r="U122" s="359">
        <v>0</v>
      </c>
      <c r="V122" s="57">
        <f t="shared" ref="V122:V123" si="142">W122+X122</f>
        <v>468566.11</v>
      </c>
      <c r="W122" s="234">
        <v>468566.11</v>
      </c>
      <c r="X122" s="234">
        <v>0</v>
      </c>
      <c r="Y122" s="55">
        <f t="shared" ref="Y122:Y123" si="143">Z122+AA122</f>
        <v>72087.09</v>
      </c>
      <c r="Z122" s="234">
        <v>72087.09</v>
      </c>
      <c r="AA122" s="349">
        <v>0</v>
      </c>
      <c r="AB122" s="55">
        <f t="shared" ref="AB122:AB123" si="144">AC122+AD122</f>
        <v>0</v>
      </c>
      <c r="AC122" s="349">
        <v>0</v>
      </c>
      <c r="AD122" s="349">
        <v>0</v>
      </c>
      <c r="AE122" s="63">
        <f t="shared" ref="AE122:AE123" si="145">S122+V122+Y122</f>
        <v>3604354.6999999997</v>
      </c>
      <c r="AF122" s="66">
        <v>0</v>
      </c>
      <c r="AG122" s="55">
        <f>AE122+AF122</f>
        <v>3604354.6999999997</v>
      </c>
      <c r="AH122" s="60" t="s">
        <v>607</v>
      </c>
      <c r="AI122" s="116" t="s">
        <v>181</v>
      </c>
      <c r="AJ122" s="65">
        <f>70000-7603.64</f>
        <v>62396.36</v>
      </c>
      <c r="AK122" s="65">
        <v>7603.64</v>
      </c>
    </row>
    <row r="123" spans="1:38" ht="141.75" x14ac:dyDescent="0.25">
      <c r="A123" s="345" t="s">
        <v>1867</v>
      </c>
      <c r="B123" s="417">
        <v>125603</v>
      </c>
      <c r="C123" s="268">
        <v>528</v>
      </c>
      <c r="D123" s="418" t="s">
        <v>1093</v>
      </c>
      <c r="E123" s="270" t="s">
        <v>988</v>
      </c>
      <c r="F123" s="260" t="s">
        <v>1153</v>
      </c>
      <c r="G123" s="14" t="s">
        <v>1254</v>
      </c>
      <c r="H123" s="14" t="s">
        <v>300</v>
      </c>
      <c r="I123" s="418" t="s">
        <v>181</v>
      </c>
      <c r="J123" s="14" t="s">
        <v>1255</v>
      </c>
      <c r="K123" s="148">
        <v>43486</v>
      </c>
      <c r="L123" s="15">
        <v>44398</v>
      </c>
      <c r="M123" s="5">
        <f t="shared" si="137"/>
        <v>85.000000127543871</v>
      </c>
      <c r="N123" s="2">
        <v>4</v>
      </c>
      <c r="O123" s="6" t="s">
        <v>298</v>
      </c>
      <c r="P123" s="48" t="s">
        <v>679</v>
      </c>
      <c r="Q123" s="48" t="s">
        <v>208</v>
      </c>
      <c r="R123" s="6" t="s">
        <v>36</v>
      </c>
      <c r="S123" s="55">
        <f t="shared" si="141"/>
        <v>2998968.16</v>
      </c>
      <c r="T123" s="359">
        <v>2998968.16</v>
      </c>
      <c r="U123" s="359">
        <v>0</v>
      </c>
      <c r="V123" s="57">
        <f t="shared" si="142"/>
        <v>458665.73</v>
      </c>
      <c r="W123" s="234">
        <v>458665.73</v>
      </c>
      <c r="X123" s="234">
        <v>0</v>
      </c>
      <c r="Y123" s="55">
        <f t="shared" si="143"/>
        <v>70563.94</v>
      </c>
      <c r="Z123" s="234">
        <v>70563.94</v>
      </c>
      <c r="AA123" s="349">
        <v>0</v>
      </c>
      <c r="AB123" s="55">
        <f t="shared" si="144"/>
        <v>0</v>
      </c>
      <c r="AC123" s="349">
        <v>0</v>
      </c>
      <c r="AD123" s="349">
        <v>0</v>
      </c>
      <c r="AE123" s="63">
        <f t="shared" si="145"/>
        <v>3528197.83</v>
      </c>
      <c r="AF123" s="66">
        <v>0</v>
      </c>
      <c r="AG123" s="55">
        <f>AE123+AF123</f>
        <v>3528197.83</v>
      </c>
      <c r="AH123" s="60" t="s">
        <v>607</v>
      </c>
      <c r="AI123" s="116"/>
      <c r="AJ123" s="65">
        <v>0</v>
      </c>
      <c r="AK123" s="65">
        <v>0</v>
      </c>
    </row>
    <row r="124" spans="1:38" ht="141.75" x14ac:dyDescent="0.25">
      <c r="A124" s="345" t="s">
        <v>1868</v>
      </c>
      <c r="B124" s="271">
        <v>111237</v>
      </c>
      <c r="C124" s="268">
        <v>124</v>
      </c>
      <c r="D124" s="235" t="s">
        <v>168</v>
      </c>
      <c r="E124" s="270" t="s">
        <v>988</v>
      </c>
      <c r="F124" s="419" t="s">
        <v>354</v>
      </c>
      <c r="G124" s="11" t="s">
        <v>539</v>
      </c>
      <c r="H124" s="11" t="s">
        <v>284</v>
      </c>
      <c r="I124" s="260" t="s">
        <v>181</v>
      </c>
      <c r="J124" s="23" t="s">
        <v>540</v>
      </c>
      <c r="K124" s="148">
        <v>43145</v>
      </c>
      <c r="L124" s="15">
        <v>43783</v>
      </c>
      <c r="M124" s="5">
        <f t="shared" si="137"/>
        <v>85.000000000000014</v>
      </c>
      <c r="N124" s="6">
        <v>7</v>
      </c>
      <c r="O124" s="90" t="s">
        <v>289</v>
      </c>
      <c r="P124" s="6" t="s">
        <v>283</v>
      </c>
      <c r="Q124" s="10" t="s">
        <v>208</v>
      </c>
      <c r="R124" s="8" t="s">
        <v>36</v>
      </c>
      <c r="S124" s="73">
        <f t="shared" ref="S124:S127" si="146">T124+U124</f>
        <v>306686.8</v>
      </c>
      <c r="T124" s="359">
        <v>306686.8</v>
      </c>
      <c r="U124" s="363">
        <v>0</v>
      </c>
      <c r="V124" s="57">
        <f t="shared" ref="V124:V178" si="147">W124+X124</f>
        <v>46905.04</v>
      </c>
      <c r="W124" s="234">
        <v>46905.04</v>
      </c>
      <c r="X124" s="234">
        <v>0</v>
      </c>
      <c r="Y124" s="55">
        <f t="shared" ref="Y124:Y127" si="148">Z124+AA124</f>
        <v>7216.16</v>
      </c>
      <c r="Z124" s="234">
        <v>7216.16</v>
      </c>
      <c r="AA124" s="234">
        <v>0</v>
      </c>
      <c r="AB124" s="55">
        <f t="shared" ref="AB124:AB178" si="149">AC124+AD124</f>
        <v>0</v>
      </c>
      <c r="AC124" s="234"/>
      <c r="AD124" s="234"/>
      <c r="AE124" s="63">
        <f t="shared" si="129"/>
        <v>360807.99999999994</v>
      </c>
      <c r="AF124" s="55">
        <v>0</v>
      </c>
      <c r="AG124" s="55">
        <f t="shared" ref="AG124:AG181" si="150">AE124+AF124</f>
        <v>360807.99999999994</v>
      </c>
      <c r="AH124" s="60" t="s">
        <v>607</v>
      </c>
      <c r="AI124" s="61" t="s">
        <v>1707</v>
      </c>
      <c r="AJ124" s="72">
        <v>5524.99</v>
      </c>
      <c r="AK124" s="62">
        <v>845</v>
      </c>
      <c r="AL124" s="7"/>
    </row>
    <row r="125" spans="1:38" ht="252" x14ac:dyDescent="0.25">
      <c r="A125" s="345" t="s">
        <v>1869</v>
      </c>
      <c r="B125" s="417">
        <v>122784</v>
      </c>
      <c r="C125" s="268">
        <v>94</v>
      </c>
      <c r="D125" s="418" t="s">
        <v>172</v>
      </c>
      <c r="E125" s="270" t="s">
        <v>988</v>
      </c>
      <c r="F125" s="419" t="s">
        <v>354</v>
      </c>
      <c r="G125" s="14" t="s">
        <v>1049</v>
      </c>
      <c r="H125" s="14" t="s">
        <v>1048</v>
      </c>
      <c r="I125" s="270" t="s">
        <v>181</v>
      </c>
      <c r="J125" s="23" t="s">
        <v>1140</v>
      </c>
      <c r="K125" s="147">
        <v>43264</v>
      </c>
      <c r="L125" s="15">
        <v>43751</v>
      </c>
      <c r="M125" s="5">
        <f t="shared" si="137"/>
        <v>85.000002941982572</v>
      </c>
      <c r="N125" s="6">
        <v>7</v>
      </c>
      <c r="O125" s="143" t="s">
        <v>289</v>
      </c>
      <c r="P125" s="6" t="s">
        <v>1050</v>
      </c>
      <c r="Q125" s="10" t="s">
        <v>208</v>
      </c>
      <c r="R125" s="8" t="s">
        <v>36</v>
      </c>
      <c r="S125" s="73">
        <f t="shared" si="146"/>
        <v>361151.03</v>
      </c>
      <c r="T125" s="358">
        <v>361151.03</v>
      </c>
      <c r="U125" s="356">
        <v>0</v>
      </c>
      <c r="V125" s="57">
        <f t="shared" si="147"/>
        <v>55234.85</v>
      </c>
      <c r="W125" s="356">
        <v>55234.85</v>
      </c>
      <c r="X125" s="356">
        <v>0</v>
      </c>
      <c r="Y125" s="55">
        <f t="shared" si="148"/>
        <v>8497.67</v>
      </c>
      <c r="Z125" s="358">
        <v>8497.67</v>
      </c>
      <c r="AA125" s="358">
        <v>0</v>
      </c>
      <c r="AB125" s="55">
        <f t="shared" si="149"/>
        <v>0</v>
      </c>
      <c r="AC125" s="356"/>
      <c r="AD125" s="356"/>
      <c r="AE125" s="63">
        <f t="shared" si="129"/>
        <v>424883.55</v>
      </c>
      <c r="AF125" s="55">
        <v>0</v>
      </c>
      <c r="AG125" s="55">
        <f t="shared" si="150"/>
        <v>424883.55</v>
      </c>
      <c r="AH125" s="60" t="s">
        <v>1358</v>
      </c>
      <c r="AI125" s="66"/>
      <c r="AJ125" s="119">
        <v>0</v>
      </c>
      <c r="AK125" s="72">
        <v>0</v>
      </c>
    </row>
    <row r="126" spans="1:38" ht="267.75" x14ac:dyDescent="0.25">
      <c r="A126" s="345" t="s">
        <v>1870</v>
      </c>
      <c r="B126" s="417">
        <v>126548</v>
      </c>
      <c r="C126" s="268">
        <v>533</v>
      </c>
      <c r="D126" s="418" t="s">
        <v>171</v>
      </c>
      <c r="E126" s="270" t="s">
        <v>988</v>
      </c>
      <c r="F126" s="419" t="s">
        <v>1153</v>
      </c>
      <c r="G126" s="14" t="s">
        <v>1401</v>
      </c>
      <c r="H126" s="14" t="s">
        <v>1402</v>
      </c>
      <c r="I126" s="270" t="s">
        <v>181</v>
      </c>
      <c r="J126" s="23" t="s">
        <v>1403</v>
      </c>
      <c r="K126" s="147">
        <v>43598</v>
      </c>
      <c r="L126" s="15">
        <v>44087</v>
      </c>
      <c r="M126" s="5">
        <f t="shared" si="137"/>
        <v>85.000009423673518</v>
      </c>
      <c r="N126" s="6">
        <v>7</v>
      </c>
      <c r="O126" s="143" t="s">
        <v>289</v>
      </c>
      <c r="P126" s="143" t="s">
        <v>289</v>
      </c>
      <c r="Q126" s="10" t="s">
        <v>208</v>
      </c>
      <c r="R126" s="8" t="s">
        <v>1176</v>
      </c>
      <c r="S126" s="73">
        <f t="shared" si="146"/>
        <v>518640.69</v>
      </c>
      <c r="T126" s="358">
        <v>518640.69</v>
      </c>
      <c r="U126" s="356">
        <v>0</v>
      </c>
      <c r="V126" s="57">
        <f t="shared" si="147"/>
        <v>79321.45</v>
      </c>
      <c r="W126" s="356">
        <v>79321.45</v>
      </c>
      <c r="X126" s="356">
        <v>0</v>
      </c>
      <c r="Y126" s="55">
        <f t="shared" si="148"/>
        <v>12203.31</v>
      </c>
      <c r="Z126" s="358">
        <v>12203.31</v>
      </c>
      <c r="AA126" s="358">
        <v>0</v>
      </c>
      <c r="AB126" s="55">
        <f t="shared" si="149"/>
        <v>0</v>
      </c>
      <c r="AC126" s="356"/>
      <c r="AD126" s="356"/>
      <c r="AE126" s="63">
        <f t="shared" si="129"/>
        <v>610165.45000000007</v>
      </c>
      <c r="AF126" s="55"/>
      <c r="AG126" s="55">
        <f t="shared" si="150"/>
        <v>610165.45000000007</v>
      </c>
      <c r="AH126" s="60" t="s">
        <v>892</v>
      </c>
      <c r="AI126" s="66"/>
      <c r="AJ126" s="119"/>
      <c r="AK126" s="72"/>
    </row>
    <row r="127" spans="1:38" ht="157.5" x14ac:dyDescent="0.25">
      <c r="A127" s="345" t="s">
        <v>1871</v>
      </c>
      <c r="B127" s="417">
        <v>128765</v>
      </c>
      <c r="C127" s="268">
        <v>633</v>
      </c>
      <c r="D127" s="418" t="s">
        <v>705</v>
      </c>
      <c r="E127" s="270" t="s">
        <v>988</v>
      </c>
      <c r="F127" s="419" t="s">
        <v>1427</v>
      </c>
      <c r="G127" s="11" t="s">
        <v>1527</v>
      </c>
      <c r="H127" s="14" t="s">
        <v>1048</v>
      </c>
      <c r="I127" s="270" t="s">
        <v>444</v>
      </c>
      <c r="J127" s="23" t="s">
        <v>1710</v>
      </c>
      <c r="K127" s="148">
        <v>43647</v>
      </c>
      <c r="L127" s="15">
        <v>44501</v>
      </c>
      <c r="M127" s="5">
        <f t="shared" si="137"/>
        <v>85.000000191241938</v>
      </c>
      <c r="N127" s="6">
        <v>7</v>
      </c>
      <c r="O127" s="90" t="s">
        <v>289</v>
      </c>
      <c r="P127" s="90" t="s">
        <v>1528</v>
      </c>
      <c r="Q127" s="9" t="s">
        <v>208</v>
      </c>
      <c r="R127" s="6" t="s">
        <v>36</v>
      </c>
      <c r="S127" s="73">
        <f t="shared" si="146"/>
        <v>2222316.08</v>
      </c>
      <c r="T127" s="358">
        <v>2222316.08</v>
      </c>
      <c r="U127" s="356">
        <v>0</v>
      </c>
      <c r="V127" s="57">
        <f t="shared" si="147"/>
        <v>339883.63</v>
      </c>
      <c r="W127" s="356">
        <v>339883.63</v>
      </c>
      <c r="X127" s="356">
        <v>0</v>
      </c>
      <c r="Y127" s="55">
        <f t="shared" si="148"/>
        <v>52289.79</v>
      </c>
      <c r="Z127" s="358">
        <v>52289.79</v>
      </c>
      <c r="AA127" s="358">
        <v>0</v>
      </c>
      <c r="AB127" s="55">
        <f t="shared" si="149"/>
        <v>0</v>
      </c>
      <c r="AC127" s="356">
        <v>0</v>
      </c>
      <c r="AD127" s="356">
        <v>0</v>
      </c>
      <c r="AE127" s="63">
        <f t="shared" si="129"/>
        <v>2614489.5</v>
      </c>
      <c r="AF127" s="55">
        <v>0</v>
      </c>
      <c r="AG127" s="55">
        <f>AE127+AF127</f>
        <v>2614489.5</v>
      </c>
      <c r="AH127" s="60" t="s">
        <v>892</v>
      </c>
      <c r="AI127" s="66"/>
      <c r="AJ127" s="119">
        <v>65152.5</v>
      </c>
      <c r="AK127" s="72">
        <v>0</v>
      </c>
    </row>
    <row r="128" spans="1:38" ht="220.5" x14ac:dyDescent="0.25">
      <c r="A128" s="345" t="s">
        <v>1872</v>
      </c>
      <c r="B128" s="417">
        <v>129281</v>
      </c>
      <c r="C128" s="268">
        <v>658</v>
      </c>
      <c r="D128" s="418" t="s">
        <v>170</v>
      </c>
      <c r="E128" s="270" t="s">
        <v>988</v>
      </c>
      <c r="F128" s="419" t="s">
        <v>1427</v>
      </c>
      <c r="G128" s="11" t="s">
        <v>1708</v>
      </c>
      <c r="H128" s="14" t="s">
        <v>1709</v>
      </c>
      <c r="I128" s="270" t="s">
        <v>444</v>
      </c>
      <c r="J128" s="23" t="s">
        <v>1711</v>
      </c>
      <c r="K128" s="148">
        <v>43710</v>
      </c>
      <c r="L128" s="15">
        <v>44534</v>
      </c>
      <c r="M128" s="5">
        <f t="shared" ref="M128" si="151">S128/AE128*100</f>
        <v>85.000000187352825</v>
      </c>
      <c r="N128" s="6">
        <v>7</v>
      </c>
      <c r="O128" s="90" t="s">
        <v>289</v>
      </c>
      <c r="P128" s="90" t="s">
        <v>283</v>
      </c>
      <c r="Q128" s="9" t="s">
        <v>208</v>
      </c>
      <c r="R128" s="6" t="s">
        <v>36</v>
      </c>
      <c r="S128" s="73">
        <f t="shared" ref="S128" si="152">T128+U128</f>
        <v>2495291.94</v>
      </c>
      <c r="T128" s="358">
        <v>2495291.94</v>
      </c>
      <c r="U128" s="356">
        <v>0</v>
      </c>
      <c r="V128" s="57">
        <f t="shared" ref="V128" si="153">W128+X128</f>
        <v>381632.89</v>
      </c>
      <c r="W128" s="356">
        <v>381632.89</v>
      </c>
      <c r="X128" s="356">
        <v>0</v>
      </c>
      <c r="Y128" s="55">
        <f t="shared" ref="Y128" si="154">Z128+AA128</f>
        <v>58712.74</v>
      </c>
      <c r="Z128" s="358">
        <v>58712.74</v>
      </c>
      <c r="AA128" s="358">
        <v>0</v>
      </c>
      <c r="AB128" s="55">
        <f t="shared" ref="AB128" si="155">AC128+AD128</f>
        <v>0</v>
      </c>
      <c r="AC128" s="356">
        <v>0</v>
      </c>
      <c r="AD128" s="356">
        <v>0</v>
      </c>
      <c r="AE128" s="63">
        <f t="shared" ref="AE128" si="156">S128+V128+Y128+AB128</f>
        <v>2935637.5700000003</v>
      </c>
      <c r="AF128" s="55">
        <v>0</v>
      </c>
      <c r="AG128" s="55">
        <f>AE128+AF128</f>
        <v>2935637.5700000003</v>
      </c>
      <c r="AH128" s="60" t="s">
        <v>892</v>
      </c>
      <c r="AI128" s="66"/>
      <c r="AJ128" s="119">
        <v>0</v>
      </c>
      <c r="AK128" s="72">
        <v>0</v>
      </c>
    </row>
    <row r="129" spans="1:39" ht="189" x14ac:dyDescent="0.25">
      <c r="A129" s="345" t="s">
        <v>1873</v>
      </c>
      <c r="B129" s="271">
        <v>120617</v>
      </c>
      <c r="C129" s="268">
        <v>79</v>
      </c>
      <c r="D129" s="235" t="s">
        <v>171</v>
      </c>
      <c r="E129" s="270" t="s">
        <v>988</v>
      </c>
      <c r="F129" s="419" t="s">
        <v>354</v>
      </c>
      <c r="G129" s="126" t="s">
        <v>276</v>
      </c>
      <c r="H129" s="125" t="s">
        <v>277</v>
      </c>
      <c r="I129" s="260" t="s">
        <v>181</v>
      </c>
      <c r="J129" s="23" t="s">
        <v>280</v>
      </c>
      <c r="K129" s="148">
        <v>43145</v>
      </c>
      <c r="L129" s="15">
        <v>43630</v>
      </c>
      <c r="M129" s="5">
        <f t="shared" si="137"/>
        <v>84.999999644441075</v>
      </c>
      <c r="N129" s="6">
        <v>5</v>
      </c>
      <c r="O129" s="6" t="s">
        <v>287</v>
      </c>
      <c r="P129" s="6" t="s">
        <v>281</v>
      </c>
      <c r="Q129" s="10" t="s">
        <v>208</v>
      </c>
      <c r="R129" s="8" t="s">
        <v>36</v>
      </c>
      <c r="S129" s="55">
        <f>T129+U129</f>
        <v>358590.34</v>
      </c>
      <c r="T129" s="359">
        <v>358590.34</v>
      </c>
      <c r="U129" s="234">
        <v>0</v>
      </c>
      <c r="V129" s="57">
        <f t="shared" si="147"/>
        <v>54843.23</v>
      </c>
      <c r="W129" s="359">
        <v>54843.23</v>
      </c>
      <c r="X129" s="254">
        <v>0</v>
      </c>
      <c r="Y129" s="57">
        <f t="shared" ref="Y129:Y131" si="157">Z129+AA129</f>
        <v>8437.42</v>
      </c>
      <c r="Z129" s="359">
        <v>8437.42</v>
      </c>
      <c r="AA129" s="254">
        <v>0</v>
      </c>
      <c r="AB129" s="55">
        <f t="shared" si="149"/>
        <v>0</v>
      </c>
      <c r="AC129" s="234"/>
      <c r="AD129" s="234"/>
      <c r="AE129" s="63">
        <f t="shared" si="129"/>
        <v>421870.99</v>
      </c>
      <c r="AF129" s="55">
        <v>0</v>
      </c>
      <c r="AG129" s="55">
        <f t="shared" si="150"/>
        <v>421870.99</v>
      </c>
      <c r="AH129" s="60" t="s">
        <v>1092</v>
      </c>
      <c r="AI129" s="61" t="s">
        <v>181</v>
      </c>
      <c r="AJ129" s="72">
        <f>96397.63+83926.36-2519.15+41501.07-4777.79+36017.22-4110.09</f>
        <v>246435.25</v>
      </c>
      <c r="AK129" s="62">
        <f>9960.19+14072.92+2519.15+536.51+4777.79+4110.09</f>
        <v>35976.65</v>
      </c>
    </row>
    <row r="130" spans="1:39" ht="141.75" x14ac:dyDescent="0.25">
      <c r="A130" s="345" t="s">
        <v>1874</v>
      </c>
      <c r="B130" s="417">
        <v>118193</v>
      </c>
      <c r="C130" s="268">
        <v>424</v>
      </c>
      <c r="D130" s="418" t="s">
        <v>705</v>
      </c>
      <c r="E130" s="270" t="s">
        <v>725</v>
      </c>
      <c r="F130" s="419" t="s">
        <v>632</v>
      </c>
      <c r="G130" s="126" t="s">
        <v>742</v>
      </c>
      <c r="H130" s="109" t="s">
        <v>743</v>
      </c>
      <c r="I130" s="260" t="s">
        <v>181</v>
      </c>
      <c r="J130" s="14" t="s">
        <v>814</v>
      </c>
      <c r="K130" s="148">
        <v>43285</v>
      </c>
      <c r="L130" s="15">
        <v>43773</v>
      </c>
      <c r="M130" s="5">
        <f t="shared" si="137"/>
        <v>85.000000000000014</v>
      </c>
      <c r="N130" s="48">
        <v>5</v>
      </c>
      <c r="O130" s="26" t="s">
        <v>744</v>
      </c>
      <c r="P130" s="26" t="s">
        <v>745</v>
      </c>
      <c r="Q130" s="26" t="s">
        <v>208</v>
      </c>
      <c r="R130" s="6" t="s">
        <v>36</v>
      </c>
      <c r="S130" s="55">
        <v>239111.8</v>
      </c>
      <c r="T130" s="351">
        <v>239111.8</v>
      </c>
      <c r="U130" s="356">
        <v>0</v>
      </c>
      <c r="V130" s="57">
        <v>36570.04</v>
      </c>
      <c r="W130" s="351">
        <v>36570.04</v>
      </c>
      <c r="X130" s="356"/>
      <c r="Y130" s="57">
        <v>5626.16</v>
      </c>
      <c r="Z130" s="207">
        <v>5626.16</v>
      </c>
      <c r="AA130" s="358">
        <v>0</v>
      </c>
      <c r="AB130" s="55">
        <f t="shared" si="149"/>
        <v>0</v>
      </c>
      <c r="AC130" s="356"/>
      <c r="AD130" s="356"/>
      <c r="AE130" s="63">
        <f t="shared" si="129"/>
        <v>281307.99999999994</v>
      </c>
      <c r="AF130" s="66"/>
      <c r="AG130" s="55">
        <f t="shared" si="150"/>
        <v>281307.99999999994</v>
      </c>
      <c r="AH130" s="60" t="s">
        <v>607</v>
      </c>
      <c r="AI130" s="66"/>
      <c r="AJ130" s="65">
        <f>28130+781.9+43081.69+28130+28184.77+38912.05</f>
        <v>167220.41</v>
      </c>
      <c r="AK130" s="65">
        <f>4421.82+6588.95+4310.61+10253.49</f>
        <v>25574.870000000003</v>
      </c>
    </row>
    <row r="131" spans="1:39" s="124" customFormat="1" ht="252" x14ac:dyDescent="0.25">
      <c r="A131" s="345" t="s">
        <v>1875</v>
      </c>
      <c r="B131" s="420">
        <v>117483</v>
      </c>
      <c r="C131" s="420">
        <v>412</v>
      </c>
      <c r="D131" s="420" t="s">
        <v>168</v>
      </c>
      <c r="E131" s="270" t="s">
        <v>725</v>
      </c>
      <c r="F131" s="419" t="s">
        <v>632</v>
      </c>
      <c r="G131" s="126" t="s">
        <v>887</v>
      </c>
      <c r="H131" s="137" t="s">
        <v>277</v>
      </c>
      <c r="I131" s="260" t="s">
        <v>181</v>
      </c>
      <c r="J131" s="14" t="s">
        <v>888</v>
      </c>
      <c r="K131" s="148">
        <v>43314</v>
      </c>
      <c r="L131" s="15">
        <v>43678</v>
      </c>
      <c r="M131" s="5">
        <f t="shared" si="137"/>
        <v>85.000000000000014</v>
      </c>
      <c r="N131" s="48">
        <v>5</v>
      </c>
      <c r="O131" s="26" t="s">
        <v>744</v>
      </c>
      <c r="P131" s="6" t="s">
        <v>281</v>
      </c>
      <c r="Q131" s="10" t="s">
        <v>208</v>
      </c>
      <c r="R131" s="6" t="s">
        <v>36</v>
      </c>
      <c r="S131" s="55">
        <v>242732.46</v>
      </c>
      <c r="T131" s="348">
        <f>S131</f>
        <v>242732.46</v>
      </c>
      <c r="U131" s="234">
        <v>0</v>
      </c>
      <c r="V131" s="55">
        <f t="shared" si="147"/>
        <v>37123.78</v>
      </c>
      <c r="W131" s="348">
        <v>37123.78</v>
      </c>
      <c r="X131" s="254">
        <v>0</v>
      </c>
      <c r="Y131" s="57">
        <f t="shared" si="157"/>
        <v>5711.36</v>
      </c>
      <c r="Z131" s="348">
        <v>5711.36</v>
      </c>
      <c r="AA131" s="254">
        <v>0</v>
      </c>
      <c r="AB131" s="55">
        <f t="shared" si="149"/>
        <v>0</v>
      </c>
      <c r="AC131" s="234"/>
      <c r="AD131" s="234"/>
      <c r="AE131" s="55">
        <f t="shared" si="129"/>
        <v>285567.59999999998</v>
      </c>
      <c r="AF131" s="55">
        <v>0</v>
      </c>
      <c r="AG131" s="55">
        <f t="shared" si="150"/>
        <v>285567.59999999998</v>
      </c>
      <c r="AH131" s="60" t="s">
        <v>1092</v>
      </c>
      <c r="AI131" s="61" t="s">
        <v>181</v>
      </c>
      <c r="AJ131" s="65">
        <f>24768.62+25919.16+42164.52+19764.2+19764.2-1842.36+25219.06-552.63+76307.56</f>
        <v>231512.33</v>
      </c>
      <c r="AK131" s="65">
        <f>3788.14+2637.6+3407.69+3022.76+3022.76+1842.36+1732.9+552.63+11670.56</f>
        <v>31677.4</v>
      </c>
      <c r="AL131" s="86"/>
      <c r="AM131" s="61"/>
    </row>
    <row r="132" spans="1:39" ht="173.25" x14ac:dyDescent="0.25">
      <c r="A132" s="345" t="s">
        <v>1876</v>
      </c>
      <c r="B132" s="271">
        <v>126237</v>
      </c>
      <c r="C132" s="268">
        <v>529</v>
      </c>
      <c r="D132" s="235" t="s">
        <v>170</v>
      </c>
      <c r="E132" s="270" t="s">
        <v>988</v>
      </c>
      <c r="F132" s="235" t="s">
        <v>1153</v>
      </c>
      <c r="G132" s="11" t="s">
        <v>1218</v>
      </c>
      <c r="H132" s="11" t="s">
        <v>1199</v>
      </c>
      <c r="I132" s="235" t="s">
        <v>181</v>
      </c>
      <c r="J132" s="3" t="s">
        <v>1219</v>
      </c>
      <c r="K132" s="148">
        <v>43446</v>
      </c>
      <c r="L132" s="15">
        <v>44177</v>
      </c>
      <c r="M132" s="5">
        <f t="shared" si="137"/>
        <v>85.000000000000014</v>
      </c>
      <c r="N132" s="6">
        <v>5</v>
      </c>
      <c r="O132" s="6" t="s">
        <v>744</v>
      </c>
      <c r="P132" s="6" t="s">
        <v>744</v>
      </c>
      <c r="Q132" s="9" t="s">
        <v>208</v>
      </c>
      <c r="R132" s="6" t="s">
        <v>36</v>
      </c>
      <c r="S132" s="55">
        <f t="shared" ref="S132:S137" si="158">T132+U132</f>
        <v>2072800.65</v>
      </c>
      <c r="T132" s="359">
        <v>2072800.65</v>
      </c>
      <c r="U132" s="234">
        <v>0</v>
      </c>
      <c r="V132" s="57">
        <f t="shared" ref="V132:V133" si="159">W132+X132</f>
        <v>317016.56999999995</v>
      </c>
      <c r="W132" s="234">
        <v>317016.56999999995</v>
      </c>
      <c r="X132" s="234">
        <v>0</v>
      </c>
      <c r="Y132" s="55">
        <f t="shared" ref="Y132:Y133" si="160">Z132+AA132</f>
        <v>48771.78</v>
      </c>
      <c r="Z132" s="234">
        <v>48771.78</v>
      </c>
      <c r="AA132" s="234">
        <v>0</v>
      </c>
      <c r="AB132" s="55">
        <f>AC132+AD132</f>
        <v>0</v>
      </c>
      <c r="AC132" s="234">
        <v>0</v>
      </c>
      <c r="AD132" s="234">
        <v>0</v>
      </c>
      <c r="AE132" s="63">
        <f t="shared" ref="AE132:AE133" si="161">S132+V132+Y132+AB132</f>
        <v>2438588.9999999995</v>
      </c>
      <c r="AF132" s="55">
        <v>0</v>
      </c>
      <c r="AG132" s="55">
        <f t="shared" ref="AG132:AG133" si="162">AE132+AF132</f>
        <v>2438588.9999999995</v>
      </c>
      <c r="AH132" s="60" t="s">
        <v>607</v>
      </c>
      <c r="AI132" s="61" t="s">
        <v>181</v>
      </c>
      <c r="AJ132" s="72">
        <f>25282.91+25835.75</f>
        <v>51118.66</v>
      </c>
      <c r="AK132" s="62">
        <f>3866.8+3951.35</f>
        <v>7818.15</v>
      </c>
    </row>
    <row r="133" spans="1:39" ht="220.5" x14ac:dyDescent="0.25">
      <c r="A133" s="345" t="s">
        <v>1877</v>
      </c>
      <c r="B133" s="417">
        <v>126422</v>
      </c>
      <c r="C133" s="268">
        <v>536</v>
      </c>
      <c r="D133" s="418" t="s">
        <v>864</v>
      </c>
      <c r="E133" s="270" t="s">
        <v>988</v>
      </c>
      <c r="F133" s="235" t="s">
        <v>1153</v>
      </c>
      <c r="G133" s="11" t="s">
        <v>1364</v>
      </c>
      <c r="H133" s="193" t="s">
        <v>743</v>
      </c>
      <c r="I133" s="460" t="s">
        <v>1365</v>
      </c>
      <c r="J133" s="3" t="s">
        <v>1366</v>
      </c>
      <c r="K133" s="148">
        <v>43556</v>
      </c>
      <c r="L133" s="15">
        <v>44470</v>
      </c>
      <c r="M133" s="5">
        <f t="shared" si="137"/>
        <v>84.449828692364051</v>
      </c>
      <c r="N133" s="6">
        <v>5</v>
      </c>
      <c r="O133" s="6" t="s">
        <v>744</v>
      </c>
      <c r="P133" s="48" t="s">
        <v>745</v>
      </c>
      <c r="Q133" s="9" t="s">
        <v>208</v>
      </c>
      <c r="R133" s="6" t="s">
        <v>36</v>
      </c>
      <c r="S133" s="55">
        <f t="shared" si="158"/>
        <v>3195443.02</v>
      </c>
      <c r="T133" s="358">
        <v>3195443.02</v>
      </c>
      <c r="U133" s="358">
        <v>0</v>
      </c>
      <c r="V133" s="57">
        <f t="shared" si="159"/>
        <v>512716.26</v>
      </c>
      <c r="W133" s="358">
        <v>512716.26</v>
      </c>
      <c r="X133" s="356">
        <v>0</v>
      </c>
      <c r="Y133" s="55">
        <f t="shared" si="160"/>
        <v>51185.440000000002</v>
      </c>
      <c r="Z133" s="358">
        <v>51185.440000000002</v>
      </c>
      <c r="AA133" s="358">
        <v>0</v>
      </c>
      <c r="AB133" s="55">
        <f t="shared" ref="AB133" si="163">AC133+AD133</f>
        <v>24491.279999999999</v>
      </c>
      <c r="AC133" s="358">
        <v>24491.279999999999</v>
      </c>
      <c r="AD133" s="356">
        <v>0</v>
      </c>
      <c r="AE133" s="63">
        <f t="shared" si="161"/>
        <v>3783836</v>
      </c>
      <c r="AF133" s="55">
        <v>0</v>
      </c>
      <c r="AG133" s="55">
        <f t="shared" si="162"/>
        <v>3783836</v>
      </c>
      <c r="AH133" s="60" t="s">
        <v>607</v>
      </c>
      <c r="AI133" s="61" t="s">
        <v>1697</v>
      </c>
      <c r="AJ133" s="72">
        <v>78194</v>
      </c>
      <c r="AK133" s="72">
        <v>0</v>
      </c>
    </row>
    <row r="134" spans="1:39" ht="204.75" x14ac:dyDescent="0.25">
      <c r="A134" s="345" t="s">
        <v>1878</v>
      </c>
      <c r="B134" s="417">
        <v>127741</v>
      </c>
      <c r="C134" s="268">
        <v>642</v>
      </c>
      <c r="D134" s="418" t="s">
        <v>1093</v>
      </c>
      <c r="E134" s="270" t="s">
        <v>988</v>
      </c>
      <c r="F134" s="235" t="s">
        <v>1427</v>
      </c>
      <c r="G134" s="11" t="s">
        <v>1465</v>
      </c>
      <c r="H134" s="193" t="s">
        <v>1466</v>
      </c>
      <c r="I134" s="460" t="s">
        <v>181</v>
      </c>
      <c r="J134" s="3" t="s">
        <v>1467</v>
      </c>
      <c r="K134" s="148">
        <v>43622</v>
      </c>
      <c r="L134" s="15">
        <v>44353</v>
      </c>
      <c r="M134" s="5">
        <f t="shared" si="137"/>
        <v>85.000000180308987</v>
      </c>
      <c r="N134" s="6">
        <v>5</v>
      </c>
      <c r="O134" s="6" t="s">
        <v>744</v>
      </c>
      <c r="P134" s="208" t="s">
        <v>1468</v>
      </c>
      <c r="Q134" s="9" t="s">
        <v>208</v>
      </c>
      <c r="R134" s="6" t="s">
        <v>36</v>
      </c>
      <c r="S134" s="55">
        <f t="shared" si="158"/>
        <v>2357064.88</v>
      </c>
      <c r="T134" s="358">
        <v>2357064.88</v>
      </c>
      <c r="U134" s="358">
        <v>0</v>
      </c>
      <c r="V134" s="57">
        <f t="shared" ref="V134:V135" si="164">W134+X134</f>
        <v>360492.27</v>
      </c>
      <c r="W134" s="358">
        <v>360492.27</v>
      </c>
      <c r="X134" s="356">
        <v>0</v>
      </c>
      <c r="Y134" s="55">
        <f t="shared" ref="Y134:Y135" si="165">Z134+AA134</f>
        <v>55460.35</v>
      </c>
      <c r="Z134" s="358">
        <v>55460.35</v>
      </c>
      <c r="AA134" s="358">
        <v>0</v>
      </c>
      <c r="AB134" s="55">
        <f t="shared" ref="AB134:AB135" si="166">AC134+AD134</f>
        <v>0</v>
      </c>
      <c r="AC134" s="358"/>
      <c r="AD134" s="356">
        <v>0</v>
      </c>
      <c r="AE134" s="63">
        <f t="shared" ref="AE134" si="167">S134+V134+Y134+AB134</f>
        <v>2773017.5</v>
      </c>
      <c r="AF134" s="55">
        <v>1</v>
      </c>
      <c r="AG134" s="55">
        <f t="shared" ref="AG134" si="168">AE134+AF134</f>
        <v>2773018.5</v>
      </c>
      <c r="AH134" s="60" t="s">
        <v>607</v>
      </c>
      <c r="AI134" s="61"/>
      <c r="AJ134" s="72">
        <v>0</v>
      </c>
      <c r="AK134" s="72">
        <v>0</v>
      </c>
    </row>
    <row r="135" spans="1:39" ht="220.5" x14ac:dyDescent="0.25">
      <c r="A135" s="345" t="s">
        <v>1879</v>
      </c>
      <c r="B135" s="417">
        <v>128531</v>
      </c>
      <c r="C135" s="268">
        <v>643</v>
      </c>
      <c r="D135" s="418" t="s">
        <v>1093</v>
      </c>
      <c r="E135" s="270" t="s">
        <v>988</v>
      </c>
      <c r="F135" s="235" t="s">
        <v>1427</v>
      </c>
      <c r="G135" s="11" t="s">
        <v>1489</v>
      </c>
      <c r="H135" s="193" t="s">
        <v>1488</v>
      </c>
      <c r="I135" s="460" t="s">
        <v>181</v>
      </c>
      <c r="J135" s="3" t="s">
        <v>1490</v>
      </c>
      <c r="K135" s="148">
        <v>43634</v>
      </c>
      <c r="L135" s="15">
        <v>44365</v>
      </c>
      <c r="M135" s="5">
        <f t="shared" si="137"/>
        <v>85</v>
      </c>
      <c r="N135" s="6">
        <v>5</v>
      </c>
      <c r="O135" s="6" t="s">
        <v>744</v>
      </c>
      <c r="P135" s="212" t="s">
        <v>1491</v>
      </c>
      <c r="Q135" s="9" t="s">
        <v>208</v>
      </c>
      <c r="R135" s="6" t="s">
        <v>36</v>
      </c>
      <c r="S135" s="55">
        <f t="shared" si="158"/>
        <v>2728625.8</v>
      </c>
      <c r="T135" s="358">
        <v>2728625.8</v>
      </c>
      <c r="U135" s="358">
        <v>0</v>
      </c>
      <c r="V135" s="57">
        <f t="shared" si="164"/>
        <v>417319.24</v>
      </c>
      <c r="W135" s="358">
        <v>417319.24</v>
      </c>
      <c r="X135" s="356">
        <v>0</v>
      </c>
      <c r="Y135" s="55">
        <f t="shared" si="165"/>
        <v>64202.96</v>
      </c>
      <c r="Z135" s="358">
        <v>64202.96</v>
      </c>
      <c r="AA135" s="358">
        <v>0</v>
      </c>
      <c r="AB135" s="55">
        <f t="shared" si="166"/>
        <v>0</v>
      </c>
      <c r="AC135" s="358"/>
      <c r="AD135" s="356"/>
      <c r="AE135" s="63">
        <f t="shared" ref="AE135" si="169">S135+V135+Y135+AB135</f>
        <v>3210148</v>
      </c>
      <c r="AF135" s="55"/>
      <c r="AG135" s="55">
        <f t="shared" ref="AG135" si="170">AE135+AF135</f>
        <v>3210148</v>
      </c>
      <c r="AH135" s="60" t="s">
        <v>607</v>
      </c>
      <c r="AI135" s="61"/>
      <c r="AJ135" s="72">
        <v>0</v>
      </c>
      <c r="AK135" s="72">
        <v>0</v>
      </c>
    </row>
    <row r="136" spans="1:39" ht="141.75" x14ac:dyDescent="0.25">
      <c r="A136" s="345" t="s">
        <v>1880</v>
      </c>
      <c r="B136" s="417">
        <v>129575</v>
      </c>
      <c r="C136" s="268">
        <v>659</v>
      </c>
      <c r="D136" s="418" t="s">
        <v>1334</v>
      </c>
      <c r="E136" s="270" t="s">
        <v>988</v>
      </c>
      <c r="F136" s="235" t="s">
        <v>1427</v>
      </c>
      <c r="G136" s="11" t="s">
        <v>1518</v>
      </c>
      <c r="H136" s="193" t="s">
        <v>1516</v>
      </c>
      <c r="I136" s="460" t="s">
        <v>181</v>
      </c>
      <c r="J136" s="3" t="s">
        <v>1519</v>
      </c>
      <c r="K136" s="148">
        <v>43640</v>
      </c>
      <c r="L136" s="15">
        <v>44371</v>
      </c>
      <c r="M136" s="5">
        <f t="shared" si="137"/>
        <v>85</v>
      </c>
      <c r="N136" s="6">
        <v>5</v>
      </c>
      <c r="O136" s="6" t="s">
        <v>744</v>
      </c>
      <c r="P136" s="215" t="s">
        <v>1517</v>
      </c>
      <c r="Q136" s="9" t="s">
        <v>208</v>
      </c>
      <c r="R136" s="6" t="s">
        <v>36</v>
      </c>
      <c r="S136" s="55">
        <f t="shared" si="158"/>
        <v>2733685.85</v>
      </c>
      <c r="T136" s="358">
        <v>2733685.85</v>
      </c>
      <c r="U136" s="358">
        <v>0</v>
      </c>
      <c r="V136" s="57">
        <f>W136+X136</f>
        <v>418093.13</v>
      </c>
      <c r="W136" s="358">
        <v>418093.13</v>
      </c>
      <c r="X136" s="384">
        <v>0</v>
      </c>
      <c r="Y136" s="55">
        <f>Z136+AA136</f>
        <v>64322.02</v>
      </c>
      <c r="Z136" s="358">
        <v>64322.02</v>
      </c>
      <c r="AA136" s="358">
        <v>0</v>
      </c>
      <c r="AB136" s="55">
        <f>AC136+AD136</f>
        <v>0</v>
      </c>
      <c r="AC136" s="358">
        <v>0</v>
      </c>
      <c r="AD136" s="358">
        <v>0</v>
      </c>
      <c r="AE136" s="63">
        <f>S136+V136+Y136+AB136</f>
        <v>3216101</v>
      </c>
      <c r="AF136" s="55">
        <v>0</v>
      </c>
      <c r="AG136" s="55">
        <f>AE136+AF136</f>
        <v>3216101</v>
      </c>
      <c r="AH136" s="60" t="s">
        <v>607</v>
      </c>
      <c r="AI136" s="61"/>
      <c r="AJ136" s="72">
        <v>321610</v>
      </c>
      <c r="AK136" s="72">
        <v>0</v>
      </c>
    </row>
    <row r="137" spans="1:39" ht="204.75" x14ac:dyDescent="0.25">
      <c r="A137" s="345" t="s">
        <v>1881</v>
      </c>
      <c r="B137" s="235">
        <v>128870</v>
      </c>
      <c r="C137" s="268">
        <v>668</v>
      </c>
      <c r="D137" s="235" t="s">
        <v>159</v>
      </c>
      <c r="E137" s="270" t="s">
        <v>988</v>
      </c>
      <c r="F137" s="419" t="s">
        <v>1427</v>
      </c>
      <c r="G137" s="16" t="s">
        <v>1676</v>
      </c>
      <c r="H137" s="11" t="s">
        <v>277</v>
      </c>
      <c r="I137" s="260" t="s">
        <v>181</v>
      </c>
      <c r="J137" s="36" t="s">
        <v>1677</v>
      </c>
      <c r="K137" s="148">
        <v>43697</v>
      </c>
      <c r="L137" s="267" t="s">
        <v>1678</v>
      </c>
      <c r="M137" s="5">
        <f t="shared" si="137"/>
        <v>85.000000000000014</v>
      </c>
      <c r="N137" s="6">
        <v>5</v>
      </c>
      <c r="O137" s="6" t="s">
        <v>744</v>
      </c>
      <c r="P137" s="6" t="s">
        <v>281</v>
      </c>
      <c r="Q137" s="10" t="s">
        <v>208</v>
      </c>
      <c r="R137" s="8" t="s">
        <v>36</v>
      </c>
      <c r="S137" s="57">
        <f t="shared" si="158"/>
        <v>2288366.6000000006</v>
      </c>
      <c r="T137" s="234">
        <v>2288366.6000000006</v>
      </c>
      <c r="U137" s="234">
        <v>0</v>
      </c>
      <c r="V137" s="57">
        <f>W137+X137</f>
        <v>349985.48</v>
      </c>
      <c r="W137" s="234">
        <v>349985.48</v>
      </c>
      <c r="X137" s="234">
        <v>0</v>
      </c>
      <c r="Y137" s="57">
        <f>Z137+AA137</f>
        <v>53843.92</v>
      </c>
      <c r="Z137" s="234">
        <v>53843.92</v>
      </c>
      <c r="AA137" s="234">
        <v>0</v>
      </c>
      <c r="AB137" s="58">
        <f>AC137+AD137</f>
        <v>0</v>
      </c>
      <c r="AC137" s="234">
        <v>0</v>
      </c>
      <c r="AD137" s="234">
        <v>0</v>
      </c>
      <c r="AE137" s="63">
        <f>S137+V137+Y137+AB137</f>
        <v>2692196.0000000005</v>
      </c>
      <c r="AF137" s="55">
        <v>0</v>
      </c>
      <c r="AG137" s="55">
        <f>AE137+AF137</f>
        <v>2692196.0000000005</v>
      </c>
      <c r="AH137" s="60" t="s">
        <v>607</v>
      </c>
      <c r="AI137" s="61" t="s">
        <v>181</v>
      </c>
      <c r="AJ137" s="72"/>
      <c r="AK137" s="62"/>
    </row>
    <row r="138" spans="1:39" ht="173.25" x14ac:dyDescent="0.25">
      <c r="A138" s="345" t="s">
        <v>1882</v>
      </c>
      <c r="B138" s="271">
        <v>120482</v>
      </c>
      <c r="C138" s="268">
        <v>68</v>
      </c>
      <c r="D138" s="235" t="s">
        <v>705</v>
      </c>
      <c r="E138" s="270" t="s">
        <v>988</v>
      </c>
      <c r="F138" s="419" t="s">
        <v>354</v>
      </c>
      <c r="G138" s="11" t="s">
        <v>303</v>
      </c>
      <c r="H138" s="11" t="s">
        <v>306</v>
      </c>
      <c r="I138" s="235" t="s">
        <v>181</v>
      </c>
      <c r="J138" s="3" t="s">
        <v>309</v>
      </c>
      <c r="K138" s="274">
        <v>43145</v>
      </c>
      <c r="L138" s="275">
        <v>43630</v>
      </c>
      <c r="M138" s="5">
        <f t="shared" si="137"/>
        <v>85</v>
      </c>
      <c r="N138" s="6">
        <v>3</v>
      </c>
      <c r="O138" s="6" t="s">
        <v>310</v>
      </c>
      <c r="P138" s="6" t="s">
        <v>311</v>
      </c>
      <c r="Q138" s="9" t="s">
        <v>208</v>
      </c>
      <c r="R138" s="6" t="s">
        <v>36</v>
      </c>
      <c r="S138" s="55">
        <f>T138+U138</f>
        <v>508342.5</v>
      </c>
      <c r="T138" s="359">
        <v>508342.5</v>
      </c>
      <c r="U138" s="234">
        <v>0</v>
      </c>
      <c r="V138" s="57">
        <f t="shared" si="147"/>
        <v>77746.5</v>
      </c>
      <c r="W138" s="234">
        <v>77746.5</v>
      </c>
      <c r="X138" s="234">
        <v>0</v>
      </c>
      <c r="Y138" s="55">
        <f t="shared" ref="Y138" si="171">Z138+AA138</f>
        <v>11961</v>
      </c>
      <c r="Z138" s="234">
        <v>11961</v>
      </c>
      <c r="AA138" s="234">
        <v>0</v>
      </c>
      <c r="AB138" s="55">
        <f t="shared" si="149"/>
        <v>0</v>
      </c>
      <c r="AC138" s="234"/>
      <c r="AD138" s="234"/>
      <c r="AE138" s="63">
        <f t="shared" si="129"/>
        <v>598050</v>
      </c>
      <c r="AF138" s="55">
        <v>0</v>
      </c>
      <c r="AG138" s="55">
        <f t="shared" si="150"/>
        <v>598050</v>
      </c>
      <c r="AH138" s="60" t="s">
        <v>1092</v>
      </c>
      <c r="AI138" s="61"/>
      <c r="AJ138" s="72">
        <f>139474.65+11873.47+58460.39+21305.82+73284.52</f>
        <v>304398.85000000003</v>
      </c>
      <c r="AK138" s="62">
        <f>21331.41+1815.94+8941+3258.54+11208.22</f>
        <v>46555.11</v>
      </c>
    </row>
    <row r="139" spans="1:39" ht="362.25" x14ac:dyDescent="0.25">
      <c r="A139" s="345" t="s">
        <v>1883</v>
      </c>
      <c r="B139" s="271">
        <v>122108</v>
      </c>
      <c r="C139" s="268">
        <v>83</v>
      </c>
      <c r="D139" s="235" t="s">
        <v>705</v>
      </c>
      <c r="E139" s="270" t="s">
        <v>988</v>
      </c>
      <c r="F139" s="419" t="s">
        <v>354</v>
      </c>
      <c r="G139" s="11" t="s">
        <v>488</v>
      </c>
      <c r="H139" s="11" t="s">
        <v>489</v>
      </c>
      <c r="I139" s="235" t="s">
        <v>181</v>
      </c>
      <c r="J139" s="3" t="s">
        <v>541</v>
      </c>
      <c r="K139" s="148">
        <v>43234</v>
      </c>
      <c r="L139" s="273">
        <v>43722</v>
      </c>
      <c r="M139" s="5">
        <f t="shared" si="137"/>
        <v>84.999995128143141</v>
      </c>
      <c r="N139" s="6">
        <v>3</v>
      </c>
      <c r="O139" s="6" t="s">
        <v>310</v>
      </c>
      <c r="P139" s="6" t="s">
        <v>490</v>
      </c>
      <c r="Q139" s="9" t="s">
        <v>208</v>
      </c>
      <c r="R139" s="6" t="s">
        <v>36</v>
      </c>
      <c r="S139" s="55">
        <f>T139+U139</f>
        <v>322772.19</v>
      </c>
      <c r="T139" s="348">
        <v>322772.19</v>
      </c>
      <c r="U139" s="364">
        <v>0</v>
      </c>
      <c r="V139" s="57">
        <f t="shared" ref="V139" si="172">W139+X139</f>
        <v>49365.18</v>
      </c>
      <c r="W139" s="234">
        <v>49365.18</v>
      </c>
      <c r="X139" s="234">
        <v>0</v>
      </c>
      <c r="Y139" s="55">
        <f t="shared" ref="Y139" si="173">Z139+AA139</f>
        <v>7594.64</v>
      </c>
      <c r="Z139" s="234">
        <v>7594.64</v>
      </c>
      <c r="AA139" s="234">
        <v>0</v>
      </c>
      <c r="AB139" s="55">
        <f t="shared" ref="AB139" si="174">AC139+AD139</f>
        <v>0</v>
      </c>
      <c r="AC139" s="234">
        <v>0</v>
      </c>
      <c r="AD139" s="234">
        <v>0</v>
      </c>
      <c r="AE139" s="63">
        <v>379732.01</v>
      </c>
      <c r="AF139" s="55">
        <v>55635.199999999997</v>
      </c>
      <c r="AG139" s="55">
        <f t="shared" si="150"/>
        <v>435367.21</v>
      </c>
      <c r="AH139" s="60" t="s">
        <v>607</v>
      </c>
      <c r="AI139" s="61" t="s">
        <v>1460</v>
      </c>
      <c r="AJ139" s="72">
        <f>33333.97+12894.42+14394.75+147169.39</f>
        <v>207792.53000000003</v>
      </c>
      <c r="AK139" s="62">
        <f>5098.14+1972.08+2201.55+22508.24</f>
        <v>31780.010000000002</v>
      </c>
    </row>
    <row r="140" spans="1:39" ht="204.75" x14ac:dyDescent="0.25">
      <c r="A140" s="345" t="s">
        <v>1884</v>
      </c>
      <c r="B140" s="420">
        <v>118782</v>
      </c>
      <c r="C140" s="260">
        <v>444</v>
      </c>
      <c r="D140" s="260" t="s">
        <v>705</v>
      </c>
      <c r="E140" s="270" t="s">
        <v>725</v>
      </c>
      <c r="F140" s="419" t="s">
        <v>632</v>
      </c>
      <c r="G140" s="14" t="s">
        <v>851</v>
      </c>
      <c r="H140" s="14" t="s">
        <v>850</v>
      </c>
      <c r="I140" s="418"/>
      <c r="J140" s="118" t="s">
        <v>849</v>
      </c>
      <c r="K140" s="148">
        <v>43304</v>
      </c>
      <c r="L140" s="15">
        <v>43791</v>
      </c>
      <c r="M140" s="5">
        <f t="shared" si="137"/>
        <v>85</v>
      </c>
      <c r="N140" s="48">
        <v>3</v>
      </c>
      <c r="O140" s="6" t="s">
        <v>310</v>
      </c>
      <c r="P140" s="26" t="s">
        <v>852</v>
      </c>
      <c r="Q140" s="9" t="s">
        <v>208</v>
      </c>
      <c r="R140" s="6" t="s">
        <v>36</v>
      </c>
      <c r="S140" s="55">
        <v>242091.39</v>
      </c>
      <c r="T140" s="365">
        <f>S140</f>
        <v>242091.39</v>
      </c>
      <c r="U140" s="356">
        <v>0</v>
      </c>
      <c r="V140" s="57">
        <v>37025.74</v>
      </c>
      <c r="W140" s="207">
        <f>V140</f>
        <v>37025.74</v>
      </c>
      <c r="X140" s="356">
        <v>0</v>
      </c>
      <c r="Y140" s="72">
        <v>5696.27</v>
      </c>
      <c r="Z140" s="207">
        <f>Y140</f>
        <v>5696.27</v>
      </c>
      <c r="AA140" s="207">
        <v>0</v>
      </c>
      <c r="AB140" s="55">
        <f t="shared" si="149"/>
        <v>0</v>
      </c>
      <c r="AC140" s="356"/>
      <c r="AD140" s="356"/>
      <c r="AE140" s="63">
        <f>S140+V140+Y140+AB140</f>
        <v>284813.40000000002</v>
      </c>
      <c r="AF140" s="66"/>
      <c r="AG140" s="55">
        <f t="shared" si="150"/>
        <v>284813.40000000002</v>
      </c>
      <c r="AH140" s="60" t="s">
        <v>607</v>
      </c>
      <c r="AI140" s="66" t="s">
        <v>1597</v>
      </c>
      <c r="AJ140" s="55">
        <f>28481.34-3066.97+23120.26-3309.72+24950.16-2330.24</f>
        <v>67844.829999999987</v>
      </c>
      <c r="AK140" s="55">
        <f>3066.97+3309.72+3999.58</f>
        <v>10376.27</v>
      </c>
    </row>
    <row r="141" spans="1:39" s="7" customFormat="1" ht="315" x14ac:dyDescent="0.25">
      <c r="A141" s="345" t="s">
        <v>1885</v>
      </c>
      <c r="B141" s="420">
        <v>118562</v>
      </c>
      <c r="C141" s="260">
        <v>430</v>
      </c>
      <c r="D141" s="260" t="s">
        <v>705</v>
      </c>
      <c r="E141" s="270" t="s">
        <v>725</v>
      </c>
      <c r="F141" s="419" t="s">
        <v>632</v>
      </c>
      <c r="G141" s="14" t="s">
        <v>910</v>
      </c>
      <c r="H141" s="26" t="s">
        <v>911</v>
      </c>
      <c r="I141" s="418" t="s">
        <v>181</v>
      </c>
      <c r="J141" s="118" t="s">
        <v>912</v>
      </c>
      <c r="K141" s="148">
        <v>43318</v>
      </c>
      <c r="L141" s="15">
        <v>43683</v>
      </c>
      <c r="M141" s="5">
        <f t="shared" si="137"/>
        <v>85</v>
      </c>
      <c r="N141" s="48">
        <v>3</v>
      </c>
      <c r="O141" s="6" t="s">
        <v>310</v>
      </c>
      <c r="P141" s="26" t="s">
        <v>311</v>
      </c>
      <c r="Q141" s="9" t="s">
        <v>208</v>
      </c>
      <c r="R141" s="6" t="s">
        <v>36</v>
      </c>
      <c r="S141" s="55">
        <f>T141+U141</f>
        <v>244199.22</v>
      </c>
      <c r="T141" s="365">
        <v>244199.22</v>
      </c>
      <c r="U141" s="356">
        <v>0</v>
      </c>
      <c r="V141" s="57">
        <f>W141+X141</f>
        <v>37348.11</v>
      </c>
      <c r="W141" s="207">
        <v>37348.11</v>
      </c>
      <c r="X141" s="356">
        <v>0</v>
      </c>
      <c r="Y141" s="72">
        <f>Z141+AA141</f>
        <v>5745.87</v>
      </c>
      <c r="Z141" s="207">
        <v>5745.87</v>
      </c>
      <c r="AA141" s="207">
        <v>0</v>
      </c>
      <c r="AC141" s="356">
        <v>0</v>
      </c>
      <c r="AD141" s="356">
        <v>0</v>
      </c>
      <c r="AE141" s="63">
        <f>S141+V141+Y141+AB142</f>
        <v>287293.2</v>
      </c>
      <c r="AF141" s="66">
        <v>0</v>
      </c>
      <c r="AG141" s="55">
        <f t="shared" si="150"/>
        <v>287293.2</v>
      </c>
      <c r="AH141" s="60" t="s">
        <v>1092</v>
      </c>
      <c r="AI141" s="66"/>
      <c r="AJ141" s="55">
        <f>28906.01+15593.07+82554.33</f>
        <v>127053.41</v>
      </c>
      <c r="AK141" s="55">
        <f>4420.92+2384.82+12625.96</f>
        <v>19431.699999999997</v>
      </c>
    </row>
    <row r="142" spans="1:39" s="7" customFormat="1" ht="315" x14ac:dyDescent="0.25">
      <c r="A142" s="345" t="s">
        <v>1886</v>
      </c>
      <c r="B142" s="420">
        <v>128788</v>
      </c>
      <c r="C142" s="260">
        <v>632</v>
      </c>
      <c r="D142" s="260" t="s">
        <v>705</v>
      </c>
      <c r="E142" s="270" t="s">
        <v>988</v>
      </c>
      <c r="F142" s="419" t="s">
        <v>1427</v>
      </c>
      <c r="G142" s="14" t="s">
        <v>1456</v>
      </c>
      <c r="H142" s="26" t="s">
        <v>1453</v>
      </c>
      <c r="I142" s="418" t="s">
        <v>181</v>
      </c>
      <c r="J142" s="118" t="s">
        <v>1455</v>
      </c>
      <c r="K142" s="148">
        <v>43622</v>
      </c>
      <c r="L142" s="15">
        <v>44475</v>
      </c>
      <c r="M142" s="5">
        <f t="shared" si="137"/>
        <v>85.000000230035937</v>
      </c>
      <c r="N142" s="206">
        <v>3</v>
      </c>
      <c r="O142" s="6" t="s">
        <v>310</v>
      </c>
      <c r="P142" s="26" t="s">
        <v>1454</v>
      </c>
      <c r="Q142" s="9" t="s">
        <v>208</v>
      </c>
      <c r="R142" s="6" t="s">
        <v>36</v>
      </c>
      <c r="S142" s="55">
        <f>T142+U142</f>
        <v>1847537.48</v>
      </c>
      <c r="T142" s="365">
        <v>1847537.48</v>
      </c>
      <c r="U142" s="356">
        <v>0</v>
      </c>
      <c r="V142" s="57">
        <f>W142+X142</f>
        <v>282564.55</v>
      </c>
      <c r="W142" s="207">
        <v>282564.55</v>
      </c>
      <c r="X142" s="356">
        <v>0</v>
      </c>
      <c r="Y142" s="72">
        <f>Z142+AA142</f>
        <v>43471.47</v>
      </c>
      <c r="Z142" s="207">
        <v>43471.47</v>
      </c>
      <c r="AA142" s="207">
        <v>0</v>
      </c>
      <c r="AB142" s="207">
        <f>AC142+AD142</f>
        <v>0</v>
      </c>
      <c r="AC142" s="356">
        <v>0</v>
      </c>
      <c r="AD142" s="356">
        <v>0</v>
      </c>
      <c r="AE142" s="63">
        <f>S142+V142+Y142+AB142</f>
        <v>2173573.5</v>
      </c>
      <c r="AF142" s="66">
        <v>0</v>
      </c>
      <c r="AG142" s="55">
        <f t="shared" si="150"/>
        <v>2173573.5</v>
      </c>
      <c r="AH142" s="60" t="s">
        <v>607</v>
      </c>
      <c r="AI142" s="66"/>
      <c r="AJ142" s="55">
        <v>118072.5</v>
      </c>
      <c r="AK142" s="55">
        <v>0</v>
      </c>
    </row>
    <row r="143" spans="1:39" s="7" customFormat="1" ht="157.5" x14ac:dyDescent="0.25">
      <c r="A143" s="345" t="s">
        <v>1887</v>
      </c>
      <c r="B143" s="420">
        <v>129218</v>
      </c>
      <c r="C143" s="260">
        <v>645</v>
      </c>
      <c r="D143" s="260" t="s">
        <v>1093</v>
      </c>
      <c r="E143" s="270" t="s">
        <v>988</v>
      </c>
      <c r="F143" s="419" t="s">
        <v>1427</v>
      </c>
      <c r="G143" s="217" t="s">
        <v>1523</v>
      </c>
      <c r="H143" s="26" t="s">
        <v>1524</v>
      </c>
      <c r="I143" s="418" t="s">
        <v>181</v>
      </c>
      <c r="J143" s="118" t="s">
        <v>1525</v>
      </c>
      <c r="K143" s="148">
        <v>43643</v>
      </c>
      <c r="L143" s="15">
        <v>44192</v>
      </c>
      <c r="M143" s="5">
        <f t="shared" si="137"/>
        <v>84.999999707660962</v>
      </c>
      <c r="N143" s="216">
        <v>3</v>
      </c>
      <c r="O143" s="6" t="s">
        <v>310</v>
      </c>
      <c r="P143" s="26" t="s">
        <v>490</v>
      </c>
      <c r="Q143" s="9" t="s">
        <v>208</v>
      </c>
      <c r="R143" s="6" t="s">
        <v>36</v>
      </c>
      <c r="S143" s="55">
        <f>T143+U143</f>
        <v>2326066.37</v>
      </c>
      <c r="T143" s="365">
        <v>2326066.37</v>
      </c>
      <c r="U143" s="356">
        <v>0</v>
      </c>
      <c r="V143" s="57">
        <f>W143+X143</f>
        <v>355751.33</v>
      </c>
      <c r="W143" s="207">
        <v>355751.33</v>
      </c>
      <c r="X143" s="356">
        <v>0</v>
      </c>
      <c r="Y143" s="72">
        <f>Z143+AA143</f>
        <v>54730.98</v>
      </c>
      <c r="Z143" s="207">
        <v>54730.98</v>
      </c>
      <c r="AA143" s="207">
        <v>0</v>
      </c>
      <c r="AB143" s="207">
        <f>AC143+AD143</f>
        <v>0</v>
      </c>
      <c r="AC143" s="356">
        <v>0</v>
      </c>
      <c r="AD143" s="356">
        <v>0</v>
      </c>
      <c r="AE143" s="63">
        <f>S143+V143+Y143+AB143</f>
        <v>2736548.68</v>
      </c>
      <c r="AF143" s="66">
        <v>0</v>
      </c>
      <c r="AG143" s="55">
        <f t="shared" si="150"/>
        <v>2736548.68</v>
      </c>
      <c r="AH143" s="60" t="s">
        <v>607</v>
      </c>
      <c r="AI143" s="66"/>
      <c r="AJ143" s="55">
        <v>0</v>
      </c>
      <c r="AK143" s="55">
        <v>0</v>
      </c>
    </row>
    <row r="144" spans="1:39" s="256" customFormat="1" ht="220.5" x14ac:dyDescent="0.35">
      <c r="A144" s="345" t="s">
        <v>1888</v>
      </c>
      <c r="B144" s="235">
        <v>128275</v>
      </c>
      <c r="C144" s="260">
        <v>636</v>
      </c>
      <c r="D144" s="235" t="s">
        <v>170</v>
      </c>
      <c r="E144" s="260" t="s">
        <v>988</v>
      </c>
      <c r="F144" s="427" t="s">
        <v>1427</v>
      </c>
      <c r="G144" s="252" t="s">
        <v>1474</v>
      </c>
      <c r="H144" s="252" t="s">
        <v>1472</v>
      </c>
      <c r="I144" s="418" t="s">
        <v>181</v>
      </c>
      <c r="J144" s="253" t="s">
        <v>1479</v>
      </c>
      <c r="K144" s="236">
        <v>43629</v>
      </c>
      <c r="L144" s="236">
        <v>44360</v>
      </c>
      <c r="M144" s="5">
        <f t="shared" si="137"/>
        <v>85.000000189128897</v>
      </c>
      <c r="N144" s="235">
        <v>1</v>
      </c>
      <c r="O144" s="235" t="s">
        <v>838</v>
      </c>
      <c r="P144" s="235" t="s">
        <v>1477</v>
      </c>
      <c r="Q144" s="235" t="s">
        <v>208</v>
      </c>
      <c r="R144" s="235" t="s">
        <v>36</v>
      </c>
      <c r="S144" s="234">
        <f>T144+U144</f>
        <v>2247144.58</v>
      </c>
      <c r="T144" s="261">
        <v>2247144.58</v>
      </c>
      <c r="U144" s="262">
        <v>0</v>
      </c>
      <c r="V144" s="254">
        <f>W144+X144</f>
        <v>343680.93</v>
      </c>
      <c r="W144" s="263">
        <v>343680.93</v>
      </c>
      <c r="X144" s="264">
        <v>0</v>
      </c>
      <c r="Y144" s="255">
        <f>Z144+AA144</f>
        <v>52873.99</v>
      </c>
      <c r="Z144" s="263">
        <v>52873.99</v>
      </c>
      <c r="AA144" s="265">
        <v>0</v>
      </c>
      <c r="AB144" s="255">
        <f>AC144+AD144</f>
        <v>0</v>
      </c>
      <c r="AC144" s="263">
        <v>0</v>
      </c>
      <c r="AD144" s="265">
        <v>0</v>
      </c>
      <c r="AE144" s="234">
        <f>S144+V144+Y144+AB144</f>
        <v>2643699.5000000005</v>
      </c>
      <c r="AF144" s="256">
        <v>0</v>
      </c>
      <c r="AG144" s="234">
        <f>AE144+AF144</f>
        <v>2643699.5000000005</v>
      </c>
      <c r="AH144" s="60" t="s">
        <v>607</v>
      </c>
      <c r="AI144" s="257"/>
      <c r="AJ144" s="258">
        <v>0</v>
      </c>
      <c r="AK144" s="259">
        <v>0</v>
      </c>
    </row>
    <row r="145" spans="1:37" ht="267.75" x14ac:dyDescent="0.25">
      <c r="A145" s="345" t="s">
        <v>1889</v>
      </c>
      <c r="B145" s="260">
        <v>119895</v>
      </c>
      <c r="C145" s="260">
        <v>458</v>
      </c>
      <c r="D145" s="260" t="s">
        <v>1093</v>
      </c>
      <c r="E145" s="260" t="s">
        <v>1060</v>
      </c>
      <c r="F145" s="427" t="s">
        <v>862</v>
      </c>
      <c r="G145" s="158" t="s">
        <v>871</v>
      </c>
      <c r="H145" s="158" t="s">
        <v>872</v>
      </c>
      <c r="I145" s="418" t="s">
        <v>181</v>
      </c>
      <c r="J145" s="14" t="s">
        <v>873</v>
      </c>
      <c r="K145" s="148">
        <v>43312</v>
      </c>
      <c r="L145" s="15">
        <v>43830</v>
      </c>
      <c r="M145" s="5">
        <f t="shared" si="137"/>
        <v>79.999998251321642</v>
      </c>
      <c r="N145" s="26">
        <v>8</v>
      </c>
      <c r="O145" s="6" t="s">
        <v>874</v>
      </c>
      <c r="P145" s="6" t="s">
        <v>875</v>
      </c>
      <c r="Q145" s="6" t="s">
        <v>208</v>
      </c>
      <c r="R145" s="6" t="s">
        <v>36</v>
      </c>
      <c r="S145" s="55">
        <f>T145+U145</f>
        <v>457488.35</v>
      </c>
      <c r="T145" s="366">
        <v>0</v>
      </c>
      <c r="U145" s="367">
        <v>457488.35</v>
      </c>
      <c r="V145" s="57">
        <f t="shared" si="147"/>
        <v>102934.89</v>
      </c>
      <c r="W145" s="367">
        <v>0</v>
      </c>
      <c r="X145" s="371">
        <v>102934.89</v>
      </c>
      <c r="Y145" s="55">
        <f>Z145+AA145</f>
        <v>11437.21</v>
      </c>
      <c r="Z145" s="367">
        <v>0</v>
      </c>
      <c r="AA145" s="392">
        <v>11437.21</v>
      </c>
      <c r="AB145" s="55">
        <f t="shared" si="149"/>
        <v>0</v>
      </c>
      <c r="AC145" s="367">
        <v>0</v>
      </c>
      <c r="AD145" s="392">
        <v>0</v>
      </c>
      <c r="AE145" s="63">
        <f>S145+V145+Y145+AB145</f>
        <v>571860.44999999995</v>
      </c>
      <c r="AF145" s="55">
        <v>0</v>
      </c>
      <c r="AG145" s="55">
        <f t="shared" si="150"/>
        <v>571860.44999999995</v>
      </c>
      <c r="AH145" s="60" t="s">
        <v>607</v>
      </c>
      <c r="AI145" s="66"/>
      <c r="AJ145" s="58">
        <v>26798.799999999999</v>
      </c>
      <c r="AK145" s="55">
        <v>6029.73</v>
      </c>
    </row>
    <row r="146" spans="1:37" ht="141.75" x14ac:dyDescent="0.25">
      <c r="A146" s="345" t="s">
        <v>1890</v>
      </c>
      <c r="B146" s="420">
        <v>126391</v>
      </c>
      <c r="C146" s="260">
        <v>508</v>
      </c>
      <c r="D146" s="260" t="s">
        <v>864</v>
      </c>
      <c r="E146" s="260" t="s">
        <v>988</v>
      </c>
      <c r="F146" s="235" t="s">
        <v>1160</v>
      </c>
      <c r="G146" s="14" t="s">
        <v>1221</v>
      </c>
      <c r="H146" s="158" t="s">
        <v>872</v>
      </c>
      <c r="I146" s="418" t="s">
        <v>181</v>
      </c>
      <c r="J146" s="14" t="s">
        <v>1222</v>
      </c>
      <c r="K146" s="148">
        <v>43452</v>
      </c>
      <c r="L146" s="15">
        <v>44365</v>
      </c>
      <c r="M146" s="5">
        <f t="shared" si="137"/>
        <v>80.000000098352359</v>
      </c>
      <c r="N146" s="26">
        <v>8</v>
      </c>
      <c r="O146" s="6" t="s">
        <v>874</v>
      </c>
      <c r="P146" s="6" t="s">
        <v>875</v>
      </c>
      <c r="Q146" s="6" t="s">
        <v>208</v>
      </c>
      <c r="R146" s="6" t="s">
        <v>36</v>
      </c>
      <c r="S146" s="55">
        <f t="shared" ref="S146:S147" si="175">T146+U146</f>
        <v>1626803.97</v>
      </c>
      <c r="T146" s="368">
        <v>0</v>
      </c>
      <c r="U146" s="369">
        <v>1626803.97</v>
      </c>
      <c r="V146" s="69">
        <f t="shared" si="147"/>
        <v>366030.89</v>
      </c>
      <c r="W146" s="370">
        <v>0</v>
      </c>
      <c r="X146" s="349">
        <v>366030.89</v>
      </c>
      <c r="Y146" s="62">
        <f>Z146+AA146</f>
        <v>40670.1</v>
      </c>
      <c r="Z146" s="370">
        <v>0</v>
      </c>
      <c r="AA146" s="370">
        <v>40670.1</v>
      </c>
      <c r="AB146" s="55">
        <f t="shared" si="149"/>
        <v>0</v>
      </c>
      <c r="AC146" s="370">
        <v>0</v>
      </c>
      <c r="AD146" s="370">
        <v>0</v>
      </c>
      <c r="AE146" s="63">
        <f>S146+V146+Y146+AB146</f>
        <v>2033504.96</v>
      </c>
      <c r="AF146" s="95">
        <v>485522.74</v>
      </c>
      <c r="AG146" s="55">
        <f t="shared" si="150"/>
        <v>2519027.7000000002</v>
      </c>
      <c r="AH146" s="60" t="s">
        <v>607</v>
      </c>
      <c r="AI146" s="66"/>
      <c r="AJ146" s="55">
        <v>0</v>
      </c>
      <c r="AK146" s="55">
        <v>0</v>
      </c>
    </row>
    <row r="147" spans="1:37" ht="141.75" x14ac:dyDescent="0.25">
      <c r="A147" s="345" t="s">
        <v>1891</v>
      </c>
      <c r="B147" s="420">
        <v>128946</v>
      </c>
      <c r="C147" s="260">
        <v>654</v>
      </c>
      <c r="D147" s="260" t="s">
        <v>864</v>
      </c>
      <c r="E147" s="260" t="s">
        <v>988</v>
      </c>
      <c r="F147" s="235" t="s">
        <v>1495</v>
      </c>
      <c r="G147" s="14" t="s">
        <v>1562</v>
      </c>
      <c r="H147" s="158" t="s">
        <v>872</v>
      </c>
      <c r="I147" s="418" t="s">
        <v>181</v>
      </c>
      <c r="J147" s="14" t="s">
        <v>1563</v>
      </c>
      <c r="K147" s="148">
        <v>43657</v>
      </c>
      <c r="L147" s="15">
        <v>44207</v>
      </c>
      <c r="M147" s="5">
        <f t="shared" si="137"/>
        <v>80</v>
      </c>
      <c r="N147" s="26">
        <v>8</v>
      </c>
      <c r="O147" s="6" t="s">
        <v>874</v>
      </c>
      <c r="P147" s="6" t="s">
        <v>875</v>
      </c>
      <c r="Q147" s="6" t="s">
        <v>208</v>
      </c>
      <c r="R147" s="6" t="s">
        <v>36</v>
      </c>
      <c r="S147" s="55">
        <f t="shared" si="175"/>
        <v>271938.8</v>
      </c>
      <c r="T147" s="370">
        <v>0</v>
      </c>
      <c r="U147" s="207">
        <v>271938.8</v>
      </c>
      <c r="V147" s="69">
        <f t="shared" si="147"/>
        <v>61186.239999999998</v>
      </c>
      <c r="W147" s="370">
        <v>0</v>
      </c>
      <c r="X147" s="349">
        <v>61186.239999999998</v>
      </c>
      <c r="Y147" s="62">
        <f>Z147+AA147</f>
        <v>6798.46</v>
      </c>
      <c r="Z147" s="370">
        <v>0</v>
      </c>
      <c r="AA147" s="370">
        <v>6798.46</v>
      </c>
      <c r="AB147" s="55">
        <f t="shared" si="149"/>
        <v>0</v>
      </c>
      <c r="AC147" s="370">
        <v>0</v>
      </c>
      <c r="AD147" s="370">
        <v>0</v>
      </c>
      <c r="AE147" s="63">
        <f>S147+V147+Y147+AB147</f>
        <v>339923.5</v>
      </c>
      <c r="AF147" s="95">
        <v>0</v>
      </c>
      <c r="AG147" s="55">
        <f t="shared" si="150"/>
        <v>339923.5</v>
      </c>
      <c r="AH147" s="60" t="s">
        <v>607</v>
      </c>
      <c r="AI147" s="66"/>
      <c r="AJ147" s="55">
        <v>0</v>
      </c>
      <c r="AK147" s="55">
        <v>0</v>
      </c>
    </row>
    <row r="148" spans="1:37" ht="189" x14ac:dyDescent="0.25">
      <c r="A148" s="345" t="s">
        <v>1892</v>
      </c>
      <c r="B148" s="271">
        <v>122738</v>
      </c>
      <c r="C148" s="268">
        <v>73</v>
      </c>
      <c r="D148" s="235" t="s">
        <v>705</v>
      </c>
      <c r="E148" s="270" t="s">
        <v>988</v>
      </c>
      <c r="F148" s="419" t="s">
        <v>354</v>
      </c>
      <c r="G148" s="111" t="s">
        <v>726</v>
      </c>
      <c r="H148" s="14" t="s">
        <v>727</v>
      </c>
      <c r="I148" s="418" t="s">
        <v>181</v>
      </c>
      <c r="J148" s="14" t="s">
        <v>1394</v>
      </c>
      <c r="K148" s="148">
        <v>43284</v>
      </c>
      <c r="L148" s="15">
        <v>43772</v>
      </c>
      <c r="M148" s="5">
        <f t="shared" si="137"/>
        <v>85.000002334434541</v>
      </c>
      <c r="N148" s="2">
        <v>6</v>
      </c>
      <c r="O148" s="2" t="s">
        <v>728</v>
      </c>
      <c r="P148" s="2" t="s">
        <v>729</v>
      </c>
      <c r="Q148" s="32" t="s">
        <v>208</v>
      </c>
      <c r="R148" s="6" t="s">
        <v>36</v>
      </c>
      <c r="S148" s="57">
        <f t="shared" ref="S148" si="176">T148+U148</f>
        <v>527965.13</v>
      </c>
      <c r="T148" s="367">
        <v>527965.13</v>
      </c>
      <c r="U148" s="234">
        <v>0</v>
      </c>
      <c r="V148" s="57">
        <f t="shared" ref="V148" si="177">W148+X148</f>
        <v>80747.570000000007</v>
      </c>
      <c r="W148" s="367">
        <v>80747.570000000007</v>
      </c>
      <c r="X148" s="234">
        <v>0</v>
      </c>
      <c r="Y148" s="57">
        <f t="shared" ref="Y148" si="178">Z148+AA148</f>
        <v>12422.73</v>
      </c>
      <c r="Z148" s="393">
        <v>12422.73</v>
      </c>
      <c r="AA148" s="234">
        <v>0</v>
      </c>
      <c r="AB148" s="55">
        <f t="shared" ref="AB148" si="179">AC148+AD148</f>
        <v>0</v>
      </c>
      <c r="AC148" s="234">
        <v>0</v>
      </c>
      <c r="AD148" s="234">
        <v>0</v>
      </c>
      <c r="AE148" s="63">
        <f t="shared" ref="AE148" si="180">S148+V148+Y148+AB148</f>
        <v>621135.42999999993</v>
      </c>
      <c r="AF148" s="55">
        <v>0</v>
      </c>
      <c r="AG148" s="55">
        <f t="shared" ref="AG148" si="181">AE148+AF148</f>
        <v>621135.42999999993</v>
      </c>
      <c r="AH148" s="60" t="s">
        <v>607</v>
      </c>
      <c r="AI148" s="61"/>
      <c r="AJ148" s="58">
        <f>21406.41+58309.25+17499.8</f>
        <v>97215.46</v>
      </c>
      <c r="AK148" s="55">
        <f>3273.92+8917.89+2676.44</f>
        <v>14868.25</v>
      </c>
    </row>
    <row r="149" spans="1:37" ht="283.5" x14ac:dyDescent="0.25">
      <c r="A149" s="345" t="s">
        <v>1893</v>
      </c>
      <c r="B149" s="420">
        <v>126337</v>
      </c>
      <c r="C149" s="268">
        <v>556</v>
      </c>
      <c r="D149" s="418" t="s">
        <v>1093</v>
      </c>
      <c r="E149" s="260" t="s">
        <v>988</v>
      </c>
      <c r="F149" s="419" t="s">
        <v>1153</v>
      </c>
      <c r="G149" s="14" t="s">
        <v>1393</v>
      </c>
      <c r="H149" s="14" t="s">
        <v>727</v>
      </c>
      <c r="I149" s="418" t="s">
        <v>181</v>
      </c>
      <c r="J149" s="14" t="s">
        <v>1395</v>
      </c>
      <c r="K149" s="148">
        <v>43577</v>
      </c>
      <c r="L149" s="15">
        <v>44491</v>
      </c>
      <c r="M149" s="5">
        <f t="shared" si="137"/>
        <v>85.000000442818262</v>
      </c>
      <c r="N149" s="2">
        <v>6</v>
      </c>
      <c r="O149" s="2" t="s">
        <v>728</v>
      </c>
      <c r="P149" s="2" t="s">
        <v>729</v>
      </c>
      <c r="Q149" s="32" t="s">
        <v>208</v>
      </c>
      <c r="R149" s="6" t="s">
        <v>36</v>
      </c>
      <c r="S149" s="55">
        <f t="shared" ref="S149" si="182">T149+U149</f>
        <v>3359165.89</v>
      </c>
      <c r="T149" s="367">
        <v>3359165.89</v>
      </c>
      <c r="U149" s="234">
        <v>0</v>
      </c>
      <c r="V149" s="57">
        <f t="shared" si="147"/>
        <v>513754.76</v>
      </c>
      <c r="W149" s="367">
        <v>513754.76</v>
      </c>
      <c r="X149" s="234">
        <v>0</v>
      </c>
      <c r="Y149" s="197">
        <f>Z149+AA149</f>
        <v>79039.199999999997</v>
      </c>
      <c r="Z149" s="393">
        <v>79039.199999999997</v>
      </c>
      <c r="AA149" s="234">
        <v>0</v>
      </c>
      <c r="AB149" s="55">
        <f t="shared" si="149"/>
        <v>0</v>
      </c>
      <c r="AC149" s="234">
        <v>0</v>
      </c>
      <c r="AD149" s="234">
        <v>0</v>
      </c>
      <c r="AE149" s="63">
        <f t="shared" si="129"/>
        <v>3951959.8500000006</v>
      </c>
      <c r="AF149" s="63">
        <v>15981.7</v>
      </c>
      <c r="AG149" s="55">
        <f t="shared" si="150"/>
        <v>3967941.5500000007</v>
      </c>
      <c r="AH149" s="60" t="s">
        <v>607</v>
      </c>
      <c r="AI149" s="66"/>
      <c r="AJ149" s="55">
        <v>0</v>
      </c>
      <c r="AK149" s="55">
        <v>0</v>
      </c>
    </row>
    <row r="150" spans="1:37" ht="267.75" x14ac:dyDescent="0.25">
      <c r="A150" s="345" t="s">
        <v>1894</v>
      </c>
      <c r="B150" s="271">
        <v>110238</v>
      </c>
      <c r="C150" s="268">
        <v>120</v>
      </c>
      <c r="D150" s="235" t="s">
        <v>168</v>
      </c>
      <c r="E150" s="270" t="s">
        <v>988</v>
      </c>
      <c r="F150" s="419" t="s">
        <v>354</v>
      </c>
      <c r="G150" s="50" t="s">
        <v>315</v>
      </c>
      <c r="H150" s="11" t="s">
        <v>316</v>
      </c>
      <c r="I150" s="235" t="s">
        <v>181</v>
      </c>
      <c r="J150" s="23" t="s">
        <v>332</v>
      </c>
      <c r="K150" s="148">
        <v>43166</v>
      </c>
      <c r="L150" s="15">
        <v>43836</v>
      </c>
      <c r="M150" s="5">
        <f t="shared" si="137"/>
        <v>85.000000235397167</v>
      </c>
      <c r="N150" s="2">
        <v>4</v>
      </c>
      <c r="O150" s="2" t="s">
        <v>318</v>
      </c>
      <c r="P150" s="2" t="s">
        <v>317</v>
      </c>
      <c r="Q150" s="32" t="s">
        <v>208</v>
      </c>
      <c r="R150" s="6" t="s">
        <v>36</v>
      </c>
      <c r="S150" s="57">
        <f t="shared" ref="S150:S151" si="183">T150+U150</f>
        <v>361091.85</v>
      </c>
      <c r="T150" s="371">
        <v>361091.85</v>
      </c>
      <c r="U150" s="234">
        <v>0</v>
      </c>
      <c r="V150" s="57">
        <f t="shared" si="147"/>
        <v>55225.82</v>
      </c>
      <c r="W150" s="371">
        <v>55225.82</v>
      </c>
      <c r="X150" s="234">
        <v>0</v>
      </c>
      <c r="Y150" s="57">
        <f t="shared" ref="Y150" si="184">Z150+AA150</f>
        <v>8496.27</v>
      </c>
      <c r="Z150" s="394">
        <v>8496.27</v>
      </c>
      <c r="AA150" s="234">
        <v>0</v>
      </c>
      <c r="AB150" s="55">
        <f t="shared" si="149"/>
        <v>0</v>
      </c>
      <c r="AC150" s="234"/>
      <c r="AD150" s="234"/>
      <c r="AE150" s="63">
        <f t="shared" si="129"/>
        <v>424813.94</v>
      </c>
      <c r="AF150" s="55">
        <v>0</v>
      </c>
      <c r="AG150" s="55">
        <f t="shared" si="150"/>
        <v>424813.94</v>
      </c>
      <c r="AH150" s="60" t="s">
        <v>607</v>
      </c>
      <c r="AI150" s="61" t="s">
        <v>1414</v>
      </c>
      <c r="AJ150" s="58">
        <f>36851.39+107373.8</f>
        <v>144225.19</v>
      </c>
      <c r="AK150" s="55">
        <f>5630+16427.98</f>
        <v>22057.98</v>
      </c>
    </row>
    <row r="151" spans="1:37" ht="220.5" x14ac:dyDescent="0.25">
      <c r="A151" s="345" t="s">
        <v>1895</v>
      </c>
      <c r="B151" s="271">
        <v>117741</v>
      </c>
      <c r="C151" s="260">
        <v>415</v>
      </c>
      <c r="D151" s="235" t="s">
        <v>171</v>
      </c>
      <c r="E151" s="270" t="s">
        <v>725</v>
      </c>
      <c r="F151" s="253" t="s">
        <v>632</v>
      </c>
      <c r="G151" s="11" t="s">
        <v>865</v>
      </c>
      <c r="H151" s="11" t="s">
        <v>866</v>
      </c>
      <c r="I151" s="235" t="s">
        <v>767</v>
      </c>
      <c r="J151" s="11" t="s">
        <v>867</v>
      </c>
      <c r="K151" s="148">
        <v>43311</v>
      </c>
      <c r="L151" s="15">
        <v>43707</v>
      </c>
      <c r="M151" s="5">
        <f t="shared" si="137"/>
        <v>84.15024511492409</v>
      </c>
      <c r="N151" s="2">
        <v>4</v>
      </c>
      <c r="O151" s="2" t="s">
        <v>318</v>
      </c>
      <c r="P151" s="2" t="s">
        <v>317</v>
      </c>
      <c r="Q151" s="2" t="s">
        <v>208</v>
      </c>
      <c r="R151" s="6" t="s">
        <v>36</v>
      </c>
      <c r="S151" s="57">
        <f t="shared" si="183"/>
        <v>242958.31</v>
      </c>
      <c r="T151" s="349">
        <v>242958.31</v>
      </c>
      <c r="U151" s="350">
        <v>0</v>
      </c>
      <c r="V151" s="57">
        <f t="shared" si="147"/>
        <v>39986.97</v>
      </c>
      <c r="W151" s="349">
        <v>39986.97</v>
      </c>
      <c r="X151" s="350">
        <v>0</v>
      </c>
      <c r="Y151" s="62">
        <f>Z151+AA151</f>
        <v>2888.03</v>
      </c>
      <c r="Z151" s="349">
        <v>2888.03</v>
      </c>
      <c r="AA151" s="349">
        <v>0</v>
      </c>
      <c r="AB151" s="55">
        <f t="shared" si="149"/>
        <v>2886.36</v>
      </c>
      <c r="AC151" s="349">
        <v>2886.36</v>
      </c>
      <c r="AD151" s="350">
        <v>0</v>
      </c>
      <c r="AE151" s="63">
        <f t="shared" si="129"/>
        <v>288719.67000000004</v>
      </c>
      <c r="AF151" s="64"/>
      <c r="AG151" s="55">
        <f t="shared" si="150"/>
        <v>288719.67000000004</v>
      </c>
      <c r="AH151" s="60" t="s">
        <v>1534</v>
      </c>
      <c r="AI151" s="64" t="s">
        <v>1608</v>
      </c>
      <c r="AJ151" s="55">
        <f>28871.96-265.54+15843.66+15843.66+10893.14+20357.69</f>
        <v>91544.57</v>
      </c>
      <c r="AK151" s="55">
        <f>4137.44+2795.94+2795.94+1922.32+3592.53</f>
        <v>15244.17</v>
      </c>
    </row>
    <row r="152" spans="1:37" ht="204.75" x14ac:dyDescent="0.25">
      <c r="A152" s="345" t="s">
        <v>1896</v>
      </c>
      <c r="B152" s="417">
        <v>126246</v>
      </c>
      <c r="C152" s="268">
        <v>537</v>
      </c>
      <c r="D152" s="418" t="s">
        <v>864</v>
      </c>
      <c r="E152" s="260" t="s">
        <v>988</v>
      </c>
      <c r="F152" s="419" t="s">
        <v>1153</v>
      </c>
      <c r="G152" s="11" t="s">
        <v>1318</v>
      </c>
      <c r="H152" s="11" t="s">
        <v>866</v>
      </c>
      <c r="I152" s="235" t="s">
        <v>619</v>
      </c>
      <c r="J152" s="23" t="s">
        <v>1319</v>
      </c>
      <c r="K152" s="148">
        <v>43532</v>
      </c>
      <c r="L152" s="15">
        <v>44447</v>
      </c>
      <c r="M152" s="5">
        <f t="shared" si="137"/>
        <v>84.376572868603944</v>
      </c>
      <c r="N152" s="2">
        <v>4</v>
      </c>
      <c r="O152" s="2" t="s">
        <v>318</v>
      </c>
      <c r="P152" s="2" t="s">
        <v>317</v>
      </c>
      <c r="Q152" s="2" t="s">
        <v>208</v>
      </c>
      <c r="R152" s="6" t="s">
        <v>36</v>
      </c>
      <c r="S152" s="57">
        <f t="shared" ref="S152" si="185">T152+U152</f>
        <v>3134478.71</v>
      </c>
      <c r="T152" s="358">
        <v>3134478.71</v>
      </c>
      <c r="U152" s="356">
        <v>0</v>
      </c>
      <c r="V152" s="57">
        <f t="shared" ref="V152" si="186">W152+X152</f>
        <v>506092.39</v>
      </c>
      <c r="W152" s="358">
        <v>506092.39</v>
      </c>
      <c r="X152" s="356">
        <v>0</v>
      </c>
      <c r="Y152" s="62">
        <f>Z152+AA152</f>
        <v>47050.879999999997</v>
      </c>
      <c r="Z152" s="358">
        <v>47050.879999999997</v>
      </c>
      <c r="AA152" s="358">
        <v>0</v>
      </c>
      <c r="AB152" s="55">
        <f t="shared" ref="AB152" si="187">AC152+AD152</f>
        <v>27246.5</v>
      </c>
      <c r="AC152" s="358">
        <v>27246.5</v>
      </c>
      <c r="AD152" s="356">
        <v>0</v>
      </c>
      <c r="AE152" s="63">
        <f t="shared" si="129"/>
        <v>3714868.48</v>
      </c>
      <c r="AF152" s="66">
        <v>0</v>
      </c>
      <c r="AG152" s="55">
        <f t="shared" ref="AG152" si="188">AE152+AF152</f>
        <v>3714868.48</v>
      </c>
      <c r="AH152" s="60" t="s">
        <v>607</v>
      </c>
      <c r="AI152" s="66"/>
      <c r="AJ152" s="65">
        <f>283028.44-202231.44</f>
        <v>80797</v>
      </c>
      <c r="AK152" s="65">
        <v>0</v>
      </c>
    </row>
    <row r="153" spans="1:37" s="18" customFormat="1" ht="189" x14ac:dyDescent="0.25">
      <c r="A153" s="345" t="s">
        <v>1897</v>
      </c>
      <c r="B153" s="271">
        <v>120531</v>
      </c>
      <c r="C153" s="268">
        <v>76</v>
      </c>
      <c r="D153" s="270" t="s">
        <v>864</v>
      </c>
      <c r="E153" s="270" t="s">
        <v>988</v>
      </c>
      <c r="F153" s="419" t="s">
        <v>354</v>
      </c>
      <c r="G153" s="17" t="s">
        <v>254</v>
      </c>
      <c r="H153" s="17" t="s">
        <v>255</v>
      </c>
      <c r="I153" s="260" t="s">
        <v>181</v>
      </c>
      <c r="J153" s="14" t="s">
        <v>256</v>
      </c>
      <c r="K153" s="148">
        <v>43129</v>
      </c>
      <c r="L153" s="15">
        <v>43798</v>
      </c>
      <c r="M153" s="5">
        <f t="shared" si="137"/>
        <v>85.000000405063261</v>
      </c>
      <c r="N153" s="8">
        <v>3</v>
      </c>
      <c r="O153" s="8" t="s">
        <v>258</v>
      </c>
      <c r="P153" s="8" t="s">
        <v>257</v>
      </c>
      <c r="Q153" s="10" t="s">
        <v>208</v>
      </c>
      <c r="R153" s="8" t="s">
        <v>36</v>
      </c>
      <c r="S153" s="55">
        <f t="shared" ref="S153:S158" si="189">T153+U153</f>
        <v>524609.42000000004</v>
      </c>
      <c r="T153" s="359">
        <v>524609.42000000004</v>
      </c>
      <c r="U153" s="291">
        <v>0</v>
      </c>
      <c r="V153" s="57">
        <f t="shared" si="147"/>
        <v>80234.38</v>
      </c>
      <c r="W153" s="359">
        <v>80234.38</v>
      </c>
      <c r="X153" s="291">
        <v>0</v>
      </c>
      <c r="Y153" s="55">
        <f t="shared" ref="Y153:Y158" si="190">Z153+AA153</f>
        <v>12343.75</v>
      </c>
      <c r="Z153" s="359">
        <v>12343.75</v>
      </c>
      <c r="AA153" s="291">
        <v>0</v>
      </c>
      <c r="AB153" s="55">
        <f t="shared" si="149"/>
        <v>0</v>
      </c>
      <c r="AC153" s="291"/>
      <c r="AD153" s="291"/>
      <c r="AE153" s="63">
        <f t="shared" si="129"/>
        <v>617187.55000000005</v>
      </c>
      <c r="AF153" s="58">
        <v>0</v>
      </c>
      <c r="AG153" s="55">
        <f t="shared" si="150"/>
        <v>617187.55000000005</v>
      </c>
      <c r="AH153" s="60" t="s">
        <v>607</v>
      </c>
      <c r="AI153" s="70" t="s">
        <v>181</v>
      </c>
      <c r="AJ153" s="72">
        <f>40294.21+38633.5+111047.53</f>
        <v>189975.24</v>
      </c>
      <c r="AK153" s="72">
        <f>6162.64+5908.66+16983.73</f>
        <v>29055.03</v>
      </c>
    </row>
    <row r="154" spans="1:37" s="106" customFormat="1" ht="157.5" x14ac:dyDescent="0.25">
      <c r="A154" s="345" t="s">
        <v>1898</v>
      </c>
      <c r="B154" s="420">
        <v>119702</v>
      </c>
      <c r="C154" s="268">
        <v>462</v>
      </c>
      <c r="D154" s="270" t="s">
        <v>705</v>
      </c>
      <c r="E154" s="260" t="s">
        <v>1060</v>
      </c>
      <c r="F154" s="438" t="s">
        <v>564</v>
      </c>
      <c r="G154" s="14" t="s">
        <v>625</v>
      </c>
      <c r="H154" s="14" t="s">
        <v>255</v>
      </c>
      <c r="I154" s="260" t="s">
        <v>181</v>
      </c>
      <c r="J154" s="14" t="s">
        <v>627</v>
      </c>
      <c r="K154" s="148">
        <v>43269</v>
      </c>
      <c r="L154" s="15">
        <v>43756</v>
      </c>
      <c r="M154" s="5">
        <f t="shared" si="137"/>
        <v>85.000000000000014</v>
      </c>
      <c r="N154" s="8">
        <v>3</v>
      </c>
      <c r="O154" s="8" t="s">
        <v>258</v>
      </c>
      <c r="P154" s="8" t="s">
        <v>257</v>
      </c>
      <c r="Q154" s="8" t="s">
        <v>208</v>
      </c>
      <c r="R154" s="8" t="s">
        <v>568</v>
      </c>
      <c r="S154" s="58">
        <f t="shared" si="189"/>
        <v>289363.96999999997</v>
      </c>
      <c r="T154" s="207">
        <v>289363.96999999997</v>
      </c>
      <c r="U154" s="291">
        <v>0</v>
      </c>
      <c r="V154" s="57">
        <f t="shared" ref="V154" si="191">W154+X154</f>
        <v>44255.67</v>
      </c>
      <c r="W154" s="207">
        <v>44255.67</v>
      </c>
      <c r="X154" s="291">
        <v>0</v>
      </c>
      <c r="Y154" s="58">
        <f t="shared" si="190"/>
        <v>6808.5599999999995</v>
      </c>
      <c r="Z154" s="207">
        <v>6808.5599999999995</v>
      </c>
      <c r="AA154" s="291">
        <v>0</v>
      </c>
      <c r="AB154" s="58">
        <f t="shared" ref="AB154" si="192">AC154+AD154</f>
        <v>0</v>
      </c>
      <c r="AC154" s="291">
        <v>0</v>
      </c>
      <c r="AD154" s="291">
        <v>0</v>
      </c>
      <c r="AE154" s="59">
        <f>S154+V154+Y154+AB154</f>
        <v>340428.19999999995</v>
      </c>
      <c r="AF154" s="58">
        <v>0</v>
      </c>
      <c r="AG154" s="58">
        <f t="shared" ref="AG154" si="193">AE154+AF154</f>
        <v>340428.19999999995</v>
      </c>
      <c r="AH154" s="60" t="s">
        <v>607</v>
      </c>
      <c r="AI154" s="105" t="s">
        <v>1389</v>
      </c>
      <c r="AJ154" s="72">
        <f>29938.25-3891.97+46974.03+87210+40691.64</f>
        <v>200921.95</v>
      </c>
      <c r="AK154" s="72">
        <f>3891.97+7275.84+13338+6223.42</f>
        <v>30729.229999999996</v>
      </c>
    </row>
    <row r="155" spans="1:37" s="129" customFormat="1" ht="315" x14ac:dyDescent="0.25">
      <c r="A155" s="345" t="s">
        <v>1899</v>
      </c>
      <c r="B155" s="420">
        <v>117960</v>
      </c>
      <c r="C155" s="260">
        <v>418</v>
      </c>
      <c r="D155" s="260" t="s">
        <v>864</v>
      </c>
      <c r="E155" s="270" t="s">
        <v>725</v>
      </c>
      <c r="F155" s="270" t="s">
        <v>632</v>
      </c>
      <c r="G155" s="14" t="s">
        <v>913</v>
      </c>
      <c r="H155" s="14" t="s">
        <v>255</v>
      </c>
      <c r="I155" s="260" t="s">
        <v>181</v>
      </c>
      <c r="J155" s="14" t="s">
        <v>914</v>
      </c>
      <c r="K155" s="147">
        <v>43318</v>
      </c>
      <c r="L155" s="15">
        <v>43805</v>
      </c>
      <c r="M155" s="5">
        <f t="shared" si="137"/>
        <v>85</v>
      </c>
      <c r="N155" s="26">
        <v>3</v>
      </c>
      <c r="O155" s="26" t="s">
        <v>258</v>
      </c>
      <c r="P155" s="8" t="s">
        <v>257</v>
      </c>
      <c r="Q155" s="26" t="s">
        <v>208</v>
      </c>
      <c r="R155" s="8" t="s">
        <v>568</v>
      </c>
      <c r="S155" s="58">
        <f t="shared" si="189"/>
        <v>339865.02</v>
      </c>
      <c r="T155" s="207">
        <v>339865.02</v>
      </c>
      <c r="U155" s="357">
        <v>0</v>
      </c>
      <c r="V155" s="57">
        <f t="shared" si="147"/>
        <v>51979.35</v>
      </c>
      <c r="W155" s="207">
        <v>51979.35</v>
      </c>
      <c r="X155" s="357">
        <v>0</v>
      </c>
      <c r="Y155" s="58">
        <f t="shared" si="190"/>
        <v>7996.83</v>
      </c>
      <c r="Z155" s="207">
        <v>7996.83</v>
      </c>
      <c r="AA155" s="207">
        <v>0</v>
      </c>
      <c r="AB155" s="58">
        <f t="shared" si="149"/>
        <v>0</v>
      </c>
      <c r="AC155" s="357">
        <v>0</v>
      </c>
      <c r="AD155" s="357">
        <v>0</v>
      </c>
      <c r="AE155" s="59">
        <f t="shared" si="129"/>
        <v>399841.2</v>
      </c>
      <c r="AF155" s="72">
        <v>0</v>
      </c>
      <c r="AG155" s="58">
        <f t="shared" si="150"/>
        <v>399841.2</v>
      </c>
      <c r="AH155" s="60" t="s">
        <v>607</v>
      </c>
      <c r="AI155" s="60"/>
      <c r="AJ155" s="72">
        <f>16106.21+18807.76</f>
        <v>34913.97</v>
      </c>
      <c r="AK155" s="72">
        <f>2463.3+2876.49</f>
        <v>5339.79</v>
      </c>
    </row>
    <row r="156" spans="1:37" s="129" customFormat="1" ht="141.75" x14ac:dyDescent="0.25">
      <c r="A156" s="345" t="s">
        <v>1900</v>
      </c>
      <c r="B156" s="420">
        <v>126286</v>
      </c>
      <c r="C156" s="260">
        <v>513</v>
      </c>
      <c r="D156" s="260" t="s">
        <v>864</v>
      </c>
      <c r="E156" s="270" t="s">
        <v>988</v>
      </c>
      <c r="F156" s="270" t="s">
        <v>1153</v>
      </c>
      <c r="G156" s="14" t="s">
        <v>1223</v>
      </c>
      <c r="H156" s="14" t="s">
        <v>1224</v>
      </c>
      <c r="I156" s="260" t="s">
        <v>181</v>
      </c>
      <c r="J156" s="14" t="s">
        <v>1225</v>
      </c>
      <c r="K156" s="147">
        <v>43451</v>
      </c>
      <c r="L156" s="15">
        <v>44182</v>
      </c>
      <c r="M156" s="5">
        <f t="shared" si="137"/>
        <v>85.000000627550136</v>
      </c>
      <c r="N156" s="26">
        <v>3</v>
      </c>
      <c r="O156" s="26" t="s">
        <v>1548</v>
      </c>
      <c r="P156" s="8" t="s">
        <v>1226</v>
      </c>
      <c r="Q156" s="26" t="s">
        <v>208</v>
      </c>
      <c r="R156" s="8" t="s">
        <v>568</v>
      </c>
      <c r="S156" s="58">
        <f t="shared" si="189"/>
        <v>2370328.59</v>
      </c>
      <c r="T156" s="207">
        <v>2370328.59</v>
      </c>
      <c r="U156" s="357">
        <v>0</v>
      </c>
      <c r="V156" s="57">
        <f t="shared" ref="V156:V158" si="194">W156+X156</f>
        <v>362520.82</v>
      </c>
      <c r="W156" s="207">
        <v>362520.82</v>
      </c>
      <c r="X156" s="357">
        <v>0</v>
      </c>
      <c r="Y156" s="58">
        <f t="shared" si="190"/>
        <v>55772.44</v>
      </c>
      <c r="Z156" s="207">
        <v>55772.44</v>
      </c>
      <c r="AA156" s="207">
        <v>0</v>
      </c>
      <c r="AB156" s="58">
        <f t="shared" ref="AB156:AB158" si="195">AC156+AD156</f>
        <v>0</v>
      </c>
      <c r="AC156" s="357">
        <v>0</v>
      </c>
      <c r="AD156" s="357">
        <v>0</v>
      </c>
      <c r="AE156" s="59">
        <f t="shared" ref="AE156:AE158" si="196">S156+V156+Y156+AB156</f>
        <v>2788621.8499999996</v>
      </c>
      <c r="AF156" s="72">
        <v>0</v>
      </c>
      <c r="AG156" s="58">
        <f t="shared" ref="AG156:AG158" si="197">AE156+AF156</f>
        <v>2788621.8499999996</v>
      </c>
      <c r="AH156" s="60" t="s">
        <v>607</v>
      </c>
      <c r="AI156" s="60" t="s">
        <v>181</v>
      </c>
      <c r="AJ156" s="72">
        <f>82670-5225.55</f>
        <v>77444.45</v>
      </c>
      <c r="AK156" s="72">
        <v>5225.55</v>
      </c>
    </row>
    <row r="157" spans="1:37" s="129" customFormat="1" ht="141.75" x14ac:dyDescent="0.25">
      <c r="A157" s="345" t="s">
        <v>1901</v>
      </c>
      <c r="B157" s="420">
        <v>129573</v>
      </c>
      <c r="C157" s="260">
        <v>665</v>
      </c>
      <c r="D157" s="260" t="s">
        <v>864</v>
      </c>
      <c r="E157" s="270" t="s">
        <v>988</v>
      </c>
      <c r="F157" s="270" t="s">
        <v>1427</v>
      </c>
      <c r="G157" s="14" t="s">
        <v>1547</v>
      </c>
      <c r="H157" s="14" t="s">
        <v>1548</v>
      </c>
      <c r="I157" s="260" t="s">
        <v>181</v>
      </c>
      <c r="J157" s="14" t="s">
        <v>1549</v>
      </c>
      <c r="K157" s="147">
        <v>43654</v>
      </c>
      <c r="L157" s="15">
        <v>44569</v>
      </c>
      <c r="M157" s="5">
        <f t="shared" si="137"/>
        <v>85.000000000000014</v>
      </c>
      <c r="N157" s="26">
        <v>3</v>
      </c>
      <c r="O157" s="26" t="s">
        <v>1548</v>
      </c>
      <c r="P157" s="8" t="s">
        <v>257</v>
      </c>
      <c r="Q157" s="26" t="s">
        <v>208</v>
      </c>
      <c r="R157" s="8" t="s">
        <v>568</v>
      </c>
      <c r="S157" s="58">
        <f t="shared" si="189"/>
        <v>2547988.73</v>
      </c>
      <c r="T157" s="207">
        <v>2547988.73</v>
      </c>
      <c r="U157" s="357">
        <v>0</v>
      </c>
      <c r="V157" s="57">
        <f t="shared" si="194"/>
        <v>389692.4</v>
      </c>
      <c r="W157" s="207">
        <v>389692.4</v>
      </c>
      <c r="X157" s="357">
        <v>0</v>
      </c>
      <c r="Y157" s="58">
        <f t="shared" si="190"/>
        <v>59952.67</v>
      </c>
      <c r="Z157" s="207">
        <v>59952.67</v>
      </c>
      <c r="AA157" s="207">
        <v>0</v>
      </c>
      <c r="AB157" s="58">
        <f t="shared" si="195"/>
        <v>0</v>
      </c>
      <c r="AC157" s="357">
        <v>0</v>
      </c>
      <c r="AD157" s="357">
        <v>0</v>
      </c>
      <c r="AE157" s="59">
        <f t="shared" si="196"/>
        <v>2997633.8</v>
      </c>
      <c r="AF157" s="72">
        <v>21896</v>
      </c>
      <c r="AG157" s="58">
        <f t="shared" si="197"/>
        <v>3019529.8</v>
      </c>
      <c r="AH157" s="60" t="s">
        <v>607</v>
      </c>
      <c r="AI157" s="60" t="s">
        <v>181</v>
      </c>
      <c r="AJ157" s="72">
        <v>0</v>
      </c>
      <c r="AK157" s="72">
        <v>0</v>
      </c>
    </row>
    <row r="158" spans="1:37" s="129" customFormat="1" ht="362.25" x14ac:dyDescent="0.25">
      <c r="A158" s="345" t="s">
        <v>1902</v>
      </c>
      <c r="B158" s="420">
        <v>129682</v>
      </c>
      <c r="C158" s="260">
        <v>666</v>
      </c>
      <c r="D158" s="260" t="s">
        <v>705</v>
      </c>
      <c r="E158" s="270" t="s">
        <v>988</v>
      </c>
      <c r="F158" s="270" t="s">
        <v>1427</v>
      </c>
      <c r="G158" s="14" t="s">
        <v>1603</v>
      </c>
      <c r="H158" s="14" t="s">
        <v>1604</v>
      </c>
      <c r="I158" s="260" t="s">
        <v>181</v>
      </c>
      <c r="J158" s="14" t="s">
        <v>1607</v>
      </c>
      <c r="K158" s="147">
        <v>43677</v>
      </c>
      <c r="L158" s="15">
        <v>44592</v>
      </c>
      <c r="M158" s="5">
        <f t="shared" si="137"/>
        <v>84.999999798883323</v>
      </c>
      <c r="N158" s="26">
        <v>3</v>
      </c>
      <c r="O158" s="26" t="s">
        <v>1605</v>
      </c>
      <c r="P158" s="8" t="s">
        <v>1606</v>
      </c>
      <c r="Q158" s="26" t="s">
        <v>208</v>
      </c>
      <c r="R158" s="8" t="s">
        <v>568</v>
      </c>
      <c r="S158" s="58">
        <f t="shared" si="189"/>
        <v>3381122.07</v>
      </c>
      <c r="T158" s="207">
        <v>3381122.07</v>
      </c>
      <c r="U158" s="357">
        <v>0</v>
      </c>
      <c r="V158" s="57">
        <f t="shared" si="194"/>
        <v>517112.16</v>
      </c>
      <c r="W158" s="207">
        <v>517112.16</v>
      </c>
      <c r="X158" s="357">
        <v>0</v>
      </c>
      <c r="Y158" s="58">
        <f t="shared" si="190"/>
        <v>79556.45</v>
      </c>
      <c r="Z158" s="207">
        <v>79556.45</v>
      </c>
      <c r="AA158" s="357">
        <v>0</v>
      </c>
      <c r="AB158" s="58">
        <f t="shared" si="195"/>
        <v>0</v>
      </c>
      <c r="AC158" s="357"/>
      <c r="AD158" s="357"/>
      <c r="AE158" s="59">
        <f t="shared" si="196"/>
        <v>3977790.68</v>
      </c>
      <c r="AF158" s="72"/>
      <c r="AG158" s="58">
        <f t="shared" si="197"/>
        <v>3977790.68</v>
      </c>
      <c r="AH158" s="60" t="s">
        <v>607</v>
      </c>
      <c r="AI158" s="60" t="s">
        <v>181</v>
      </c>
      <c r="AJ158" s="72">
        <v>0</v>
      </c>
      <c r="AK158" s="72">
        <v>0</v>
      </c>
    </row>
    <row r="159" spans="1:37" ht="141.75" x14ac:dyDescent="0.25">
      <c r="A159" s="345" t="s">
        <v>1903</v>
      </c>
      <c r="B159" s="271">
        <v>119208</v>
      </c>
      <c r="C159" s="268">
        <v>489</v>
      </c>
      <c r="D159" s="235" t="s">
        <v>164</v>
      </c>
      <c r="E159" s="270" t="s">
        <v>1060</v>
      </c>
      <c r="F159" s="419" t="s">
        <v>564</v>
      </c>
      <c r="G159" s="2" t="s">
        <v>1125</v>
      </c>
      <c r="H159" s="2" t="s">
        <v>1126</v>
      </c>
      <c r="I159" s="235" t="s">
        <v>444</v>
      </c>
      <c r="J159" s="23" t="s">
        <v>1127</v>
      </c>
      <c r="K159" s="147">
        <v>43396</v>
      </c>
      <c r="L159" s="15">
        <v>43884</v>
      </c>
      <c r="M159" s="5">
        <f t="shared" si="137"/>
        <v>85</v>
      </c>
      <c r="N159" s="6">
        <v>1</v>
      </c>
      <c r="O159" s="6" t="s">
        <v>1124</v>
      </c>
      <c r="P159" s="6" t="s">
        <v>1128</v>
      </c>
      <c r="Q159" s="10" t="s">
        <v>208</v>
      </c>
      <c r="R159" s="6" t="s">
        <v>36</v>
      </c>
      <c r="S159" s="58">
        <f>T159+U159</f>
        <v>529360.44999999995</v>
      </c>
      <c r="T159" s="234">
        <v>529360.44999999995</v>
      </c>
      <c r="U159" s="234">
        <v>0</v>
      </c>
      <c r="V159" s="57">
        <f>W159+X159</f>
        <v>80961.009999999995</v>
      </c>
      <c r="W159" s="234">
        <v>80961.009999999995</v>
      </c>
      <c r="X159" s="234">
        <v>0</v>
      </c>
      <c r="Y159" s="57">
        <f>Z159+AA159</f>
        <v>12455.54</v>
      </c>
      <c r="Z159" s="234">
        <v>12455.54</v>
      </c>
      <c r="AA159" s="234">
        <v>0</v>
      </c>
      <c r="AB159" s="55">
        <f>AC159+AD159</f>
        <v>0</v>
      </c>
      <c r="AC159" s="234">
        <v>0</v>
      </c>
      <c r="AD159" s="234">
        <v>0</v>
      </c>
      <c r="AE159" s="59">
        <f>S159+V159+Y159+AB159</f>
        <v>622777</v>
      </c>
      <c r="AF159" s="55"/>
      <c r="AG159" s="55">
        <f>AE159+AF159</f>
        <v>622777</v>
      </c>
      <c r="AH159" s="60" t="s">
        <v>892</v>
      </c>
      <c r="AI159" s="61"/>
      <c r="AJ159" s="72">
        <f>20646.5+51929.52</f>
        <v>72576.01999999999</v>
      </c>
      <c r="AK159" s="62">
        <f>3157.7+7942.16</f>
        <v>11099.86</v>
      </c>
    </row>
    <row r="160" spans="1:37" ht="189" x14ac:dyDescent="0.25">
      <c r="A160" s="345" t="s">
        <v>1904</v>
      </c>
      <c r="B160" s="271">
        <v>122867</v>
      </c>
      <c r="C160" s="424">
        <v>105</v>
      </c>
      <c r="D160" s="271" t="s">
        <v>171</v>
      </c>
      <c r="E160" s="270" t="s">
        <v>988</v>
      </c>
      <c r="F160" s="419" t="s">
        <v>354</v>
      </c>
      <c r="G160" s="37" t="s">
        <v>1001</v>
      </c>
      <c r="H160" s="37" t="s">
        <v>1000</v>
      </c>
      <c r="I160" s="260" t="s">
        <v>1002</v>
      </c>
      <c r="J160" s="36" t="s">
        <v>1003</v>
      </c>
      <c r="K160" s="148">
        <v>43342</v>
      </c>
      <c r="L160" s="15">
        <v>43707</v>
      </c>
      <c r="M160" s="5">
        <f t="shared" si="137"/>
        <v>84.194914940710191</v>
      </c>
      <c r="N160" s="2">
        <v>1</v>
      </c>
      <c r="O160" s="2" t="s">
        <v>1004</v>
      </c>
      <c r="P160" s="2" t="s">
        <v>1005</v>
      </c>
      <c r="Q160" s="41" t="s">
        <v>208</v>
      </c>
      <c r="R160" s="6" t="s">
        <v>36</v>
      </c>
      <c r="S160" s="55">
        <f>T160+U160</f>
        <v>351606.78</v>
      </c>
      <c r="T160" s="234">
        <v>351606.78</v>
      </c>
      <c r="U160" s="234">
        <v>0</v>
      </c>
      <c r="V160" s="55">
        <f>W160+X160</f>
        <v>57651.47</v>
      </c>
      <c r="W160" s="234">
        <v>57651.47</v>
      </c>
      <c r="X160" s="234">
        <v>0</v>
      </c>
      <c r="Y160" s="55">
        <f>Z160+AA160</f>
        <v>8352.2199999999993</v>
      </c>
      <c r="Z160" s="234">
        <v>8352.2199999999993</v>
      </c>
      <c r="AA160" s="234">
        <v>0</v>
      </c>
      <c r="AB160" s="55">
        <f>AC160+AD160</f>
        <v>0</v>
      </c>
      <c r="AC160" s="234"/>
      <c r="AD160" s="234"/>
      <c r="AE160" s="63">
        <f>S160+V160+Y160+AB160</f>
        <v>417610.47</v>
      </c>
      <c r="AF160" s="55"/>
      <c r="AG160" s="55">
        <f>AE160+AF160</f>
        <v>417610.47</v>
      </c>
      <c r="AH160" s="60" t="s">
        <v>1534</v>
      </c>
      <c r="AI160" s="61" t="s">
        <v>372</v>
      </c>
      <c r="AJ160" s="62">
        <f>41760.02+3682.21+18068.95+21982.99+19777.03+31928.54+41760.02+8276.15+41760.02+26906.28+19777.03</f>
        <v>275679.24</v>
      </c>
      <c r="AK160" s="62">
        <f>6030.95+4165.9+11886.5+8211.11+11070.38</f>
        <v>41364.839999999997</v>
      </c>
    </row>
    <row r="161" spans="1:37" ht="204.75" x14ac:dyDescent="0.25">
      <c r="A161" s="345" t="s">
        <v>1905</v>
      </c>
      <c r="B161" s="271">
        <v>126260</v>
      </c>
      <c r="C161" s="268">
        <v>526</v>
      </c>
      <c r="D161" s="235" t="s">
        <v>864</v>
      </c>
      <c r="E161" s="270" t="s">
        <v>988</v>
      </c>
      <c r="F161" s="419" t="s">
        <v>1153</v>
      </c>
      <c r="G161" s="11" t="s">
        <v>1165</v>
      </c>
      <c r="H161" s="11" t="s">
        <v>1164</v>
      </c>
      <c r="I161" s="235" t="s">
        <v>181</v>
      </c>
      <c r="J161" s="23" t="s">
        <v>1166</v>
      </c>
      <c r="K161" s="148">
        <v>43433</v>
      </c>
      <c r="L161" s="15">
        <v>44164</v>
      </c>
      <c r="M161" s="5">
        <f t="shared" si="137"/>
        <v>84.999999887651384</v>
      </c>
      <c r="N161" s="6">
        <v>1</v>
      </c>
      <c r="O161" s="2" t="s">
        <v>1004</v>
      </c>
      <c r="P161" s="2" t="s">
        <v>1005</v>
      </c>
      <c r="Q161" s="41" t="s">
        <v>208</v>
      </c>
      <c r="R161" s="6" t="s">
        <v>36</v>
      </c>
      <c r="S161" s="58">
        <f t="shared" ref="S161" si="198">T161+U161</f>
        <v>2269720.81</v>
      </c>
      <c r="T161" s="234">
        <v>2269720.81</v>
      </c>
      <c r="U161" s="234">
        <v>0</v>
      </c>
      <c r="V161" s="57">
        <f t="shared" ref="V161" si="199">W161+X161</f>
        <v>347133.77</v>
      </c>
      <c r="W161" s="234">
        <v>347133.77</v>
      </c>
      <c r="X161" s="234">
        <v>0</v>
      </c>
      <c r="Y161" s="57">
        <f t="shared" ref="Y161" si="200">Z161+AA161</f>
        <v>53405.2</v>
      </c>
      <c r="Z161" s="234">
        <v>53405.2</v>
      </c>
      <c r="AA161" s="234">
        <v>0</v>
      </c>
      <c r="AB161" s="55">
        <f t="shared" ref="AB161" si="201">AC161+AD161</f>
        <v>0</v>
      </c>
      <c r="AC161" s="234">
        <v>0</v>
      </c>
      <c r="AD161" s="234">
        <v>0</v>
      </c>
      <c r="AE161" s="59">
        <f t="shared" ref="AE161" si="202">S161+V161+Y161+AB161</f>
        <v>2670259.7800000003</v>
      </c>
      <c r="AF161" s="55">
        <v>57120</v>
      </c>
      <c r="AG161" s="55">
        <f t="shared" ref="AG161" si="203">AE161+AF161</f>
        <v>2727379.7800000003</v>
      </c>
      <c r="AH161" s="60" t="s">
        <v>607</v>
      </c>
      <c r="AI161" s="61"/>
      <c r="AJ161" s="72">
        <v>62163.9</v>
      </c>
      <c r="AK161" s="62">
        <v>9507.42</v>
      </c>
    </row>
    <row r="162" spans="1:37" ht="315" x14ac:dyDescent="0.25">
      <c r="A162" s="345" t="s">
        <v>1906</v>
      </c>
      <c r="B162" s="271">
        <v>120572</v>
      </c>
      <c r="C162" s="268">
        <v>82</v>
      </c>
      <c r="D162" s="235" t="s">
        <v>705</v>
      </c>
      <c r="E162" s="270" t="s">
        <v>988</v>
      </c>
      <c r="F162" s="419" t="s">
        <v>354</v>
      </c>
      <c r="G162" s="11" t="s">
        <v>341</v>
      </c>
      <c r="H162" s="11" t="s">
        <v>342</v>
      </c>
      <c r="I162" s="235" t="s">
        <v>181</v>
      </c>
      <c r="J162" s="23" t="s">
        <v>769</v>
      </c>
      <c r="K162" s="274">
        <v>43171</v>
      </c>
      <c r="L162" s="275">
        <v>43658</v>
      </c>
      <c r="M162" s="5">
        <f t="shared" si="137"/>
        <v>85.000000359311386</v>
      </c>
      <c r="N162" s="6">
        <v>4</v>
      </c>
      <c r="O162" s="6" t="s">
        <v>343</v>
      </c>
      <c r="P162" s="6" t="s">
        <v>344</v>
      </c>
      <c r="Q162" s="10" t="s">
        <v>208</v>
      </c>
      <c r="R162" s="6" t="s">
        <v>36</v>
      </c>
      <c r="S162" s="57">
        <f t="shared" ref="S162:S165" si="204">T162+U162</f>
        <v>354845.43</v>
      </c>
      <c r="T162" s="234">
        <v>354845.43</v>
      </c>
      <c r="U162" s="234">
        <v>0</v>
      </c>
      <c r="V162" s="57">
        <f t="shared" si="147"/>
        <v>54270.48</v>
      </c>
      <c r="W162" s="234">
        <v>54270.48</v>
      </c>
      <c r="X162" s="234">
        <v>0</v>
      </c>
      <c r="Y162" s="57">
        <f t="shared" ref="Y162:Y165" si="205">Z162+AA162</f>
        <v>8349.2999999999993</v>
      </c>
      <c r="Z162" s="234">
        <v>8349.2999999999993</v>
      </c>
      <c r="AA162" s="234">
        <v>0</v>
      </c>
      <c r="AB162" s="55">
        <f t="shared" si="149"/>
        <v>0</v>
      </c>
      <c r="AC162" s="234"/>
      <c r="AD162" s="234"/>
      <c r="AE162" s="63">
        <f t="shared" si="129"/>
        <v>417465.20999999996</v>
      </c>
      <c r="AF162" s="55">
        <v>0</v>
      </c>
      <c r="AG162" s="55">
        <f t="shared" si="150"/>
        <v>417465.20999999996</v>
      </c>
      <c r="AH162" s="60" t="s">
        <v>1534</v>
      </c>
      <c r="AI162" s="61" t="s">
        <v>181</v>
      </c>
      <c r="AJ162" s="72">
        <f>14375+7002.3+6416.65+7759.57+9685.75+10731.25+174115.7</f>
        <v>230086.22</v>
      </c>
      <c r="AK162" s="62">
        <f>2198.53+1070.94+981.37+1186.75+1481.35+1641.25+26629.46</f>
        <v>35189.65</v>
      </c>
    </row>
    <row r="163" spans="1:37" ht="189" x14ac:dyDescent="0.25">
      <c r="A163" s="345" t="s">
        <v>1907</v>
      </c>
      <c r="B163" s="271">
        <v>118183</v>
      </c>
      <c r="C163" s="260">
        <v>422</v>
      </c>
      <c r="D163" s="235" t="s">
        <v>166</v>
      </c>
      <c r="E163" s="270" t="s">
        <v>725</v>
      </c>
      <c r="F163" s="419" t="s">
        <v>632</v>
      </c>
      <c r="G163" s="11" t="s">
        <v>768</v>
      </c>
      <c r="H163" s="11" t="s">
        <v>342</v>
      </c>
      <c r="I163" s="235" t="s">
        <v>181</v>
      </c>
      <c r="J163" s="14" t="s">
        <v>770</v>
      </c>
      <c r="K163" s="148">
        <v>43290</v>
      </c>
      <c r="L163" s="15">
        <v>43778</v>
      </c>
      <c r="M163" s="5">
        <f t="shared" si="137"/>
        <v>85.000012009815109</v>
      </c>
      <c r="N163" s="6">
        <v>4</v>
      </c>
      <c r="O163" s="6" t="s">
        <v>343</v>
      </c>
      <c r="P163" s="6" t="s">
        <v>344</v>
      </c>
      <c r="Q163" s="10" t="s">
        <v>208</v>
      </c>
      <c r="R163" s="26" t="s">
        <v>771</v>
      </c>
      <c r="S163" s="57">
        <f t="shared" si="204"/>
        <v>247714.09</v>
      </c>
      <c r="T163" s="234">
        <v>247714.09</v>
      </c>
      <c r="U163" s="234">
        <v>0</v>
      </c>
      <c r="V163" s="57">
        <f t="shared" si="147"/>
        <v>37885.64</v>
      </c>
      <c r="W163" s="207">
        <v>37885.64</v>
      </c>
      <c r="X163" s="234">
        <v>0</v>
      </c>
      <c r="Y163" s="57">
        <f t="shared" si="205"/>
        <v>5828.57</v>
      </c>
      <c r="Z163" s="207">
        <v>5828.57</v>
      </c>
      <c r="AA163" s="234">
        <v>0</v>
      </c>
      <c r="AB163" s="55">
        <f t="shared" si="149"/>
        <v>0</v>
      </c>
      <c r="AC163" s="356"/>
      <c r="AD163" s="356"/>
      <c r="AE163" s="63">
        <f t="shared" si="129"/>
        <v>291428.3</v>
      </c>
      <c r="AF163" s="55">
        <v>0</v>
      </c>
      <c r="AG163" s="55">
        <f t="shared" si="150"/>
        <v>291428.3</v>
      </c>
      <c r="AH163" s="60" t="s">
        <v>607</v>
      </c>
      <c r="AI163" s="61" t="s">
        <v>1335</v>
      </c>
      <c r="AJ163" s="55">
        <f>31913.97+11281.2+7318.5+6479.55</f>
        <v>56993.22</v>
      </c>
      <c r="AK163" s="55">
        <f>5112.75+1725.36+1119.3+990.99</f>
        <v>8948.4</v>
      </c>
    </row>
    <row r="164" spans="1:37" ht="141.75" x14ac:dyDescent="0.25">
      <c r="A164" s="345" t="s">
        <v>1908</v>
      </c>
      <c r="B164" s="271">
        <v>126174</v>
      </c>
      <c r="C164" s="260">
        <v>534</v>
      </c>
      <c r="D164" s="260" t="s">
        <v>170</v>
      </c>
      <c r="E164" s="270" t="s">
        <v>988</v>
      </c>
      <c r="F164" s="260" t="s">
        <v>1153</v>
      </c>
      <c r="G164" s="11" t="s">
        <v>1213</v>
      </c>
      <c r="H164" s="11" t="s">
        <v>1214</v>
      </c>
      <c r="I164" s="235" t="s">
        <v>181</v>
      </c>
      <c r="J164" s="23" t="s">
        <v>1215</v>
      </c>
      <c r="K164" s="148">
        <v>43447</v>
      </c>
      <c r="L164" s="15">
        <v>43995</v>
      </c>
      <c r="M164" s="5">
        <f t="shared" si="137"/>
        <v>85.000000333995757</v>
      </c>
      <c r="N164" s="6">
        <v>4</v>
      </c>
      <c r="O164" s="6" t="s">
        <v>343</v>
      </c>
      <c r="P164" s="6" t="s">
        <v>344</v>
      </c>
      <c r="Q164" s="10" t="s">
        <v>208</v>
      </c>
      <c r="R164" s="6" t="s">
        <v>36</v>
      </c>
      <c r="S164" s="57">
        <f t="shared" si="204"/>
        <v>2544942.5099999998</v>
      </c>
      <c r="T164" s="234">
        <v>2544942.5099999998</v>
      </c>
      <c r="U164" s="234">
        <v>0</v>
      </c>
      <c r="V164" s="57">
        <f t="shared" si="147"/>
        <v>389226.49</v>
      </c>
      <c r="W164" s="207">
        <v>389226.49</v>
      </c>
      <c r="X164" s="234">
        <v>0</v>
      </c>
      <c r="Y164" s="57">
        <f t="shared" si="205"/>
        <v>59881</v>
      </c>
      <c r="Z164" s="207">
        <v>59881</v>
      </c>
      <c r="AA164" s="234">
        <v>0</v>
      </c>
      <c r="AB164" s="55">
        <f t="shared" si="149"/>
        <v>0</v>
      </c>
      <c r="AC164" s="291">
        <v>0</v>
      </c>
      <c r="AD164" s="291">
        <v>0</v>
      </c>
      <c r="AE164" s="63">
        <f t="shared" si="129"/>
        <v>2994050</v>
      </c>
      <c r="AF164" s="55">
        <v>0</v>
      </c>
      <c r="AG164" s="55">
        <f t="shared" si="150"/>
        <v>2994050</v>
      </c>
      <c r="AH164" s="60" t="s">
        <v>607</v>
      </c>
      <c r="AI164" s="66"/>
      <c r="AJ164" s="55">
        <v>34289.85</v>
      </c>
      <c r="AK164" s="55">
        <v>5244.33</v>
      </c>
    </row>
    <row r="165" spans="1:37" ht="299.25" x14ac:dyDescent="0.25">
      <c r="A165" s="345" t="s">
        <v>1909</v>
      </c>
      <c r="B165" s="271">
        <v>129739</v>
      </c>
      <c r="C165" s="260">
        <v>688</v>
      </c>
      <c r="D165" s="260" t="s">
        <v>172</v>
      </c>
      <c r="E165" s="270" t="s">
        <v>988</v>
      </c>
      <c r="F165" s="253" t="s">
        <v>1427</v>
      </c>
      <c r="G165" s="11" t="s">
        <v>1712</v>
      </c>
      <c r="H165" s="11" t="s">
        <v>342</v>
      </c>
      <c r="I165" s="235" t="s">
        <v>181</v>
      </c>
      <c r="J165" s="23" t="s">
        <v>1713</v>
      </c>
      <c r="K165" s="148">
        <v>43712</v>
      </c>
      <c r="L165" s="15">
        <v>44443</v>
      </c>
      <c r="M165" s="5">
        <f t="shared" si="137"/>
        <v>85.000000000000014</v>
      </c>
      <c r="N165" s="6">
        <v>4</v>
      </c>
      <c r="O165" s="6" t="s">
        <v>343</v>
      </c>
      <c r="P165" s="6" t="s">
        <v>344</v>
      </c>
      <c r="Q165" s="10" t="s">
        <v>208</v>
      </c>
      <c r="R165" s="6" t="s">
        <v>36</v>
      </c>
      <c r="S165" s="57">
        <f t="shared" si="204"/>
        <v>3309254.34</v>
      </c>
      <c r="T165" s="234">
        <v>3309254.34</v>
      </c>
      <c r="U165" s="234">
        <v>0</v>
      </c>
      <c r="V165" s="57">
        <f t="shared" si="147"/>
        <v>506121.26</v>
      </c>
      <c r="W165" s="207">
        <v>506121.26</v>
      </c>
      <c r="X165" s="234">
        <v>0</v>
      </c>
      <c r="Y165" s="57">
        <f t="shared" si="205"/>
        <v>77864.800000000003</v>
      </c>
      <c r="Z165" s="207">
        <v>77864.800000000003</v>
      </c>
      <c r="AA165" s="234">
        <v>0</v>
      </c>
      <c r="AB165" s="55">
        <f t="shared" si="149"/>
        <v>0</v>
      </c>
      <c r="AC165" s="291">
        <v>0</v>
      </c>
      <c r="AD165" s="291">
        <v>0</v>
      </c>
      <c r="AE165" s="63">
        <f t="shared" si="129"/>
        <v>3893240.3999999994</v>
      </c>
      <c r="AF165" s="55">
        <v>0</v>
      </c>
      <c r="AG165" s="55">
        <f t="shared" si="150"/>
        <v>3893240.3999999994</v>
      </c>
      <c r="AH165" s="60" t="s">
        <v>607</v>
      </c>
      <c r="AI165" s="61" t="s">
        <v>181</v>
      </c>
      <c r="AJ165" s="55"/>
      <c r="AK165" s="55"/>
    </row>
    <row r="166" spans="1:37" ht="189" x14ac:dyDescent="0.25">
      <c r="A166" s="345" t="s">
        <v>1910</v>
      </c>
      <c r="B166" s="271">
        <v>120801</v>
      </c>
      <c r="C166" s="268">
        <v>87</v>
      </c>
      <c r="D166" s="235" t="s">
        <v>171</v>
      </c>
      <c r="E166" s="270" t="s">
        <v>988</v>
      </c>
      <c r="F166" s="419" t="s">
        <v>354</v>
      </c>
      <c r="G166" s="11" t="s">
        <v>322</v>
      </c>
      <c r="H166" s="11" t="s">
        <v>323</v>
      </c>
      <c r="I166" s="235" t="s">
        <v>324</v>
      </c>
      <c r="J166" s="23" t="s">
        <v>325</v>
      </c>
      <c r="K166" s="148">
        <v>43166</v>
      </c>
      <c r="L166" s="15">
        <v>43653</v>
      </c>
      <c r="M166" s="5">
        <f t="shared" si="137"/>
        <v>84.168038598864953</v>
      </c>
      <c r="N166" s="2">
        <v>3</v>
      </c>
      <c r="O166" s="2" t="s">
        <v>326</v>
      </c>
      <c r="P166" s="2" t="s">
        <v>327</v>
      </c>
      <c r="Q166" s="32" t="s">
        <v>208</v>
      </c>
      <c r="R166" s="6" t="s">
        <v>36</v>
      </c>
      <c r="S166" s="57">
        <f t="shared" ref="S166:S171" si="206">T166+U166</f>
        <v>357481.33</v>
      </c>
      <c r="T166" s="234">
        <v>357481.33</v>
      </c>
      <c r="U166" s="234">
        <v>0</v>
      </c>
      <c r="V166" s="57">
        <f t="shared" si="147"/>
        <v>58747.57</v>
      </c>
      <c r="W166" s="234">
        <v>58747.57</v>
      </c>
      <c r="X166" s="234">
        <v>0</v>
      </c>
      <c r="Y166" s="57">
        <f t="shared" ref="Y166:Y171" si="207">Z166+AA166</f>
        <v>8494.4699999999993</v>
      </c>
      <c r="Z166" s="234">
        <v>8494.4699999999993</v>
      </c>
      <c r="AA166" s="234">
        <v>0</v>
      </c>
      <c r="AB166" s="55">
        <f t="shared" si="149"/>
        <v>0</v>
      </c>
      <c r="AC166" s="234"/>
      <c r="AD166" s="234"/>
      <c r="AE166" s="63">
        <f t="shared" si="129"/>
        <v>424723.37</v>
      </c>
      <c r="AF166" s="55">
        <v>0</v>
      </c>
      <c r="AG166" s="55">
        <f t="shared" si="150"/>
        <v>424723.37</v>
      </c>
      <c r="AH166" s="60" t="s">
        <v>1092</v>
      </c>
      <c r="AI166" s="61" t="s">
        <v>181</v>
      </c>
      <c r="AJ166" s="72">
        <f>70082.64+38337.49-1246.56+48094.29+59965.62</f>
        <v>215233.48</v>
      </c>
      <c r="AK166" s="62">
        <f>4618.03+6264.08+1246.56+6443.69+16568.13</f>
        <v>35140.490000000005</v>
      </c>
    </row>
    <row r="167" spans="1:37" ht="315" x14ac:dyDescent="0.25">
      <c r="A167" s="345" t="s">
        <v>1911</v>
      </c>
      <c r="B167" s="271">
        <v>119511</v>
      </c>
      <c r="C167" s="260">
        <v>464</v>
      </c>
      <c r="D167" s="235" t="s">
        <v>168</v>
      </c>
      <c r="E167" s="260" t="s">
        <v>1060</v>
      </c>
      <c r="F167" s="235" t="s">
        <v>564</v>
      </c>
      <c r="G167" s="11" t="s">
        <v>565</v>
      </c>
      <c r="H167" s="11" t="s">
        <v>566</v>
      </c>
      <c r="I167" s="235" t="s">
        <v>372</v>
      </c>
      <c r="J167" s="11" t="s">
        <v>567</v>
      </c>
      <c r="K167" s="148">
        <v>43257</v>
      </c>
      <c r="L167" s="15">
        <v>43744</v>
      </c>
      <c r="M167" s="5">
        <f t="shared" si="137"/>
        <v>85.000000259943448</v>
      </c>
      <c r="N167" s="48">
        <v>3</v>
      </c>
      <c r="O167" s="26" t="s">
        <v>451</v>
      </c>
      <c r="P167" s="26" t="s">
        <v>327</v>
      </c>
      <c r="Q167" s="26" t="s">
        <v>208</v>
      </c>
      <c r="R167" s="26" t="s">
        <v>568</v>
      </c>
      <c r="S167" s="57">
        <f t="shared" si="206"/>
        <v>490491.32</v>
      </c>
      <c r="T167" s="234">
        <v>490491.32</v>
      </c>
      <c r="U167" s="234">
        <v>0</v>
      </c>
      <c r="V167" s="57">
        <f t="shared" si="147"/>
        <v>75016.320000000007</v>
      </c>
      <c r="W167" s="234">
        <v>75016.320000000007</v>
      </c>
      <c r="X167" s="234">
        <v>0</v>
      </c>
      <c r="Y167" s="57">
        <f t="shared" si="207"/>
        <v>11540.97</v>
      </c>
      <c r="Z167" s="349">
        <v>11540.97</v>
      </c>
      <c r="AA167" s="349">
        <v>0</v>
      </c>
      <c r="AB167" s="55">
        <f t="shared" si="149"/>
        <v>0</v>
      </c>
      <c r="AC167" s="291">
        <v>0</v>
      </c>
      <c r="AD167" s="291">
        <v>0</v>
      </c>
      <c r="AE167" s="63">
        <f>S167+V167+Y167+AB167</f>
        <v>577048.61</v>
      </c>
      <c r="AF167" s="64">
        <v>0</v>
      </c>
      <c r="AG167" s="55">
        <f t="shared" si="150"/>
        <v>577048.61</v>
      </c>
      <c r="AH167" s="60" t="s">
        <v>607</v>
      </c>
      <c r="AI167" s="66" t="s">
        <v>1299</v>
      </c>
      <c r="AJ167" s="119">
        <f>57677.81+46119.33+94319.49+91972.76+63470.15</f>
        <v>353559.54000000004</v>
      </c>
      <c r="AK167" s="62">
        <f>8821.31+7053.55+14425.33+14066.43+9707.2</f>
        <v>54073.820000000007</v>
      </c>
    </row>
    <row r="168" spans="1:37" s="165" customFormat="1" ht="220.5" x14ac:dyDescent="0.25">
      <c r="A168" s="345" t="s">
        <v>1912</v>
      </c>
      <c r="B168" s="420">
        <v>118799</v>
      </c>
      <c r="C168" s="260">
        <v>447</v>
      </c>
      <c r="D168" s="260" t="s">
        <v>168</v>
      </c>
      <c r="E168" s="270" t="s">
        <v>725</v>
      </c>
      <c r="F168" s="270" t="s">
        <v>632</v>
      </c>
      <c r="G168" s="14" t="s">
        <v>1150</v>
      </c>
      <c r="H168" s="11" t="s">
        <v>323</v>
      </c>
      <c r="I168" s="260" t="s">
        <v>1151</v>
      </c>
      <c r="J168" s="14" t="s">
        <v>1152</v>
      </c>
      <c r="K168" s="147">
        <v>43425</v>
      </c>
      <c r="L168" s="15">
        <v>43911</v>
      </c>
      <c r="M168" s="5">
        <f t="shared" si="137"/>
        <v>84.156466663338946</v>
      </c>
      <c r="N168" s="2">
        <v>3</v>
      </c>
      <c r="O168" s="2" t="s">
        <v>326</v>
      </c>
      <c r="P168" s="2" t="s">
        <v>327</v>
      </c>
      <c r="Q168" s="32" t="s">
        <v>208</v>
      </c>
      <c r="R168" s="6" t="s">
        <v>36</v>
      </c>
      <c r="S168" s="57">
        <f t="shared" si="206"/>
        <v>242273.6</v>
      </c>
      <c r="T168" s="291">
        <v>242273.6</v>
      </c>
      <c r="U168" s="291">
        <v>0</v>
      </c>
      <c r="V168" s="57">
        <f t="shared" si="147"/>
        <v>39853.410000000003</v>
      </c>
      <c r="W168" s="291">
        <v>39853.410000000003</v>
      </c>
      <c r="X168" s="291">
        <v>0</v>
      </c>
      <c r="Y168" s="57">
        <f t="shared" si="207"/>
        <v>2900.76</v>
      </c>
      <c r="Z168" s="207">
        <v>2900.76</v>
      </c>
      <c r="AA168" s="207">
        <v>0</v>
      </c>
      <c r="AB168" s="58">
        <f t="shared" si="149"/>
        <v>2856.94</v>
      </c>
      <c r="AC168" s="291">
        <v>2856.94</v>
      </c>
      <c r="AD168" s="291">
        <v>0</v>
      </c>
      <c r="AE168" s="59">
        <f t="shared" ref="AE168:AE171" si="208">S168+V168+Y168+AB168</f>
        <v>287884.71000000002</v>
      </c>
      <c r="AF168" s="60">
        <v>0</v>
      </c>
      <c r="AG168" s="58">
        <f>AE168+AF168</f>
        <v>287884.71000000002</v>
      </c>
      <c r="AH168" s="60" t="s">
        <v>607</v>
      </c>
      <c r="AI168" s="266" t="s">
        <v>1644</v>
      </c>
      <c r="AJ168" s="119">
        <f>14394.24+4020.28+12528.17+14000</f>
        <v>44942.69</v>
      </c>
      <c r="AK168" s="62">
        <v>2871.93</v>
      </c>
    </row>
    <row r="169" spans="1:37" ht="220.5" x14ac:dyDescent="0.25">
      <c r="A169" s="345" t="s">
        <v>1913</v>
      </c>
      <c r="B169" s="271">
        <v>126115</v>
      </c>
      <c r="C169" s="260">
        <v>542</v>
      </c>
      <c r="D169" s="235" t="s">
        <v>171</v>
      </c>
      <c r="E169" s="270" t="s">
        <v>988</v>
      </c>
      <c r="F169" s="253" t="s">
        <v>1153</v>
      </c>
      <c r="G169" s="11" t="s">
        <v>1375</v>
      </c>
      <c r="H169" s="11" t="s">
        <v>566</v>
      </c>
      <c r="I169" s="235" t="s">
        <v>444</v>
      </c>
      <c r="J169" s="31" t="s">
        <v>1376</v>
      </c>
      <c r="K169" s="148">
        <v>43564</v>
      </c>
      <c r="L169" s="15">
        <v>44173</v>
      </c>
      <c r="M169" s="5">
        <f t="shared" si="137"/>
        <v>85.000000984188233</v>
      </c>
      <c r="N169" s="2">
        <v>3</v>
      </c>
      <c r="O169" s="2" t="s">
        <v>326</v>
      </c>
      <c r="P169" s="2" t="s">
        <v>566</v>
      </c>
      <c r="Q169" s="32" t="s">
        <v>208</v>
      </c>
      <c r="R169" s="6" t="s">
        <v>36</v>
      </c>
      <c r="S169" s="57">
        <f t="shared" si="206"/>
        <v>431827.97</v>
      </c>
      <c r="T169" s="234">
        <v>431827.97</v>
      </c>
      <c r="U169" s="234">
        <v>0</v>
      </c>
      <c r="V169" s="57">
        <f t="shared" si="147"/>
        <v>66044.27</v>
      </c>
      <c r="W169" s="234">
        <v>66044.27</v>
      </c>
      <c r="X169" s="234">
        <v>0</v>
      </c>
      <c r="Y169" s="57">
        <f t="shared" si="207"/>
        <v>10160.66</v>
      </c>
      <c r="Z169" s="349">
        <v>10160.66</v>
      </c>
      <c r="AA169" s="349">
        <v>0</v>
      </c>
      <c r="AB169" s="55">
        <f t="shared" si="149"/>
        <v>0</v>
      </c>
      <c r="AC169" s="401">
        <v>0</v>
      </c>
      <c r="AD169" s="401">
        <v>0</v>
      </c>
      <c r="AE169" s="63">
        <f t="shared" si="208"/>
        <v>508032.89999999997</v>
      </c>
      <c r="AF169" s="62">
        <v>0</v>
      </c>
      <c r="AG169" s="55">
        <f t="shared" si="150"/>
        <v>508032.89999999997</v>
      </c>
      <c r="AH169" s="60" t="s">
        <v>607</v>
      </c>
      <c r="AI169" s="66"/>
      <c r="AJ169" s="119">
        <v>0</v>
      </c>
      <c r="AK169" s="119">
        <v>0</v>
      </c>
    </row>
    <row r="170" spans="1:37" ht="141.75" x14ac:dyDescent="0.25">
      <c r="A170" s="345" t="s">
        <v>1914</v>
      </c>
      <c r="B170" s="271">
        <v>129261</v>
      </c>
      <c r="C170" s="260">
        <v>648</v>
      </c>
      <c r="D170" s="235" t="s">
        <v>864</v>
      </c>
      <c r="E170" s="270" t="s">
        <v>988</v>
      </c>
      <c r="F170" s="253" t="s">
        <v>1427</v>
      </c>
      <c r="G170" s="125" t="s">
        <v>1513</v>
      </c>
      <c r="H170" s="11" t="s">
        <v>1512</v>
      </c>
      <c r="I170" s="235" t="s">
        <v>181</v>
      </c>
      <c r="J170" s="11" t="s">
        <v>1514</v>
      </c>
      <c r="K170" s="148">
        <v>43643</v>
      </c>
      <c r="L170" s="15">
        <v>44192</v>
      </c>
      <c r="M170" s="5">
        <f t="shared" si="137"/>
        <v>84.999999897463027</v>
      </c>
      <c r="N170" s="2">
        <v>3</v>
      </c>
      <c r="O170" s="2" t="s">
        <v>326</v>
      </c>
      <c r="P170" s="2" t="s">
        <v>566</v>
      </c>
      <c r="Q170" s="32" t="s">
        <v>208</v>
      </c>
      <c r="R170" s="6" t="s">
        <v>36</v>
      </c>
      <c r="S170" s="57">
        <f t="shared" si="206"/>
        <v>2486907.71</v>
      </c>
      <c r="T170" s="234">
        <v>2486907.71</v>
      </c>
      <c r="U170" s="234">
        <v>0</v>
      </c>
      <c r="V170" s="57">
        <f t="shared" si="147"/>
        <v>380350.59</v>
      </c>
      <c r="W170" s="234">
        <v>380350.59</v>
      </c>
      <c r="X170" s="234">
        <v>0</v>
      </c>
      <c r="Y170" s="57">
        <f t="shared" si="207"/>
        <v>58515.48</v>
      </c>
      <c r="Z170" s="349">
        <v>58515.48</v>
      </c>
      <c r="AA170" s="349">
        <v>0</v>
      </c>
      <c r="AB170" s="55">
        <f t="shared" si="149"/>
        <v>0</v>
      </c>
      <c r="AC170" s="401">
        <v>0</v>
      </c>
      <c r="AD170" s="401">
        <v>0</v>
      </c>
      <c r="AE170" s="63">
        <f t="shared" si="208"/>
        <v>2925773.78</v>
      </c>
      <c r="AF170" s="62">
        <v>0</v>
      </c>
      <c r="AG170" s="55">
        <f t="shared" si="150"/>
        <v>2925773.78</v>
      </c>
      <c r="AH170" s="60" t="s">
        <v>607</v>
      </c>
      <c r="AI170" s="66"/>
      <c r="AJ170" s="119">
        <v>0</v>
      </c>
      <c r="AK170" s="119">
        <v>0</v>
      </c>
    </row>
    <row r="171" spans="1:37" ht="315" x14ac:dyDescent="0.25">
      <c r="A171" s="345" t="s">
        <v>1915</v>
      </c>
      <c r="B171" s="271">
        <v>129205</v>
      </c>
      <c r="C171" s="260">
        <v>684</v>
      </c>
      <c r="D171" s="235" t="s">
        <v>1093</v>
      </c>
      <c r="E171" s="270" t="s">
        <v>988</v>
      </c>
      <c r="F171" s="253" t="s">
        <v>1427</v>
      </c>
      <c r="G171" s="125" t="s">
        <v>1540</v>
      </c>
      <c r="H171" s="11" t="s">
        <v>566</v>
      </c>
      <c r="I171" s="235" t="s">
        <v>181</v>
      </c>
      <c r="J171" s="11" t="s">
        <v>1541</v>
      </c>
      <c r="K171" s="148">
        <v>43654</v>
      </c>
      <c r="L171" s="15">
        <v>44569</v>
      </c>
      <c r="M171" s="5">
        <f t="shared" ref="M171:M220" si="209">S171/AE171*100</f>
        <v>84.99999990778575</v>
      </c>
      <c r="N171" s="2">
        <v>3</v>
      </c>
      <c r="O171" s="2" t="s">
        <v>326</v>
      </c>
      <c r="P171" s="2" t="s">
        <v>566</v>
      </c>
      <c r="Q171" s="32" t="s">
        <v>208</v>
      </c>
      <c r="R171" s="6" t="s">
        <v>36</v>
      </c>
      <c r="S171" s="57">
        <f t="shared" si="206"/>
        <v>2304415.83</v>
      </c>
      <c r="T171" s="234">
        <v>2304415.83</v>
      </c>
      <c r="U171" s="234">
        <v>0</v>
      </c>
      <c r="V171" s="57">
        <f t="shared" si="147"/>
        <v>352440.07</v>
      </c>
      <c r="W171" s="234">
        <v>352440.07</v>
      </c>
      <c r="X171" s="234">
        <v>0</v>
      </c>
      <c r="Y171" s="57">
        <f t="shared" si="207"/>
        <v>54221.55</v>
      </c>
      <c r="Z171" s="349">
        <v>54221.55</v>
      </c>
      <c r="AA171" s="349">
        <v>0</v>
      </c>
      <c r="AB171" s="55">
        <f t="shared" si="149"/>
        <v>0</v>
      </c>
      <c r="AC171" s="401">
        <v>0</v>
      </c>
      <c r="AD171" s="401">
        <v>0</v>
      </c>
      <c r="AE171" s="63">
        <f t="shared" si="208"/>
        <v>2711077.4499999997</v>
      </c>
      <c r="AF171" s="62"/>
      <c r="AG171" s="55">
        <f t="shared" si="150"/>
        <v>2711077.4499999997</v>
      </c>
      <c r="AH171" s="60" t="s">
        <v>607</v>
      </c>
      <c r="AI171" s="66"/>
      <c r="AJ171" s="119">
        <v>80000</v>
      </c>
      <c r="AK171" s="119">
        <v>0</v>
      </c>
    </row>
    <row r="172" spans="1:37" ht="173.25" x14ac:dyDescent="0.25">
      <c r="A172" s="345" t="s">
        <v>1916</v>
      </c>
      <c r="B172" s="271">
        <v>118062</v>
      </c>
      <c r="C172" s="268">
        <v>421</v>
      </c>
      <c r="D172" s="418" t="s">
        <v>167</v>
      </c>
      <c r="E172" s="270" t="s">
        <v>725</v>
      </c>
      <c r="F172" s="419" t="s">
        <v>632</v>
      </c>
      <c r="G172" s="82" t="s">
        <v>1142</v>
      </c>
      <c r="H172" s="163" t="s">
        <v>1143</v>
      </c>
      <c r="I172" s="418" t="s">
        <v>960</v>
      </c>
      <c r="J172" s="11" t="s">
        <v>1145</v>
      </c>
      <c r="K172" s="148">
        <v>43412</v>
      </c>
      <c r="L172" s="15">
        <v>43807</v>
      </c>
      <c r="M172" s="5">
        <f t="shared" si="209"/>
        <v>85.000007860659679</v>
      </c>
      <c r="N172" s="48">
        <v>6</v>
      </c>
      <c r="O172" s="48" t="s">
        <v>452</v>
      </c>
      <c r="P172" s="48" t="s">
        <v>373</v>
      </c>
      <c r="Q172" s="162" t="s">
        <v>208</v>
      </c>
      <c r="R172" s="82" t="s">
        <v>36</v>
      </c>
      <c r="S172" s="57">
        <f>T172+U172</f>
        <v>308180.27</v>
      </c>
      <c r="T172" s="356">
        <v>308180.27</v>
      </c>
      <c r="U172" s="356">
        <v>0</v>
      </c>
      <c r="V172" s="57">
        <f t="shared" si="147"/>
        <v>47133.4</v>
      </c>
      <c r="W172" s="356">
        <v>47133.4</v>
      </c>
      <c r="X172" s="356">
        <v>0</v>
      </c>
      <c r="Y172" s="71">
        <f>Z172+AA172</f>
        <v>7251.32</v>
      </c>
      <c r="Z172" s="358">
        <v>7251.32</v>
      </c>
      <c r="AA172" s="358">
        <v>0</v>
      </c>
      <c r="AB172" s="55">
        <f t="shared" si="149"/>
        <v>0</v>
      </c>
      <c r="AC172" s="402">
        <v>0</v>
      </c>
      <c r="AD172" s="402">
        <v>0</v>
      </c>
      <c r="AE172" s="63">
        <f t="shared" ref="AE172:AE234" si="210">S172+V172+Y172+AB172</f>
        <v>362564.99000000005</v>
      </c>
      <c r="AF172" s="161">
        <v>0</v>
      </c>
      <c r="AG172" s="55">
        <f t="shared" si="150"/>
        <v>362564.99000000005</v>
      </c>
      <c r="AH172" s="60" t="s">
        <v>892</v>
      </c>
      <c r="AI172" s="66" t="s">
        <v>372</v>
      </c>
      <c r="AJ172" s="119">
        <f>6448.1+53794.27</f>
        <v>60242.369999999995</v>
      </c>
      <c r="AK172" s="72">
        <f>986.18+8227.36</f>
        <v>9213.5400000000009</v>
      </c>
    </row>
    <row r="173" spans="1:37" ht="236.25" x14ac:dyDescent="0.25">
      <c r="A173" s="345" t="s">
        <v>1917</v>
      </c>
      <c r="B173" s="235">
        <v>126302</v>
      </c>
      <c r="C173" s="268">
        <v>521</v>
      </c>
      <c r="D173" s="418" t="s">
        <v>864</v>
      </c>
      <c r="E173" s="270" t="s">
        <v>988</v>
      </c>
      <c r="F173" s="253" t="s">
        <v>1153</v>
      </c>
      <c r="G173" s="34" t="s">
        <v>1204</v>
      </c>
      <c r="H173" s="34" t="s">
        <v>371</v>
      </c>
      <c r="I173" s="260" t="s">
        <v>181</v>
      </c>
      <c r="J173" s="23" t="s">
        <v>1205</v>
      </c>
      <c r="K173" s="148">
        <v>43447</v>
      </c>
      <c r="L173" s="15">
        <v>44360</v>
      </c>
      <c r="M173" s="5">
        <f t="shared" si="209"/>
        <v>85.000000283587156</v>
      </c>
      <c r="N173" s="6">
        <v>6</v>
      </c>
      <c r="O173" s="48" t="s">
        <v>452</v>
      </c>
      <c r="P173" s="6" t="s">
        <v>373</v>
      </c>
      <c r="Q173" s="10" t="s">
        <v>208</v>
      </c>
      <c r="R173" s="2" t="s">
        <v>36</v>
      </c>
      <c r="S173" s="57">
        <f>T173+U173</f>
        <v>2697583.52</v>
      </c>
      <c r="T173" s="234">
        <v>2697583.52</v>
      </c>
      <c r="U173" s="234">
        <v>0</v>
      </c>
      <c r="V173" s="57">
        <f>W173+X173</f>
        <v>412571.59</v>
      </c>
      <c r="W173" s="234">
        <v>412571.59</v>
      </c>
      <c r="X173" s="234">
        <v>0</v>
      </c>
      <c r="Y173" s="57">
        <f>Z173+AA173</f>
        <v>63472.55</v>
      </c>
      <c r="Z173" s="234">
        <v>63472.55</v>
      </c>
      <c r="AA173" s="207">
        <v>0</v>
      </c>
      <c r="AB173" s="55">
        <f>AC173+AD173</f>
        <v>0</v>
      </c>
      <c r="AC173" s="234">
        <v>0</v>
      </c>
      <c r="AD173" s="234">
        <v>0</v>
      </c>
      <c r="AE173" s="63">
        <f>S173+V173+Y173+AB173</f>
        <v>3173627.6599999997</v>
      </c>
      <c r="AF173" s="55">
        <v>44744</v>
      </c>
      <c r="AG173" s="55">
        <f>AE173+AF173</f>
        <v>3218371.6599999997</v>
      </c>
      <c r="AH173" s="60" t="s">
        <v>607</v>
      </c>
      <c r="AI173" s="66"/>
      <c r="AJ173" s="119">
        <f>317362.76-154.7</f>
        <v>317208.06</v>
      </c>
      <c r="AK173" s="72">
        <v>154.69999999999999</v>
      </c>
    </row>
    <row r="174" spans="1:37" ht="293.25" x14ac:dyDescent="0.25">
      <c r="A174" s="345" t="s">
        <v>1918</v>
      </c>
      <c r="B174" s="417">
        <v>126243</v>
      </c>
      <c r="C174" s="268">
        <v>549</v>
      </c>
      <c r="D174" s="418" t="s">
        <v>171</v>
      </c>
      <c r="E174" s="260" t="s">
        <v>988</v>
      </c>
      <c r="F174" s="235" t="s">
        <v>1153</v>
      </c>
      <c r="G174" s="34" t="s">
        <v>1362</v>
      </c>
      <c r="H174" s="34" t="s">
        <v>1143</v>
      </c>
      <c r="I174" s="260" t="s">
        <v>444</v>
      </c>
      <c r="J174" s="34" t="s">
        <v>1363</v>
      </c>
      <c r="K174" s="148">
        <v>43556</v>
      </c>
      <c r="L174" s="15">
        <v>44316</v>
      </c>
      <c r="M174" s="5">
        <f t="shared" si="209"/>
        <v>84.9999995883324</v>
      </c>
      <c r="N174" s="48">
        <v>6</v>
      </c>
      <c r="O174" s="48" t="s">
        <v>452</v>
      </c>
      <c r="P174" s="48" t="s">
        <v>377</v>
      </c>
      <c r="Q174" s="48" t="s">
        <v>208</v>
      </c>
      <c r="R174" s="2" t="s">
        <v>1176</v>
      </c>
      <c r="S174" s="57">
        <f>T174+U174</f>
        <v>2477727.14</v>
      </c>
      <c r="T174" s="234">
        <v>2477727.14</v>
      </c>
      <c r="U174" s="234">
        <v>0</v>
      </c>
      <c r="V174" s="57">
        <f t="shared" si="147"/>
        <v>378946.5</v>
      </c>
      <c r="W174" s="234">
        <v>378946.5</v>
      </c>
      <c r="X174" s="234">
        <v>0</v>
      </c>
      <c r="Y174" s="57">
        <f>Z174+AA174</f>
        <v>58299.48</v>
      </c>
      <c r="Z174" s="234">
        <v>58299.48</v>
      </c>
      <c r="AA174" s="234">
        <v>0</v>
      </c>
      <c r="AB174" s="55">
        <f t="shared" si="149"/>
        <v>0</v>
      </c>
      <c r="AC174" s="234">
        <v>0</v>
      </c>
      <c r="AD174" s="234">
        <v>0</v>
      </c>
      <c r="AE174" s="63">
        <f t="shared" si="210"/>
        <v>2914973.12</v>
      </c>
      <c r="AF174" s="55">
        <v>16660</v>
      </c>
      <c r="AG174" s="55">
        <f t="shared" si="150"/>
        <v>2931633.12</v>
      </c>
      <c r="AH174" s="60" t="s">
        <v>607</v>
      </c>
      <c r="AI174" s="66"/>
      <c r="AJ174" s="72">
        <v>28501.35</v>
      </c>
      <c r="AK174" s="72">
        <v>4359.03</v>
      </c>
    </row>
    <row r="175" spans="1:37" ht="252" x14ac:dyDescent="0.25">
      <c r="A175" s="345" t="s">
        <v>1919</v>
      </c>
      <c r="B175" s="271">
        <v>119429</v>
      </c>
      <c r="C175" s="424">
        <v>472</v>
      </c>
      <c r="D175" s="271" t="s">
        <v>705</v>
      </c>
      <c r="E175" s="260" t="s">
        <v>1060</v>
      </c>
      <c r="F175" s="419" t="s">
        <v>564</v>
      </c>
      <c r="G175" s="37" t="s">
        <v>845</v>
      </c>
      <c r="H175" s="37" t="s">
        <v>1141</v>
      </c>
      <c r="I175" s="260" t="s">
        <v>444</v>
      </c>
      <c r="J175" s="108" t="s">
        <v>846</v>
      </c>
      <c r="K175" s="274">
        <v>43304</v>
      </c>
      <c r="L175" s="275">
        <v>43669</v>
      </c>
      <c r="M175" s="5">
        <f t="shared" si="209"/>
        <v>85.000001381242228</v>
      </c>
      <c r="N175" s="2">
        <v>6</v>
      </c>
      <c r="O175" s="2" t="s">
        <v>844</v>
      </c>
      <c r="P175" s="2" t="s">
        <v>843</v>
      </c>
      <c r="Q175" s="41" t="s">
        <v>208</v>
      </c>
      <c r="R175" s="2" t="s">
        <v>568</v>
      </c>
      <c r="S175" s="55">
        <f t="shared" ref="S175:S177" si="211">T175+U175</f>
        <v>215385.83</v>
      </c>
      <c r="T175" s="234">
        <v>215385.83</v>
      </c>
      <c r="U175" s="234">
        <v>0</v>
      </c>
      <c r="V175" s="55">
        <f t="shared" si="147"/>
        <v>32941.35</v>
      </c>
      <c r="W175" s="234">
        <v>32941.35</v>
      </c>
      <c r="X175" s="234">
        <v>0</v>
      </c>
      <c r="Y175" s="55">
        <f t="shared" ref="Y175:Y177" si="212">Z175+AA175</f>
        <v>5067.91</v>
      </c>
      <c r="Z175" s="234">
        <v>5067.91</v>
      </c>
      <c r="AA175" s="234">
        <v>0</v>
      </c>
      <c r="AB175" s="55">
        <f t="shared" si="149"/>
        <v>0</v>
      </c>
      <c r="AC175" s="234">
        <v>0</v>
      </c>
      <c r="AD175" s="234">
        <v>0</v>
      </c>
      <c r="AE175" s="63">
        <f t="shared" si="210"/>
        <v>253395.09</v>
      </c>
      <c r="AF175" s="55"/>
      <c r="AG175" s="55">
        <f t="shared" si="150"/>
        <v>253395.09</v>
      </c>
      <c r="AH175" s="60" t="s">
        <v>1534</v>
      </c>
      <c r="AI175" s="61"/>
      <c r="AJ175" s="72">
        <f>9089.05+29577.7+15247.3+43458.57</f>
        <v>97372.62</v>
      </c>
      <c r="AK175" s="62">
        <f>1390.09+4523.64+2331.94+6646.61</f>
        <v>14892.279999999999</v>
      </c>
    </row>
    <row r="176" spans="1:37" ht="195" x14ac:dyDescent="0.25">
      <c r="A176" s="345" t="s">
        <v>1920</v>
      </c>
      <c r="B176" s="271">
        <v>121622</v>
      </c>
      <c r="C176" s="268">
        <v>99</v>
      </c>
      <c r="D176" s="235" t="s">
        <v>171</v>
      </c>
      <c r="E176" s="270" t="s">
        <v>988</v>
      </c>
      <c r="F176" s="419" t="s">
        <v>354</v>
      </c>
      <c r="G176" s="37" t="s">
        <v>370</v>
      </c>
      <c r="H176" s="11" t="s">
        <v>375</v>
      </c>
      <c r="I176" s="260" t="s">
        <v>372</v>
      </c>
      <c r="J176" s="35" t="s">
        <v>369</v>
      </c>
      <c r="K176" s="148">
        <v>43188</v>
      </c>
      <c r="L176" s="15">
        <v>43737</v>
      </c>
      <c r="M176" s="5">
        <f t="shared" si="209"/>
        <v>84.999999426373932</v>
      </c>
      <c r="N176" s="6" t="s">
        <v>152</v>
      </c>
      <c r="O176" s="6" t="s">
        <v>377</v>
      </c>
      <c r="P176" s="6" t="s">
        <v>377</v>
      </c>
      <c r="Q176" s="10" t="s">
        <v>208</v>
      </c>
      <c r="R176" s="2" t="s">
        <v>36</v>
      </c>
      <c r="S176" s="55">
        <f t="shared" si="211"/>
        <v>444540.46</v>
      </c>
      <c r="T176" s="234">
        <v>444540.46</v>
      </c>
      <c r="U176" s="234">
        <v>0</v>
      </c>
      <c r="V176" s="55">
        <f t="shared" si="147"/>
        <v>67988.539999999994</v>
      </c>
      <c r="W176" s="234">
        <v>67988.539999999994</v>
      </c>
      <c r="X176" s="234">
        <v>0</v>
      </c>
      <c r="Y176" s="55">
        <f t="shared" si="212"/>
        <v>10459.780000000001</v>
      </c>
      <c r="Z176" s="254">
        <v>10459.780000000001</v>
      </c>
      <c r="AA176" s="234">
        <v>0</v>
      </c>
      <c r="AB176" s="55">
        <f t="shared" si="149"/>
        <v>0</v>
      </c>
      <c r="AC176" s="234"/>
      <c r="AD176" s="234"/>
      <c r="AE176" s="63">
        <f t="shared" si="210"/>
        <v>522988.78</v>
      </c>
      <c r="AF176" s="55">
        <v>0</v>
      </c>
      <c r="AG176" s="55">
        <f t="shared" si="150"/>
        <v>522988.78</v>
      </c>
      <c r="AH176" s="60" t="s">
        <v>607</v>
      </c>
      <c r="AI176" s="61" t="s">
        <v>1268</v>
      </c>
      <c r="AJ176" s="72">
        <f>14488.25+50968.69+59419.29+14618.26+66415.01</f>
        <v>205909.5</v>
      </c>
      <c r="AK176" s="62">
        <f>2215.85+7795.21+9087.66+2235.73+10157.58</f>
        <v>31492.03</v>
      </c>
    </row>
    <row r="177" spans="1:37" ht="180" x14ac:dyDescent="0.25">
      <c r="A177" s="345" t="s">
        <v>1921</v>
      </c>
      <c r="B177" s="271">
        <v>121536</v>
      </c>
      <c r="C177" s="268">
        <v>102</v>
      </c>
      <c r="D177" s="235" t="s">
        <v>171</v>
      </c>
      <c r="E177" s="270" t="s">
        <v>988</v>
      </c>
      <c r="F177" s="419" t="s">
        <v>354</v>
      </c>
      <c r="G177" s="37" t="s">
        <v>374</v>
      </c>
      <c r="H177" s="11" t="s">
        <v>371</v>
      </c>
      <c r="I177" s="260" t="s">
        <v>372</v>
      </c>
      <c r="J177" s="35" t="s">
        <v>378</v>
      </c>
      <c r="K177" s="148">
        <v>43186</v>
      </c>
      <c r="L177" s="15">
        <v>43643</v>
      </c>
      <c r="M177" s="5">
        <f t="shared" si="209"/>
        <v>85.000000246407055</v>
      </c>
      <c r="N177" s="6" t="s">
        <v>152</v>
      </c>
      <c r="O177" s="6" t="s">
        <v>373</v>
      </c>
      <c r="P177" s="6" t="s">
        <v>377</v>
      </c>
      <c r="Q177" s="10" t="s">
        <v>208</v>
      </c>
      <c r="R177" s="2" t="s">
        <v>36</v>
      </c>
      <c r="S177" s="55">
        <f t="shared" si="211"/>
        <v>344957.66</v>
      </c>
      <c r="T177" s="234">
        <v>344957.66</v>
      </c>
      <c r="U177" s="234">
        <v>0</v>
      </c>
      <c r="V177" s="55">
        <f t="shared" si="147"/>
        <v>52758.23</v>
      </c>
      <c r="W177" s="234">
        <v>52758.23</v>
      </c>
      <c r="X177" s="234">
        <v>0</v>
      </c>
      <c r="Y177" s="55">
        <f t="shared" si="212"/>
        <v>8116.65</v>
      </c>
      <c r="Z177" s="234">
        <v>8116.65</v>
      </c>
      <c r="AA177" s="234">
        <v>0</v>
      </c>
      <c r="AB177" s="55">
        <f t="shared" si="149"/>
        <v>0</v>
      </c>
      <c r="AC177" s="234"/>
      <c r="AD177" s="234"/>
      <c r="AE177" s="63">
        <f t="shared" si="210"/>
        <v>405832.54</v>
      </c>
      <c r="AF177" s="55">
        <v>0</v>
      </c>
      <c r="AG177" s="55">
        <f t="shared" si="150"/>
        <v>405832.54</v>
      </c>
      <c r="AH177" s="60" t="s">
        <v>1092</v>
      </c>
      <c r="AI177" s="61" t="s">
        <v>181</v>
      </c>
      <c r="AJ177" s="72">
        <f>28255.24+60713.8+16575+57363.1+56589.51</f>
        <v>219496.65000000002</v>
      </c>
      <c r="AK177" s="62">
        <f>4321.39+9285.64+2535+8773.18+8654.86</f>
        <v>33570.07</v>
      </c>
    </row>
    <row r="178" spans="1:37" ht="157.5" x14ac:dyDescent="0.25">
      <c r="A178" s="345" t="s">
        <v>1922</v>
      </c>
      <c r="B178" s="271">
        <v>119377</v>
      </c>
      <c r="C178" s="268">
        <v>463</v>
      </c>
      <c r="D178" s="418" t="s">
        <v>167</v>
      </c>
      <c r="E178" s="260" t="s">
        <v>1060</v>
      </c>
      <c r="F178" s="235" t="s">
        <v>564</v>
      </c>
      <c r="G178" s="82" t="s">
        <v>965</v>
      </c>
      <c r="H178" s="138" t="s">
        <v>962</v>
      </c>
      <c r="I178" s="418" t="s">
        <v>960</v>
      </c>
      <c r="J178" s="11" t="s">
        <v>963</v>
      </c>
      <c r="K178" s="148">
        <v>43332</v>
      </c>
      <c r="L178" s="15">
        <v>43819</v>
      </c>
      <c r="M178" s="5">
        <f t="shared" si="209"/>
        <v>85.000001900439869</v>
      </c>
      <c r="N178" s="26">
        <v>6</v>
      </c>
      <c r="O178" s="26" t="s">
        <v>453</v>
      </c>
      <c r="P178" s="26" t="s">
        <v>964</v>
      </c>
      <c r="Q178" s="26" t="s">
        <v>208</v>
      </c>
      <c r="R178" s="82" t="s">
        <v>36</v>
      </c>
      <c r="S178" s="57">
        <f t="shared" ref="S178" si="213">T178+U178</f>
        <v>313085.42</v>
      </c>
      <c r="T178" s="234">
        <v>313085.42</v>
      </c>
      <c r="U178" s="234">
        <v>0</v>
      </c>
      <c r="V178" s="57">
        <f t="shared" si="147"/>
        <v>47883.64</v>
      </c>
      <c r="W178" s="234">
        <v>47883.64</v>
      </c>
      <c r="X178" s="234">
        <v>0</v>
      </c>
      <c r="Y178" s="62">
        <f>Z178+AA178</f>
        <v>7366.72</v>
      </c>
      <c r="Z178" s="349">
        <v>7366.72</v>
      </c>
      <c r="AA178" s="349">
        <v>0</v>
      </c>
      <c r="AB178" s="55">
        <f t="shared" si="149"/>
        <v>0</v>
      </c>
      <c r="AC178" s="255">
        <v>0</v>
      </c>
      <c r="AD178" s="255">
        <v>0</v>
      </c>
      <c r="AE178" s="63">
        <f t="shared" si="210"/>
        <v>368335.77999999997</v>
      </c>
      <c r="AF178" s="71">
        <v>4938.5</v>
      </c>
      <c r="AG178" s="55">
        <f t="shared" si="150"/>
        <v>373274.27999999997</v>
      </c>
      <c r="AH178" s="60" t="s">
        <v>892</v>
      </c>
      <c r="AI178" s="66" t="s">
        <v>181</v>
      </c>
      <c r="AJ178" s="62">
        <f>21878.75+1547.93</f>
        <v>23426.68</v>
      </c>
      <c r="AK178" s="62">
        <f>3346.16+236.74</f>
        <v>3582.8999999999996</v>
      </c>
    </row>
    <row r="179" spans="1:37" ht="173.25" x14ac:dyDescent="0.25">
      <c r="A179" s="345" t="s">
        <v>1923</v>
      </c>
      <c r="B179" s="271">
        <v>126124</v>
      </c>
      <c r="C179" s="268">
        <v>532</v>
      </c>
      <c r="D179" s="418" t="s">
        <v>170</v>
      </c>
      <c r="E179" s="260" t="s">
        <v>988</v>
      </c>
      <c r="F179" s="235" t="s">
        <v>1153</v>
      </c>
      <c r="G179" s="82" t="s">
        <v>1233</v>
      </c>
      <c r="H179" s="138" t="s">
        <v>962</v>
      </c>
      <c r="I179" s="418" t="s">
        <v>960</v>
      </c>
      <c r="J179" s="11" t="s">
        <v>1234</v>
      </c>
      <c r="K179" s="148">
        <v>43462</v>
      </c>
      <c r="L179" s="15">
        <v>44375</v>
      </c>
      <c r="M179" s="5">
        <f t="shared" si="209"/>
        <v>84.999999694403598</v>
      </c>
      <c r="N179" s="26">
        <v>6</v>
      </c>
      <c r="O179" s="26" t="s">
        <v>453</v>
      </c>
      <c r="P179" s="26" t="s">
        <v>964</v>
      </c>
      <c r="Q179" s="26" t="s">
        <v>208</v>
      </c>
      <c r="R179" s="82" t="s">
        <v>36</v>
      </c>
      <c r="S179" s="57">
        <f t="shared" ref="S179" si="214">T179+U179</f>
        <v>2086084.74</v>
      </c>
      <c r="T179" s="234">
        <v>2086084.74</v>
      </c>
      <c r="U179" s="234">
        <v>0</v>
      </c>
      <c r="V179" s="57">
        <f t="shared" ref="V179" si="215">W179+X179</f>
        <v>319048.28000000003</v>
      </c>
      <c r="W179" s="234">
        <v>319048.28000000003</v>
      </c>
      <c r="X179" s="234">
        <v>0</v>
      </c>
      <c r="Y179" s="62">
        <f>Z179+AA179</f>
        <v>49084.33</v>
      </c>
      <c r="Z179" s="349">
        <v>49084.33</v>
      </c>
      <c r="AA179" s="349">
        <v>0</v>
      </c>
      <c r="AB179" s="55">
        <f t="shared" ref="AB179" si="216">AC179+AD179</f>
        <v>0</v>
      </c>
      <c r="AC179" s="255">
        <v>0</v>
      </c>
      <c r="AD179" s="255">
        <v>0</v>
      </c>
      <c r="AE179" s="63">
        <f t="shared" ref="AE179" si="217">S179+V179+Y179+AB179</f>
        <v>2454217.35</v>
      </c>
      <c r="AF179" s="71">
        <v>0</v>
      </c>
      <c r="AG179" s="55">
        <f t="shared" ref="AG179" si="218">AE179+AF179</f>
        <v>2454217.35</v>
      </c>
      <c r="AH179" s="60" t="s">
        <v>892</v>
      </c>
      <c r="AI179" s="66" t="s">
        <v>181</v>
      </c>
      <c r="AJ179" s="62">
        <v>425</v>
      </c>
      <c r="AK179" s="62">
        <v>65</v>
      </c>
    </row>
    <row r="180" spans="1:37" ht="252" x14ac:dyDescent="0.25">
      <c r="A180" s="345" t="s">
        <v>1924</v>
      </c>
      <c r="B180" s="235">
        <v>129237</v>
      </c>
      <c r="C180" s="268">
        <v>670</v>
      </c>
      <c r="D180" s="235" t="s">
        <v>159</v>
      </c>
      <c r="E180" s="270" t="s">
        <v>988</v>
      </c>
      <c r="F180" s="419" t="s">
        <v>1427</v>
      </c>
      <c r="G180" s="16" t="s">
        <v>1679</v>
      </c>
      <c r="H180" s="11" t="s">
        <v>1680</v>
      </c>
      <c r="I180" s="418" t="s">
        <v>960</v>
      </c>
      <c r="J180" s="36" t="s">
        <v>1681</v>
      </c>
      <c r="K180" s="148">
        <v>43697</v>
      </c>
      <c r="L180" s="4">
        <v>44793</v>
      </c>
      <c r="M180" s="5">
        <f t="shared" si="209"/>
        <v>85</v>
      </c>
      <c r="N180" s="6">
        <v>6</v>
      </c>
      <c r="O180" s="6" t="s">
        <v>964</v>
      </c>
      <c r="P180" s="6" t="s">
        <v>1682</v>
      </c>
      <c r="Q180" s="10" t="s">
        <v>208</v>
      </c>
      <c r="R180" s="8" t="s">
        <v>36</v>
      </c>
      <c r="S180" s="57">
        <f>T180+U180</f>
        <v>2465000</v>
      </c>
      <c r="T180" s="234">
        <v>2465000</v>
      </c>
      <c r="U180" s="234">
        <v>0</v>
      </c>
      <c r="V180" s="57">
        <f>W180+X180</f>
        <v>377000</v>
      </c>
      <c r="W180" s="234">
        <v>377000</v>
      </c>
      <c r="X180" s="234">
        <v>0</v>
      </c>
      <c r="Y180" s="57">
        <f>Z180+AA180</f>
        <v>58000</v>
      </c>
      <c r="Z180" s="234">
        <v>58000</v>
      </c>
      <c r="AA180" s="234">
        <v>0</v>
      </c>
      <c r="AB180" s="58">
        <f>AC180+AD180</f>
        <v>0</v>
      </c>
      <c r="AC180" s="234">
        <v>0</v>
      </c>
      <c r="AD180" s="234">
        <v>0</v>
      </c>
      <c r="AE180" s="63">
        <f>S180+V180+Y180+AB180</f>
        <v>2900000</v>
      </c>
      <c r="AF180" s="55">
        <v>0</v>
      </c>
      <c r="AG180" s="55">
        <f>AE180+AF180</f>
        <v>2900000</v>
      </c>
      <c r="AH180" s="60" t="s">
        <v>607</v>
      </c>
      <c r="AI180" s="61" t="s">
        <v>181</v>
      </c>
      <c r="AJ180" s="72"/>
      <c r="AK180" s="62"/>
    </row>
    <row r="181" spans="1:37" ht="299.25" x14ac:dyDescent="0.25">
      <c r="A181" s="345" t="s">
        <v>1925</v>
      </c>
      <c r="B181" s="235">
        <v>118759</v>
      </c>
      <c r="C181" s="268">
        <v>439</v>
      </c>
      <c r="D181" s="418" t="s">
        <v>1334</v>
      </c>
      <c r="E181" s="270" t="s">
        <v>725</v>
      </c>
      <c r="F181" s="270" t="s">
        <v>632</v>
      </c>
      <c r="G181" s="82" t="s">
        <v>826</v>
      </c>
      <c r="H181" s="11" t="s">
        <v>827</v>
      </c>
      <c r="I181" s="235" t="s">
        <v>828</v>
      </c>
      <c r="J181" s="11" t="s">
        <v>829</v>
      </c>
      <c r="K181" s="148">
        <v>43304</v>
      </c>
      <c r="L181" s="15">
        <v>43792</v>
      </c>
      <c r="M181" s="5">
        <f t="shared" si="209"/>
        <v>84.213980856539493</v>
      </c>
      <c r="N181" s="82">
        <v>7</v>
      </c>
      <c r="O181" s="82" t="s">
        <v>830</v>
      </c>
      <c r="P181" s="82" t="s">
        <v>830</v>
      </c>
      <c r="Q181" s="82" t="s">
        <v>208</v>
      </c>
      <c r="R181" s="82" t="s">
        <v>36</v>
      </c>
      <c r="S181" s="57">
        <f t="shared" ref="S181" si="219">T181+U181</f>
        <v>288260.65000000002</v>
      </c>
      <c r="T181" s="372">
        <v>288260.65000000002</v>
      </c>
      <c r="U181" s="373">
        <v>0</v>
      </c>
      <c r="V181" s="57">
        <v>47188.93</v>
      </c>
      <c r="W181" s="373">
        <v>47188.93</v>
      </c>
      <c r="X181" s="373" t="s">
        <v>833</v>
      </c>
      <c r="Y181" s="57">
        <v>6845.9</v>
      </c>
      <c r="Z181" s="373">
        <v>6845.9</v>
      </c>
      <c r="AA181" s="373" t="s">
        <v>833</v>
      </c>
      <c r="AB181" s="55">
        <f t="shared" ref="AB181:AB230" si="220">AC181+AD181</f>
        <v>0</v>
      </c>
      <c r="AC181" s="255"/>
      <c r="AD181" s="255"/>
      <c r="AE181" s="63">
        <f>S181+V181+Y181+AB181</f>
        <v>342295.48000000004</v>
      </c>
      <c r="AF181" s="66"/>
      <c r="AG181" s="55">
        <f t="shared" si="150"/>
        <v>342295.48000000004</v>
      </c>
      <c r="AH181" s="60" t="s">
        <v>607</v>
      </c>
      <c r="AI181" s="61" t="s">
        <v>181</v>
      </c>
      <c r="AJ181" s="62">
        <f>34229.54+12542.88+12551.87+33546.82+13753.48</f>
        <v>106624.59</v>
      </c>
      <c r="AK181" s="62">
        <f>2950.38+2215.05+10126.08</f>
        <v>15291.51</v>
      </c>
    </row>
    <row r="182" spans="1:37" ht="393.75" x14ac:dyDescent="0.25">
      <c r="A182" s="345" t="s">
        <v>1926</v>
      </c>
      <c r="B182" s="417">
        <v>119841</v>
      </c>
      <c r="C182" s="268">
        <v>477</v>
      </c>
      <c r="D182" s="418" t="s">
        <v>864</v>
      </c>
      <c r="E182" s="260" t="s">
        <v>1060</v>
      </c>
      <c r="F182" s="270" t="s">
        <v>564</v>
      </c>
      <c r="G182" s="14" t="s">
        <v>847</v>
      </c>
      <c r="H182" s="11" t="s">
        <v>827</v>
      </c>
      <c r="I182" s="235" t="s">
        <v>828</v>
      </c>
      <c r="J182" s="14" t="s">
        <v>848</v>
      </c>
      <c r="K182" s="148">
        <v>43304</v>
      </c>
      <c r="L182" s="15">
        <v>43792</v>
      </c>
      <c r="M182" s="5">
        <f t="shared" si="209"/>
        <v>84.227561665534452</v>
      </c>
      <c r="N182" s="82">
        <v>7</v>
      </c>
      <c r="O182" s="82" t="s">
        <v>830</v>
      </c>
      <c r="P182" s="82" t="s">
        <v>830</v>
      </c>
      <c r="Q182" s="82" t="s">
        <v>208</v>
      </c>
      <c r="R182" s="6" t="s">
        <v>36</v>
      </c>
      <c r="S182" s="57">
        <f>T182+U182</f>
        <v>486941.45</v>
      </c>
      <c r="T182" s="207">
        <v>486941.45</v>
      </c>
      <c r="U182" s="359">
        <v>0</v>
      </c>
      <c r="V182" s="57">
        <f t="shared" ref="V182:V210" si="221">W182+X182</f>
        <v>79622</v>
      </c>
      <c r="W182" s="385">
        <v>79622</v>
      </c>
      <c r="X182" s="359">
        <v>0</v>
      </c>
      <c r="Y182" s="57">
        <v>11562.57</v>
      </c>
      <c r="Z182" s="349">
        <v>11562.57</v>
      </c>
      <c r="AA182" s="359">
        <v>0</v>
      </c>
      <c r="AB182" s="55">
        <f t="shared" si="220"/>
        <v>0</v>
      </c>
      <c r="AC182" s="255">
        <v>0</v>
      </c>
      <c r="AD182" s="255">
        <v>0</v>
      </c>
      <c r="AE182" s="63">
        <f t="shared" si="210"/>
        <v>578126.0199999999</v>
      </c>
      <c r="AF182" s="66"/>
      <c r="AG182" s="55">
        <f t="shared" ref="AG182:AG246" si="222">AE182+AF182</f>
        <v>578126.0199999999</v>
      </c>
      <c r="AH182" s="60" t="s">
        <v>607</v>
      </c>
      <c r="AI182" s="61" t="s">
        <v>181</v>
      </c>
      <c r="AJ182" s="72">
        <f>55280.09+14628.07+12852.81+21538.21-3653.49+43635.51+45487.96</f>
        <v>189769.15999999997</v>
      </c>
      <c r="AK182" s="62">
        <f>2532.51+2255.31+2268.14+3800.86+3653.49+5711.67+8027.27</f>
        <v>28249.25</v>
      </c>
    </row>
    <row r="183" spans="1:37" ht="409.5" x14ac:dyDescent="0.25">
      <c r="A183" s="345" t="s">
        <v>1927</v>
      </c>
      <c r="B183" s="417">
        <v>126267</v>
      </c>
      <c r="C183" s="268">
        <v>540</v>
      </c>
      <c r="D183" s="418" t="s">
        <v>167</v>
      </c>
      <c r="E183" s="260" t="s">
        <v>988</v>
      </c>
      <c r="F183" s="235" t="s">
        <v>1153</v>
      </c>
      <c r="G183" s="14" t="s">
        <v>1327</v>
      </c>
      <c r="H183" s="11" t="s">
        <v>1328</v>
      </c>
      <c r="I183" s="235" t="s">
        <v>181</v>
      </c>
      <c r="J183" s="11" t="s">
        <v>1329</v>
      </c>
      <c r="K183" s="148">
        <v>43544</v>
      </c>
      <c r="L183" s="15">
        <v>44459</v>
      </c>
      <c r="M183" s="5">
        <f t="shared" si="209"/>
        <v>85.000000823943722</v>
      </c>
      <c r="N183" s="82">
        <v>7</v>
      </c>
      <c r="O183" s="82" t="s">
        <v>830</v>
      </c>
      <c r="P183" s="82" t="s">
        <v>830</v>
      </c>
      <c r="Q183" s="82" t="s">
        <v>208</v>
      </c>
      <c r="R183" s="6" t="s">
        <v>36</v>
      </c>
      <c r="S183" s="57">
        <f>T183+U183</f>
        <v>2630640.86</v>
      </c>
      <c r="T183" s="207">
        <v>2630640.86</v>
      </c>
      <c r="U183" s="359">
        <v>0</v>
      </c>
      <c r="V183" s="57">
        <f t="shared" si="221"/>
        <v>402333.28</v>
      </c>
      <c r="W183" s="349">
        <v>402333.28</v>
      </c>
      <c r="X183" s="359">
        <v>0</v>
      </c>
      <c r="Y183" s="57">
        <f>Z183+AA183</f>
        <v>61897.43</v>
      </c>
      <c r="Z183" s="349">
        <v>61897.43</v>
      </c>
      <c r="AA183" s="359">
        <v>0</v>
      </c>
      <c r="AB183" s="55">
        <f t="shared" si="220"/>
        <v>0</v>
      </c>
      <c r="AC183" s="255">
        <v>0</v>
      </c>
      <c r="AD183" s="255">
        <v>0</v>
      </c>
      <c r="AE183" s="63">
        <f t="shared" si="210"/>
        <v>3094871.57</v>
      </c>
      <c r="AF183" s="63">
        <v>7140</v>
      </c>
      <c r="AG183" s="55">
        <f t="shared" si="222"/>
        <v>3102011.57</v>
      </c>
      <c r="AH183" s="60" t="s">
        <v>607</v>
      </c>
      <c r="AI183" s="61" t="s">
        <v>181</v>
      </c>
      <c r="AJ183" s="119">
        <v>61528.97</v>
      </c>
      <c r="AK183" s="62">
        <v>9410.2800000000007</v>
      </c>
    </row>
    <row r="184" spans="1:37" ht="409.5" x14ac:dyDescent="0.25">
      <c r="A184" s="345" t="s">
        <v>1928</v>
      </c>
      <c r="B184" s="417">
        <v>126475</v>
      </c>
      <c r="C184" s="268">
        <v>563</v>
      </c>
      <c r="D184" s="418" t="s">
        <v>864</v>
      </c>
      <c r="E184" s="260" t="s">
        <v>988</v>
      </c>
      <c r="F184" s="235" t="s">
        <v>1153</v>
      </c>
      <c r="G184" s="14" t="s">
        <v>1331</v>
      </c>
      <c r="H184" s="11" t="s">
        <v>1330</v>
      </c>
      <c r="I184" s="235" t="s">
        <v>828</v>
      </c>
      <c r="J184" s="14" t="s">
        <v>1332</v>
      </c>
      <c r="K184" s="148">
        <v>43546</v>
      </c>
      <c r="L184" s="15">
        <v>44277</v>
      </c>
      <c r="M184" s="5">
        <f t="shared" si="209"/>
        <v>84.852694687750144</v>
      </c>
      <c r="N184" s="82">
        <v>7</v>
      </c>
      <c r="O184" s="82" t="s">
        <v>830</v>
      </c>
      <c r="P184" s="82" t="s">
        <v>830</v>
      </c>
      <c r="Q184" s="82" t="s">
        <v>208</v>
      </c>
      <c r="R184" s="6" t="s">
        <v>36</v>
      </c>
      <c r="S184" s="57">
        <f>T184+U184</f>
        <v>3141080.48</v>
      </c>
      <c r="T184" s="207">
        <v>3141080.48</v>
      </c>
      <c r="U184" s="359">
        <v>0</v>
      </c>
      <c r="V184" s="57">
        <f t="shared" si="221"/>
        <v>486687.45</v>
      </c>
      <c r="W184" s="385">
        <v>486687.45</v>
      </c>
      <c r="X184" s="359">
        <v>0</v>
      </c>
      <c r="Y184" s="57">
        <f>Z184+AA184</f>
        <v>67620.820000000007</v>
      </c>
      <c r="Z184" s="349">
        <v>67620.820000000007</v>
      </c>
      <c r="AA184" s="359">
        <v>0</v>
      </c>
      <c r="AB184" s="55">
        <f>AC184+AD184</f>
        <v>6415.29</v>
      </c>
      <c r="AC184" s="255">
        <v>6415.29</v>
      </c>
      <c r="AD184" s="255">
        <v>0</v>
      </c>
      <c r="AE184" s="63">
        <f t="shared" si="210"/>
        <v>3701804.04</v>
      </c>
      <c r="AF184" s="66">
        <v>0</v>
      </c>
      <c r="AG184" s="55">
        <f t="shared" si="222"/>
        <v>3701804.04</v>
      </c>
      <c r="AH184" s="60" t="s">
        <v>607</v>
      </c>
      <c r="AI184" s="61" t="s">
        <v>181</v>
      </c>
      <c r="AJ184" s="119">
        <v>32076</v>
      </c>
      <c r="AK184" s="62">
        <v>0</v>
      </c>
    </row>
    <row r="185" spans="1:37" ht="299.25" x14ac:dyDescent="0.25">
      <c r="A185" s="345" t="s">
        <v>1929</v>
      </c>
      <c r="B185" s="417">
        <v>129622</v>
      </c>
      <c r="C185" s="268">
        <v>660</v>
      </c>
      <c r="D185" s="418" t="s">
        <v>864</v>
      </c>
      <c r="E185" s="260" t="s">
        <v>988</v>
      </c>
      <c r="F185" s="235" t="s">
        <v>1427</v>
      </c>
      <c r="G185" s="14" t="s">
        <v>1565</v>
      </c>
      <c r="H185" s="11" t="s">
        <v>1566</v>
      </c>
      <c r="I185" s="235" t="s">
        <v>181</v>
      </c>
      <c r="J185" s="14" t="s">
        <v>1714</v>
      </c>
      <c r="K185" s="148">
        <v>43658</v>
      </c>
      <c r="L185" s="15">
        <v>44542</v>
      </c>
      <c r="M185" s="5">
        <f t="shared" si="209"/>
        <v>85.000000125030468</v>
      </c>
      <c r="N185" s="82">
        <v>7</v>
      </c>
      <c r="O185" s="82" t="s">
        <v>830</v>
      </c>
      <c r="P185" s="82" t="s">
        <v>1566</v>
      </c>
      <c r="Q185" s="82" t="s">
        <v>208</v>
      </c>
      <c r="R185" s="6" t="s">
        <v>36</v>
      </c>
      <c r="S185" s="57">
        <f>T185+U185</f>
        <v>3399171.34</v>
      </c>
      <c r="T185" s="207">
        <v>3399171.34</v>
      </c>
      <c r="U185" s="359">
        <v>0</v>
      </c>
      <c r="V185" s="57">
        <f>W185+X185</f>
        <v>519873.26</v>
      </c>
      <c r="W185" s="349">
        <v>519873.26</v>
      </c>
      <c r="X185" s="359">
        <v>0</v>
      </c>
      <c r="Y185" s="57">
        <f>Z185+AA185</f>
        <v>79980.5</v>
      </c>
      <c r="Z185" s="349">
        <v>79980.5</v>
      </c>
      <c r="AA185" s="359">
        <v>0</v>
      </c>
      <c r="AB185" s="55">
        <f>AC185+AD185</f>
        <v>0</v>
      </c>
      <c r="AC185" s="255">
        <v>0</v>
      </c>
      <c r="AD185" s="255">
        <v>0</v>
      </c>
      <c r="AE185" s="63">
        <f>S185+V185+Y185+AB185</f>
        <v>3999025.0999999996</v>
      </c>
      <c r="AF185" s="233">
        <v>0</v>
      </c>
      <c r="AG185" s="55">
        <f>AE185+AF185</f>
        <v>3999025.0999999996</v>
      </c>
      <c r="AH185" s="60" t="s">
        <v>607</v>
      </c>
      <c r="AI185" s="61" t="s">
        <v>181</v>
      </c>
      <c r="AJ185" s="119">
        <v>0</v>
      </c>
      <c r="AK185" s="62">
        <v>0</v>
      </c>
    </row>
    <row r="186" spans="1:37" ht="267.75" x14ac:dyDescent="0.25">
      <c r="A186" s="345" t="s">
        <v>1930</v>
      </c>
      <c r="B186" s="271">
        <v>117764</v>
      </c>
      <c r="C186" s="260">
        <v>416</v>
      </c>
      <c r="D186" s="235" t="s">
        <v>705</v>
      </c>
      <c r="E186" s="270" t="s">
        <v>725</v>
      </c>
      <c r="F186" s="253" t="s">
        <v>632</v>
      </c>
      <c r="G186" s="11" t="s">
        <v>938</v>
      </c>
      <c r="H186" s="2" t="s">
        <v>939</v>
      </c>
      <c r="I186" s="235" t="s">
        <v>181</v>
      </c>
      <c r="J186" s="283" t="s">
        <v>1719</v>
      </c>
      <c r="K186" s="148">
        <v>43326</v>
      </c>
      <c r="L186" s="15">
        <v>43813</v>
      </c>
      <c r="M186" s="5">
        <f t="shared" si="209"/>
        <v>85.000000298812211</v>
      </c>
      <c r="N186" s="2">
        <v>1</v>
      </c>
      <c r="O186" s="2" t="s">
        <v>513</v>
      </c>
      <c r="P186" s="2" t="s">
        <v>513</v>
      </c>
      <c r="Q186" s="2" t="s">
        <v>208</v>
      </c>
      <c r="R186" s="82" t="s">
        <v>36</v>
      </c>
      <c r="S186" s="57">
        <f t="shared" ref="S186:S187" si="223">T186+U186</f>
        <v>284459.59000000003</v>
      </c>
      <c r="T186" s="349">
        <v>284459.59000000003</v>
      </c>
      <c r="U186" s="359">
        <v>0</v>
      </c>
      <c r="V186" s="57">
        <f t="shared" si="221"/>
        <v>43505.58</v>
      </c>
      <c r="W186" s="349">
        <v>43505.58</v>
      </c>
      <c r="X186" s="359">
        <v>0</v>
      </c>
      <c r="Y186" s="62">
        <f>Z186+AA186</f>
        <v>6693.17</v>
      </c>
      <c r="Z186" s="349">
        <v>6693.17</v>
      </c>
      <c r="AA186" s="359">
        <v>0</v>
      </c>
      <c r="AB186" s="55">
        <f t="shared" si="220"/>
        <v>0</v>
      </c>
      <c r="AC186" s="350">
        <v>0</v>
      </c>
      <c r="AD186" s="350">
        <v>0</v>
      </c>
      <c r="AE186" s="63">
        <f t="shared" si="210"/>
        <v>334658.34000000003</v>
      </c>
      <c r="AF186" s="64">
        <v>0</v>
      </c>
      <c r="AG186" s="55">
        <f t="shared" si="222"/>
        <v>334658.34000000003</v>
      </c>
      <c r="AH186" s="60" t="s">
        <v>607</v>
      </c>
      <c r="AI186" s="64" t="s">
        <v>181</v>
      </c>
      <c r="AJ186" s="55">
        <f>33465.83-3352.6-821.73</f>
        <v>29291.500000000004</v>
      </c>
      <c r="AK186" s="55">
        <f>3352.6+821.73</f>
        <v>4174.33</v>
      </c>
    </row>
    <row r="187" spans="1:37" ht="141.75" x14ac:dyDescent="0.25">
      <c r="A187" s="345" t="s">
        <v>1931</v>
      </c>
      <c r="B187" s="271">
        <v>128093</v>
      </c>
      <c r="C187" s="260">
        <v>626</v>
      </c>
      <c r="D187" s="235" t="s">
        <v>164</v>
      </c>
      <c r="E187" s="270" t="s">
        <v>1206</v>
      </c>
      <c r="F187" s="253" t="s">
        <v>1427</v>
      </c>
      <c r="G187" s="11" t="s">
        <v>1587</v>
      </c>
      <c r="H187" s="2" t="s">
        <v>1588</v>
      </c>
      <c r="I187" s="235" t="s">
        <v>181</v>
      </c>
      <c r="J187" s="11" t="s">
        <v>1589</v>
      </c>
      <c r="K187" s="148">
        <v>43670</v>
      </c>
      <c r="L187" s="15">
        <v>44401</v>
      </c>
      <c r="M187" s="5">
        <f t="shared" si="209"/>
        <v>85.000000000000014</v>
      </c>
      <c r="N187" s="2">
        <v>1</v>
      </c>
      <c r="O187" s="2" t="s">
        <v>513</v>
      </c>
      <c r="P187" s="2" t="s">
        <v>513</v>
      </c>
      <c r="Q187" s="2" t="s">
        <v>208</v>
      </c>
      <c r="R187" s="82" t="s">
        <v>36</v>
      </c>
      <c r="S187" s="57">
        <f t="shared" si="223"/>
        <v>2360805.2999999998</v>
      </c>
      <c r="T187" s="349">
        <v>2360805.2999999998</v>
      </c>
      <c r="U187" s="359">
        <v>0</v>
      </c>
      <c r="V187" s="57">
        <f t="shared" si="221"/>
        <v>361064.38</v>
      </c>
      <c r="W187" s="349">
        <v>361064.38</v>
      </c>
      <c r="X187" s="359">
        <v>0</v>
      </c>
      <c r="Y187" s="62">
        <f>Z187+AA187</f>
        <v>55548.32</v>
      </c>
      <c r="Z187" s="349">
        <v>55548.32</v>
      </c>
      <c r="AA187" s="359">
        <v>0</v>
      </c>
      <c r="AB187" s="55">
        <f t="shared" si="220"/>
        <v>0</v>
      </c>
      <c r="AC187" s="359">
        <v>0</v>
      </c>
      <c r="AD187" s="359">
        <v>0</v>
      </c>
      <c r="AE187" s="63">
        <f t="shared" si="210"/>
        <v>2777417.9999999995</v>
      </c>
      <c r="AF187" s="64">
        <v>0</v>
      </c>
      <c r="AG187" s="55">
        <f t="shared" si="222"/>
        <v>2777417.9999999995</v>
      </c>
      <c r="AH187" s="60" t="s">
        <v>607</v>
      </c>
      <c r="AI187" s="64"/>
      <c r="AJ187" s="55">
        <v>0</v>
      </c>
      <c r="AK187" s="55">
        <v>0</v>
      </c>
    </row>
    <row r="188" spans="1:37" ht="173.25" x14ac:dyDescent="0.25">
      <c r="A188" s="345" t="s">
        <v>1932</v>
      </c>
      <c r="B188" s="271">
        <v>110909</v>
      </c>
      <c r="C188" s="268">
        <v>115</v>
      </c>
      <c r="D188" s="235" t="s">
        <v>164</v>
      </c>
      <c r="E188" s="270" t="s">
        <v>988</v>
      </c>
      <c r="F188" s="426" t="s">
        <v>354</v>
      </c>
      <c r="G188" s="82" t="s">
        <v>437</v>
      </c>
      <c r="H188" s="37" t="s">
        <v>436</v>
      </c>
      <c r="I188" s="260" t="s">
        <v>181</v>
      </c>
      <c r="J188" s="23" t="s">
        <v>438</v>
      </c>
      <c r="K188" s="148">
        <v>43214</v>
      </c>
      <c r="L188" s="15">
        <v>43762</v>
      </c>
      <c r="M188" s="5">
        <f t="shared" si="209"/>
        <v>85.000000000000014</v>
      </c>
      <c r="N188" s="6">
        <v>3</v>
      </c>
      <c r="O188" s="6" t="s">
        <v>439</v>
      </c>
      <c r="P188" s="6" t="s">
        <v>448</v>
      </c>
      <c r="Q188" s="10" t="s">
        <v>208</v>
      </c>
      <c r="R188" s="26" t="s">
        <v>36</v>
      </c>
      <c r="S188" s="57">
        <f t="shared" ref="S188:S190" si="224">T188+U188</f>
        <v>349633.9</v>
      </c>
      <c r="T188" s="374">
        <v>349633.9</v>
      </c>
      <c r="U188" s="359">
        <v>0</v>
      </c>
      <c r="V188" s="57">
        <f t="shared" si="221"/>
        <v>53473.42</v>
      </c>
      <c r="W188" s="374">
        <v>53473.42</v>
      </c>
      <c r="X188" s="359">
        <v>0</v>
      </c>
      <c r="Y188" s="57">
        <f t="shared" ref="Y188:Y190" si="225">Z188+AA188</f>
        <v>8226.68</v>
      </c>
      <c r="Z188" s="374">
        <v>8226.68</v>
      </c>
      <c r="AA188" s="359">
        <v>0</v>
      </c>
      <c r="AB188" s="55">
        <f t="shared" si="220"/>
        <v>0</v>
      </c>
      <c r="AC188" s="403">
        <v>0</v>
      </c>
      <c r="AD188" s="403">
        <v>0</v>
      </c>
      <c r="AE188" s="63">
        <f t="shared" si="210"/>
        <v>411334</v>
      </c>
      <c r="AF188" s="55">
        <v>0</v>
      </c>
      <c r="AG188" s="55">
        <f t="shared" si="222"/>
        <v>411334</v>
      </c>
      <c r="AH188" s="60" t="s">
        <v>607</v>
      </c>
      <c r="AI188" s="61" t="s">
        <v>1657</v>
      </c>
      <c r="AJ188" s="72">
        <f>41133.4+12089.93+41133.4-2141.81-1436.89+88842.19</f>
        <v>179620.22000000003</v>
      </c>
      <c r="AK188" s="62">
        <f>8140.04+2141.81+1436.89+15752.58</f>
        <v>27471.32</v>
      </c>
    </row>
    <row r="189" spans="1:37" ht="204.75" x14ac:dyDescent="0.25">
      <c r="A189" s="345" t="s">
        <v>1933</v>
      </c>
      <c r="B189" s="271">
        <v>126118</v>
      </c>
      <c r="C189" s="268">
        <v>530</v>
      </c>
      <c r="D189" s="235" t="s">
        <v>171</v>
      </c>
      <c r="E189" s="270" t="s">
        <v>1206</v>
      </c>
      <c r="F189" s="426" t="s">
        <v>1153</v>
      </c>
      <c r="G189" s="82" t="s">
        <v>1207</v>
      </c>
      <c r="H189" s="82" t="s">
        <v>1208</v>
      </c>
      <c r="I189" s="260" t="s">
        <v>444</v>
      </c>
      <c r="J189" s="23" t="s">
        <v>1209</v>
      </c>
      <c r="K189" s="148">
        <v>43447</v>
      </c>
      <c r="L189" s="15">
        <v>44116</v>
      </c>
      <c r="M189" s="5">
        <f t="shared" si="209"/>
        <v>85.000000836129914</v>
      </c>
      <c r="N189" s="48">
        <v>3</v>
      </c>
      <c r="O189" s="6" t="s">
        <v>439</v>
      </c>
      <c r="P189" s="6" t="s">
        <v>439</v>
      </c>
      <c r="Q189" s="10" t="s">
        <v>208</v>
      </c>
      <c r="R189" s="26" t="s">
        <v>36</v>
      </c>
      <c r="S189" s="57">
        <f t="shared" si="224"/>
        <v>813270.76</v>
      </c>
      <c r="T189" s="374">
        <v>813270.76</v>
      </c>
      <c r="U189" s="359">
        <v>0</v>
      </c>
      <c r="V189" s="57">
        <f t="shared" si="221"/>
        <v>124382.58</v>
      </c>
      <c r="W189" s="374">
        <v>124382.58</v>
      </c>
      <c r="X189" s="374">
        <v>0</v>
      </c>
      <c r="Y189" s="57">
        <f t="shared" si="225"/>
        <v>19135.78</v>
      </c>
      <c r="Z189" s="374">
        <v>19135.78</v>
      </c>
      <c r="AA189" s="374">
        <v>0</v>
      </c>
      <c r="AB189" s="55">
        <f t="shared" si="220"/>
        <v>0</v>
      </c>
      <c r="AC189" s="291">
        <v>0</v>
      </c>
      <c r="AD189" s="291">
        <v>0</v>
      </c>
      <c r="AE189" s="63">
        <f t="shared" si="210"/>
        <v>956789.12</v>
      </c>
      <c r="AF189" s="66"/>
      <c r="AG189" s="55">
        <f t="shared" si="222"/>
        <v>956789.12</v>
      </c>
      <c r="AH189" s="60" t="s">
        <v>892</v>
      </c>
      <c r="AI189" s="66"/>
      <c r="AJ189" s="72">
        <f>39091.35+13949.92</f>
        <v>53041.27</v>
      </c>
      <c r="AK189" s="72">
        <f>5978.68+2133.52</f>
        <v>8112.2000000000007</v>
      </c>
    </row>
    <row r="190" spans="1:37" ht="252" x14ac:dyDescent="0.25">
      <c r="A190" s="345" t="s">
        <v>1934</v>
      </c>
      <c r="B190" s="271">
        <v>129759</v>
      </c>
      <c r="C190" s="268">
        <v>675</v>
      </c>
      <c r="D190" s="235" t="s">
        <v>1093</v>
      </c>
      <c r="E190" s="270" t="s">
        <v>1206</v>
      </c>
      <c r="F190" s="426" t="s">
        <v>1427</v>
      </c>
      <c r="G190" s="210" t="s">
        <v>1469</v>
      </c>
      <c r="H190" s="82" t="s">
        <v>1485</v>
      </c>
      <c r="I190" s="260" t="s">
        <v>444</v>
      </c>
      <c r="J190" s="23" t="s">
        <v>1470</v>
      </c>
      <c r="K190" s="148">
        <v>43622</v>
      </c>
      <c r="L190" s="15">
        <v>44261</v>
      </c>
      <c r="M190" s="5">
        <f t="shared" si="209"/>
        <v>85.000000231937065</v>
      </c>
      <c r="N190" s="208">
        <v>3</v>
      </c>
      <c r="O190" s="6" t="s">
        <v>439</v>
      </c>
      <c r="P190" s="6" t="s">
        <v>439</v>
      </c>
      <c r="Q190" s="10" t="s">
        <v>208</v>
      </c>
      <c r="R190" s="26" t="s">
        <v>1176</v>
      </c>
      <c r="S190" s="241">
        <f t="shared" si="224"/>
        <v>3298308.61</v>
      </c>
      <c r="T190" s="375">
        <v>3298308.61</v>
      </c>
      <c r="U190" s="376">
        <v>0</v>
      </c>
      <c r="V190" s="241">
        <f t="shared" si="221"/>
        <v>504447.19</v>
      </c>
      <c r="W190" s="374">
        <v>504447.19</v>
      </c>
      <c r="X190" s="374">
        <v>0</v>
      </c>
      <c r="Y190" s="57">
        <f t="shared" si="225"/>
        <v>77607.259999999995</v>
      </c>
      <c r="Z190" s="374">
        <v>77607.259999999995</v>
      </c>
      <c r="AA190" s="374">
        <v>0</v>
      </c>
      <c r="AB190" s="55">
        <f t="shared" si="220"/>
        <v>0</v>
      </c>
      <c r="AC190" s="291">
        <v>0</v>
      </c>
      <c r="AD190" s="291">
        <v>0</v>
      </c>
      <c r="AE190" s="63">
        <f t="shared" si="210"/>
        <v>3880363.0599999996</v>
      </c>
      <c r="AF190" s="66"/>
      <c r="AG190" s="55">
        <f t="shared" si="222"/>
        <v>3880363.0599999996</v>
      </c>
      <c r="AH190" s="60" t="s">
        <v>892</v>
      </c>
      <c r="AI190" s="66"/>
      <c r="AJ190" s="72">
        <v>388036.3</v>
      </c>
      <c r="AK190" s="72">
        <v>0</v>
      </c>
    </row>
    <row r="191" spans="1:37" ht="189" x14ac:dyDescent="0.25">
      <c r="A191" s="345" t="s">
        <v>1935</v>
      </c>
      <c r="B191" s="271">
        <v>129754</v>
      </c>
      <c r="C191" s="268">
        <v>674</v>
      </c>
      <c r="D191" s="235" t="s">
        <v>170</v>
      </c>
      <c r="E191" s="270" t="s">
        <v>1206</v>
      </c>
      <c r="F191" s="426" t="s">
        <v>1427</v>
      </c>
      <c r="G191" s="210" t="s">
        <v>1483</v>
      </c>
      <c r="H191" s="82" t="s">
        <v>1208</v>
      </c>
      <c r="I191" s="260" t="s">
        <v>444</v>
      </c>
      <c r="J191" s="23" t="s">
        <v>1484</v>
      </c>
      <c r="K191" s="148">
        <v>43634</v>
      </c>
      <c r="L191" s="15">
        <v>44245</v>
      </c>
      <c r="M191" s="5">
        <f t="shared" si="209"/>
        <v>85.000000138264667</v>
      </c>
      <c r="N191" s="211">
        <v>3</v>
      </c>
      <c r="O191" s="6" t="s">
        <v>439</v>
      </c>
      <c r="P191" s="6" t="s">
        <v>439</v>
      </c>
      <c r="Q191" s="10" t="s">
        <v>208</v>
      </c>
      <c r="R191" s="26" t="s">
        <v>1176</v>
      </c>
      <c r="S191" s="57">
        <f t="shared" ref="S191" si="226">T191+U191</f>
        <v>2459052.1800000002</v>
      </c>
      <c r="T191" s="375">
        <v>2459052.1800000002</v>
      </c>
      <c r="U191" s="359">
        <v>0</v>
      </c>
      <c r="V191" s="57">
        <f t="shared" ref="V191" si="227">W191+X191</f>
        <v>376090.33</v>
      </c>
      <c r="W191" s="374">
        <v>376090.33</v>
      </c>
      <c r="X191" s="374">
        <v>0</v>
      </c>
      <c r="Y191" s="57">
        <f t="shared" ref="Y191" si="228">Z191+AA191</f>
        <v>57860.05</v>
      </c>
      <c r="Z191" s="374">
        <v>57860.05</v>
      </c>
      <c r="AA191" s="374">
        <v>0</v>
      </c>
      <c r="AB191" s="55">
        <f t="shared" ref="AB191" si="229">AC191+AD191</f>
        <v>0</v>
      </c>
      <c r="AC191" s="291">
        <v>0</v>
      </c>
      <c r="AD191" s="291">
        <v>0</v>
      </c>
      <c r="AE191" s="63">
        <f t="shared" ref="AE191" si="230">S191+V191+Y191+AB191</f>
        <v>2893002.56</v>
      </c>
      <c r="AF191" s="66">
        <v>0</v>
      </c>
      <c r="AG191" s="55">
        <f t="shared" ref="AG191" si="231">AE191+AF191</f>
        <v>2893002.56</v>
      </c>
      <c r="AH191" s="60" t="s">
        <v>892</v>
      </c>
      <c r="AI191" s="66"/>
      <c r="AJ191" s="72">
        <v>0</v>
      </c>
      <c r="AK191" s="72">
        <v>0</v>
      </c>
    </row>
    <row r="192" spans="1:37" ht="236.25" x14ac:dyDescent="0.25">
      <c r="A192" s="345" t="s">
        <v>1936</v>
      </c>
      <c r="B192" s="417">
        <v>119235</v>
      </c>
      <c r="C192" s="268">
        <v>479</v>
      </c>
      <c r="D192" s="418" t="s">
        <v>167</v>
      </c>
      <c r="E192" s="260" t="s">
        <v>1060</v>
      </c>
      <c r="F192" s="253" t="s">
        <v>564</v>
      </c>
      <c r="G192" s="11" t="s">
        <v>669</v>
      </c>
      <c r="H192" s="128" t="s">
        <v>670</v>
      </c>
      <c r="I192" s="235" t="s">
        <v>181</v>
      </c>
      <c r="J192" s="11" t="s">
        <v>671</v>
      </c>
      <c r="K192" s="147">
        <v>43276</v>
      </c>
      <c r="L192" s="15">
        <v>43702</v>
      </c>
      <c r="M192" s="5">
        <f t="shared" si="209"/>
        <v>84.999999139224727</v>
      </c>
      <c r="N192" s="82">
        <v>5</v>
      </c>
      <c r="O192" s="82" t="s">
        <v>672</v>
      </c>
      <c r="P192" s="82" t="s">
        <v>673</v>
      </c>
      <c r="Q192" s="82" t="s">
        <v>208</v>
      </c>
      <c r="R192" s="82" t="s">
        <v>568</v>
      </c>
      <c r="S192" s="57">
        <f>T192+U192</f>
        <v>246870.47</v>
      </c>
      <c r="T192" s="349">
        <v>246870.47</v>
      </c>
      <c r="U192" s="359">
        <v>0</v>
      </c>
      <c r="V192" s="57">
        <f>W192+X192</f>
        <v>37756.660000000003</v>
      </c>
      <c r="W192" s="349">
        <v>37756.660000000003</v>
      </c>
      <c r="X192" s="359">
        <v>0</v>
      </c>
      <c r="Y192" s="57">
        <f>Z192+AA192</f>
        <v>5808.72</v>
      </c>
      <c r="Z192" s="349">
        <v>5808.72</v>
      </c>
      <c r="AA192" s="359">
        <v>0</v>
      </c>
      <c r="AB192" s="55">
        <f>AC192+AD192</f>
        <v>0</v>
      </c>
      <c r="AC192" s="404">
        <v>0</v>
      </c>
      <c r="AD192" s="404">
        <v>0</v>
      </c>
      <c r="AE192" s="63">
        <f>S192+V192+Y192+AB192</f>
        <v>290435.84999999998</v>
      </c>
      <c r="AF192" s="66"/>
      <c r="AG192" s="55">
        <f t="shared" si="222"/>
        <v>290435.84999999998</v>
      </c>
      <c r="AH192" s="60" t="s">
        <v>1534</v>
      </c>
      <c r="AI192" s="116" t="s">
        <v>372</v>
      </c>
      <c r="AJ192" s="72">
        <f>28682+46411.17+11794.6+68801.64</f>
        <v>155689.41</v>
      </c>
      <c r="AK192" s="62">
        <f>11484.84+1803.88+10522.6</f>
        <v>23811.32</v>
      </c>
    </row>
    <row r="193" spans="1:37" ht="141.75" x14ac:dyDescent="0.25">
      <c r="A193" s="345" t="s">
        <v>1937</v>
      </c>
      <c r="B193" s="417">
        <v>119160</v>
      </c>
      <c r="C193" s="268">
        <v>482</v>
      </c>
      <c r="D193" s="418" t="s">
        <v>864</v>
      </c>
      <c r="E193" s="260" t="s">
        <v>1060</v>
      </c>
      <c r="F193" s="253" t="s">
        <v>564</v>
      </c>
      <c r="G193" s="14" t="s">
        <v>839</v>
      </c>
      <c r="H193" s="14" t="s">
        <v>840</v>
      </c>
      <c r="I193" s="235" t="s">
        <v>181</v>
      </c>
      <c r="J193" s="14" t="s">
        <v>841</v>
      </c>
      <c r="K193" s="147">
        <v>43304</v>
      </c>
      <c r="L193" s="15">
        <v>43792</v>
      </c>
      <c r="M193" s="5">
        <f t="shared" si="209"/>
        <v>84.99999840000666</v>
      </c>
      <c r="N193" s="82">
        <v>5</v>
      </c>
      <c r="O193" s="82" t="s">
        <v>672</v>
      </c>
      <c r="P193" s="82" t="s">
        <v>842</v>
      </c>
      <c r="Q193" s="82" t="s">
        <v>208</v>
      </c>
      <c r="R193" s="6" t="s">
        <v>36</v>
      </c>
      <c r="S193" s="57">
        <f>T193+U193</f>
        <v>212500.88</v>
      </c>
      <c r="T193" s="349">
        <v>212500.88</v>
      </c>
      <c r="U193" s="359">
        <v>0</v>
      </c>
      <c r="V193" s="57">
        <f>W193+X193</f>
        <v>32500.1</v>
      </c>
      <c r="W193" s="385">
        <v>32500.1</v>
      </c>
      <c r="X193" s="359">
        <v>0</v>
      </c>
      <c r="Y193" s="57">
        <f>Z193+AA193</f>
        <v>5000.0600000000004</v>
      </c>
      <c r="Z193" s="349">
        <v>5000.0600000000004</v>
      </c>
      <c r="AA193" s="359">
        <v>0</v>
      </c>
      <c r="AB193" s="55">
        <f>AC193+AD193</f>
        <v>0</v>
      </c>
      <c r="AC193" s="255">
        <v>0</v>
      </c>
      <c r="AD193" s="255"/>
      <c r="AE193" s="63">
        <f>S193+V193+Y193+AB193</f>
        <v>250001.04</v>
      </c>
      <c r="AF193" s="66"/>
      <c r="AG193" s="55">
        <f t="shared" si="222"/>
        <v>250001.04</v>
      </c>
      <c r="AH193" s="60" t="s">
        <v>607</v>
      </c>
      <c r="AI193" s="116"/>
      <c r="AJ193" s="72">
        <f>30115.11+28830.06</f>
        <v>58945.17</v>
      </c>
      <c r="AK193" s="62">
        <f>4605.84+4409.31</f>
        <v>9015.1500000000015</v>
      </c>
    </row>
    <row r="194" spans="1:37" ht="189" x14ac:dyDescent="0.25">
      <c r="A194" s="345" t="s">
        <v>1938</v>
      </c>
      <c r="B194" s="271">
        <v>117063</v>
      </c>
      <c r="C194" s="260">
        <v>411</v>
      </c>
      <c r="D194" s="235" t="s">
        <v>705</v>
      </c>
      <c r="E194" s="270" t="s">
        <v>725</v>
      </c>
      <c r="F194" s="235" t="s">
        <v>632</v>
      </c>
      <c r="G194" s="14" t="s">
        <v>897</v>
      </c>
      <c r="H194" s="26" t="s">
        <v>840</v>
      </c>
      <c r="I194" s="418" t="s">
        <v>181</v>
      </c>
      <c r="J194" s="14" t="s">
        <v>898</v>
      </c>
      <c r="K194" s="147">
        <v>43313</v>
      </c>
      <c r="L194" s="15">
        <v>43799</v>
      </c>
      <c r="M194" s="5">
        <f t="shared" si="209"/>
        <v>85</v>
      </c>
      <c r="N194" s="26">
        <v>5</v>
      </c>
      <c r="O194" s="26" t="s">
        <v>672</v>
      </c>
      <c r="P194" s="26" t="s">
        <v>842</v>
      </c>
      <c r="Q194" s="26" t="s">
        <v>208</v>
      </c>
      <c r="R194" s="2" t="s">
        <v>568</v>
      </c>
      <c r="S194" s="57">
        <f t="shared" ref="S194:S195" si="232">T194+U194</f>
        <v>213015.1</v>
      </c>
      <c r="T194" s="356">
        <v>213015.1</v>
      </c>
      <c r="U194" s="356">
        <v>0</v>
      </c>
      <c r="V194" s="57">
        <f t="shared" si="221"/>
        <v>32578.78</v>
      </c>
      <c r="W194" s="356">
        <v>32578.78</v>
      </c>
      <c r="X194" s="359">
        <v>0</v>
      </c>
      <c r="Y194" s="57">
        <f t="shared" ref="Y194:Y195" si="233">Z194+AA194</f>
        <v>5012.12</v>
      </c>
      <c r="Z194" s="358">
        <v>5012.12</v>
      </c>
      <c r="AA194" s="358">
        <v>0</v>
      </c>
      <c r="AB194" s="55">
        <f t="shared" si="220"/>
        <v>0</v>
      </c>
      <c r="AC194" s="234">
        <v>0</v>
      </c>
      <c r="AD194" s="234">
        <v>0</v>
      </c>
      <c r="AE194" s="63">
        <f t="shared" si="210"/>
        <v>250606</v>
      </c>
      <c r="AF194" s="66"/>
      <c r="AG194" s="55">
        <f t="shared" si="222"/>
        <v>250606</v>
      </c>
      <c r="AH194" s="60" t="s">
        <v>607</v>
      </c>
      <c r="AI194" s="66" t="s">
        <v>1550</v>
      </c>
      <c r="AJ194" s="119">
        <v>38751.5</v>
      </c>
      <c r="AK194" s="119">
        <v>5926.7</v>
      </c>
    </row>
    <row r="195" spans="1:37" ht="267.75" x14ac:dyDescent="0.3">
      <c r="A195" s="345" t="s">
        <v>1939</v>
      </c>
      <c r="B195" s="271">
        <v>126522</v>
      </c>
      <c r="C195" s="260">
        <v>554</v>
      </c>
      <c r="D195" s="235" t="s">
        <v>864</v>
      </c>
      <c r="E195" s="270" t="s">
        <v>1206</v>
      </c>
      <c r="F195" s="426" t="s">
        <v>1153</v>
      </c>
      <c r="G195" s="135" t="s">
        <v>1359</v>
      </c>
      <c r="H195" s="26" t="s">
        <v>1360</v>
      </c>
      <c r="I195" s="418" t="s">
        <v>181</v>
      </c>
      <c r="J195" s="14" t="s">
        <v>1361</v>
      </c>
      <c r="K195" s="147">
        <v>43556</v>
      </c>
      <c r="L195" s="15">
        <v>44440</v>
      </c>
      <c r="M195" s="5">
        <f t="shared" si="209"/>
        <v>85.0000001266326</v>
      </c>
      <c r="N195" s="26">
        <v>5</v>
      </c>
      <c r="O195" s="26" t="s">
        <v>672</v>
      </c>
      <c r="P195" s="26" t="s">
        <v>673</v>
      </c>
      <c r="Q195" s="26" t="s">
        <v>208</v>
      </c>
      <c r="R195" s="2" t="s">
        <v>568</v>
      </c>
      <c r="S195" s="57">
        <f t="shared" si="232"/>
        <v>3356165.93</v>
      </c>
      <c r="T195" s="356">
        <v>3356165.93</v>
      </c>
      <c r="U195" s="356">
        <v>0</v>
      </c>
      <c r="V195" s="57">
        <f t="shared" si="221"/>
        <v>513295.96</v>
      </c>
      <c r="W195" s="356">
        <v>513295.96</v>
      </c>
      <c r="X195" s="359">
        <v>0</v>
      </c>
      <c r="Y195" s="57">
        <f t="shared" si="233"/>
        <v>78968.61</v>
      </c>
      <c r="Z195" s="358">
        <v>78968.61</v>
      </c>
      <c r="AA195" s="358">
        <v>0</v>
      </c>
      <c r="AB195" s="55">
        <v>0</v>
      </c>
      <c r="AC195" s="234">
        <v>0</v>
      </c>
      <c r="AD195" s="234">
        <v>0</v>
      </c>
      <c r="AE195" s="63">
        <f t="shared" si="210"/>
        <v>3948430.5</v>
      </c>
      <c r="AF195" s="66"/>
      <c r="AG195" s="55">
        <f t="shared" si="222"/>
        <v>3948430.5</v>
      </c>
      <c r="AH195" s="60" t="s">
        <v>607</v>
      </c>
      <c r="AI195" s="66"/>
      <c r="AJ195" s="119">
        <v>0</v>
      </c>
      <c r="AK195" s="119">
        <v>0</v>
      </c>
    </row>
    <row r="196" spans="1:37" ht="204.75" x14ac:dyDescent="0.25">
      <c r="A196" s="345" t="s">
        <v>1940</v>
      </c>
      <c r="B196" s="271">
        <v>119289</v>
      </c>
      <c r="C196" s="260">
        <v>484</v>
      </c>
      <c r="D196" s="235" t="s">
        <v>705</v>
      </c>
      <c r="E196" s="260" t="s">
        <v>1060</v>
      </c>
      <c r="F196" s="235" t="s">
        <v>564</v>
      </c>
      <c r="G196" s="11" t="s">
        <v>646</v>
      </c>
      <c r="H196" s="11" t="s">
        <v>647</v>
      </c>
      <c r="I196" s="235" t="s">
        <v>372</v>
      </c>
      <c r="J196" s="3" t="s">
        <v>648</v>
      </c>
      <c r="K196" s="148">
        <v>43271</v>
      </c>
      <c r="L196" s="15">
        <v>43758</v>
      </c>
      <c r="M196" s="5">
        <f t="shared" si="209"/>
        <v>85.000003319296809</v>
      </c>
      <c r="N196" s="48">
        <v>3</v>
      </c>
      <c r="O196" s="6" t="s">
        <v>454</v>
      </c>
      <c r="P196" s="6" t="s">
        <v>606</v>
      </c>
      <c r="Q196" s="6" t="s">
        <v>208</v>
      </c>
      <c r="R196" s="2" t="s">
        <v>568</v>
      </c>
      <c r="S196" s="57">
        <f>T196+U196</f>
        <v>332901.85000000009</v>
      </c>
      <c r="T196" s="255">
        <v>332901.85000000009</v>
      </c>
      <c r="U196" s="255">
        <v>0</v>
      </c>
      <c r="V196" s="57">
        <f>W196+X196</f>
        <v>50914.380000000005</v>
      </c>
      <c r="W196" s="255">
        <v>50914.380000000005</v>
      </c>
      <c r="X196" s="255">
        <v>0</v>
      </c>
      <c r="Y196" s="57">
        <f>Z196+AA196</f>
        <v>7832.9900000000016</v>
      </c>
      <c r="Z196" s="349">
        <v>7832.9900000000016</v>
      </c>
      <c r="AA196" s="349">
        <v>0</v>
      </c>
      <c r="AB196" s="55">
        <f>AC196+AD196</f>
        <v>0</v>
      </c>
      <c r="AC196" s="350">
        <v>0</v>
      </c>
      <c r="AD196" s="350">
        <v>0</v>
      </c>
      <c r="AE196" s="63">
        <f>S196+V196+Y196+AB196</f>
        <v>391649.22000000009</v>
      </c>
      <c r="AF196" s="94">
        <v>0</v>
      </c>
      <c r="AG196" s="55">
        <f>AE196+AF196</f>
        <v>391649.22000000009</v>
      </c>
      <c r="AH196" s="60" t="s">
        <v>607</v>
      </c>
      <c r="AI196" s="66"/>
      <c r="AJ196" s="119">
        <f>38381.62-1141.39+34311.47</f>
        <v>71551.700000000012</v>
      </c>
      <c r="AK196" s="62">
        <f>5695.57+5247.64</f>
        <v>10943.21</v>
      </c>
    </row>
    <row r="197" spans="1:37" ht="409.5" x14ac:dyDescent="0.25">
      <c r="A197" s="345" t="s">
        <v>1941</v>
      </c>
      <c r="B197" s="417">
        <v>118717</v>
      </c>
      <c r="C197" s="268">
        <v>435</v>
      </c>
      <c r="D197" s="418" t="s">
        <v>705</v>
      </c>
      <c r="E197" s="270" t="s">
        <v>725</v>
      </c>
      <c r="F197" s="419" t="s">
        <v>632</v>
      </c>
      <c r="G197" s="11" t="s">
        <v>981</v>
      </c>
      <c r="H197" s="2" t="s">
        <v>647</v>
      </c>
      <c r="I197" s="235" t="s">
        <v>372</v>
      </c>
      <c r="J197" s="23" t="s">
        <v>982</v>
      </c>
      <c r="K197" s="148">
        <v>43333</v>
      </c>
      <c r="L197" s="15">
        <v>43790</v>
      </c>
      <c r="M197" s="5">
        <f t="shared" si="209"/>
        <v>84.999995136543049</v>
      </c>
      <c r="N197" s="26">
        <v>3</v>
      </c>
      <c r="O197" s="6" t="s">
        <v>454</v>
      </c>
      <c r="P197" s="6" t="s">
        <v>606</v>
      </c>
      <c r="Q197" s="6" t="s">
        <v>208</v>
      </c>
      <c r="R197" s="2" t="s">
        <v>568</v>
      </c>
      <c r="S197" s="57">
        <f t="shared" ref="S197:S198" si="234">T197+U197</f>
        <v>227204.63</v>
      </c>
      <c r="T197" s="356">
        <v>227204.63</v>
      </c>
      <c r="U197" s="255">
        <v>0</v>
      </c>
      <c r="V197" s="57">
        <f t="shared" si="221"/>
        <v>34748.959999999999</v>
      </c>
      <c r="W197" s="356">
        <v>34748.959999999999</v>
      </c>
      <c r="X197" s="359">
        <v>0</v>
      </c>
      <c r="Y197" s="57">
        <f t="shared" ref="Y197:Y198" si="235">Z197+AA197</f>
        <v>5345.99</v>
      </c>
      <c r="Z197" s="358">
        <v>5345.99</v>
      </c>
      <c r="AA197" s="358">
        <v>0</v>
      </c>
      <c r="AB197" s="55">
        <f t="shared" si="220"/>
        <v>0</v>
      </c>
      <c r="AC197" s="356"/>
      <c r="AD197" s="356"/>
      <c r="AE197" s="63">
        <f t="shared" si="210"/>
        <v>267299.58</v>
      </c>
      <c r="AF197" s="66">
        <v>37391</v>
      </c>
      <c r="AG197" s="55">
        <f t="shared" si="222"/>
        <v>304690.58</v>
      </c>
      <c r="AH197" s="60" t="s">
        <v>607</v>
      </c>
      <c r="AI197" s="60" t="s">
        <v>1210</v>
      </c>
      <c r="AJ197" s="119">
        <f>26729+12123.33+40308.88+73105.03</f>
        <v>152266.23999999999</v>
      </c>
      <c r="AK197" s="119">
        <f>5942.12+6164.89+11180.78</f>
        <v>23287.79</v>
      </c>
    </row>
    <row r="198" spans="1:37" ht="409.5" x14ac:dyDescent="0.25">
      <c r="A198" s="345" t="s">
        <v>1942</v>
      </c>
      <c r="B198" s="417">
        <v>129688</v>
      </c>
      <c r="C198" s="268">
        <v>686</v>
      </c>
      <c r="D198" s="418" t="s">
        <v>864</v>
      </c>
      <c r="E198" s="270" t="s">
        <v>988</v>
      </c>
      <c r="F198" s="418" t="s">
        <v>1427</v>
      </c>
      <c r="G198" s="11" t="s">
        <v>1442</v>
      </c>
      <c r="H198" s="2" t="s">
        <v>1443</v>
      </c>
      <c r="I198" s="235" t="s">
        <v>372</v>
      </c>
      <c r="J198" s="23" t="s">
        <v>1444</v>
      </c>
      <c r="K198" s="148">
        <v>43614</v>
      </c>
      <c r="L198" s="15">
        <v>44345</v>
      </c>
      <c r="M198" s="5">
        <f t="shared" si="209"/>
        <v>84.999999952929599</v>
      </c>
      <c r="N198" s="26">
        <v>3</v>
      </c>
      <c r="O198" s="6" t="s">
        <v>454</v>
      </c>
      <c r="P198" s="6" t="s">
        <v>606</v>
      </c>
      <c r="Q198" s="6" t="s">
        <v>208</v>
      </c>
      <c r="R198" s="2" t="s">
        <v>568</v>
      </c>
      <c r="S198" s="57">
        <f t="shared" si="234"/>
        <v>2708708.76</v>
      </c>
      <c r="T198" s="356">
        <v>2708708.76</v>
      </c>
      <c r="U198" s="255">
        <v>0</v>
      </c>
      <c r="V198" s="57">
        <f t="shared" si="221"/>
        <v>414273.1</v>
      </c>
      <c r="W198" s="356">
        <v>414273.1</v>
      </c>
      <c r="X198" s="359">
        <v>0</v>
      </c>
      <c r="Y198" s="57">
        <f t="shared" si="235"/>
        <v>63734.33</v>
      </c>
      <c r="Z198" s="358">
        <v>63734.33</v>
      </c>
      <c r="AA198" s="358">
        <v>0</v>
      </c>
      <c r="AB198" s="55">
        <f t="shared" si="220"/>
        <v>0</v>
      </c>
      <c r="AC198" s="358">
        <v>0</v>
      </c>
      <c r="AD198" s="358">
        <v>0</v>
      </c>
      <c r="AE198" s="63">
        <f t="shared" si="210"/>
        <v>3186716.19</v>
      </c>
      <c r="AF198" s="66">
        <v>0</v>
      </c>
      <c r="AG198" s="55">
        <f t="shared" si="222"/>
        <v>3186716.19</v>
      </c>
      <c r="AH198" s="60" t="s">
        <v>607</v>
      </c>
      <c r="AI198" s="66"/>
      <c r="AJ198" s="62">
        <v>0</v>
      </c>
      <c r="AK198" s="62">
        <v>0</v>
      </c>
    </row>
    <row r="199" spans="1:37" ht="283.5" x14ac:dyDescent="0.25">
      <c r="A199" s="345" t="s">
        <v>1943</v>
      </c>
      <c r="B199" s="271">
        <v>119720</v>
      </c>
      <c r="C199" s="260">
        <v>481</v>
      </c>
      <c r="D199" s="235" t="s">
        <v>705</v>
      </c>
      <c r="E199" s="260" t="s">
        <v>1060</v>
      </c>
      <c r="F199" s="235" t="s">
        <v>564</v>
      </c>
      <c r="G199" s="11" t="s">
        <v>608</v>
      </c>
      <c r="H199" s="11" t="s">
        <v>609</v>
      </c>
      <c r="I199" s="235" t="s">
        <v>372</v>
      </c>
      <c r="J199" s="3" t="s">
        <v>611</v>
      </c>
      <c r="K199" s="148">
        <v>43264</v>
      </c>
      <c r="L199" s="15">
        <v>43903</v>
      </c>
      <c r="M199" s="5">
        <f t="shared" si="209"/>
        <v>85.00000159999999</v>
      </c>
      <c r="N199" s="48">
        <v>3</v>
      </c>
      <c r="O199" s="6" t="s">
        <v>455</v>
      </c>
      <c r="P199" s="6" t="s">
        <v>610</v>
      </c>
      <c r="Q199" s="6" t="s">
        <v>208</v>
      </c>
      <c r="R199" s="2" t="s">
        <v>568</v>
      </c>
      <c r="S199" s="57">
        <f>T199+U199</f>
        <v>531250.01</v>
      </c>
      <c r="T199" s="255">
        <v>531250.01</v>
      </c>
      <c r="U199" s="255">
        <v>0</v>
      </c>
      <c r="V199" s="57">
        <f>W199+X199</f>
        <v>81249.989999999991</v>
      </c>
      <c r="W199" s="255">
        <v>81249.989999999991</v>
      </c>
      <c r="X199" s="255">
        <v>0</v>
      </c>
      <c r="Y199" s="57">
        <f>Z199+AA199</f>
        <v>12500</v>
      </c>
      <c r="Z199" s="349">
        <v>12500</v>
      </c>
      <c r="AA199" s="349">
        <v>0</v>
      </c>
      <c r="AB199" s="55">
        <f>AC199+AD199</f>
        <v>0</v>
      </c>
      <c r="AC199" s="350">
        <v>0</v>
      </c>
      <c r="AD199" s="350">
        <v>0</v>
      </c>
      <c r="AE199" s="63">
        <f>S199+V199+Y199+AB199</f>
        <v>625000</v>
      </c>
      <c r="AF199" s="94">
        <v>19813.5</v>
      </c>
      <c r="AG199" s="55">
        <f>AE199+AF199</f>
        <v>644813.5</v>
      </c>
      <c r="AH199" s="60" t="s">
        <v>607</v>
      </c>
      <c r="AI199" s="66" t="s">
        <v>1385</v>
      </c>
      <c r="AJ199" s="119">
        <f>37222.35+21641</f>
        <v>58863.35</v>
      </c>
      <c r="AK199" s="62">
        <f>5692.83+3309.8</f>
        <v>9002.630000000001</v>
      </c>
    </row>
    <row r="200" spans="1:37" s="129" customFormat="1" ht="299.25" x14ac:dyDescent="0.25">
      <c r="A200" s="345" t="s">
        <v>1944</v>
      </c>
      <c r="B200" s="420">
        <v>118770</v>
      </c>
      <c r="C200" s="260">
        <v>440</v>
      </c>
      <c r="D200" s="260" t="s">
        <v>171</v>
      </c>
      <c r="E200" s="270" t="s">
        <v>725</v>
      </c>
      <c r="F200" s="270" t="s">
        <v>632</v>
      </c>
      <c r="G200" s="14" t="s">
        <v>915</v>
      </c>
      <c r="H200" s="26" t="s">
        <v>916</v>
      </c>
      <c r="I200" s="260" t="s">
        <v>181</v>
      </c>
      <c r="J200" s="14" t="s">
        <v>918</v>
      </c>
      <c r="K200" s="147">
        <v>43318</v>
      </c>
      <c r="L200" s="15">
        <v>43683</v>
      </c>
      <c r="M200" s="5">
        <f t="shared" si="209"/>
        <v>85</v>
      </c>
      <c r="N200" s="26">
        <v>3</v>
      </c>
      <c r="O200" s="8" t="s">
        <v>455</v>
      </c>
      <c r="P200" s="26" t="s">
        <v>917</v>
      </c>
      <c r="Q200" s="26" t="s">
        <v>208</v>
      </c>
      <c r="R200" s="26" t="s">
        <v>568</v>
      </c>
      <c r="S200" s="57">
        <f t="shared" ref="S200:S202" si="236">T200+U200</f>
        <v>254981.3</v>
      </c>
      <c r="T200" s="207">
        <v>254981.3</v>
      </c>
      <c r="U200" s="351">
        <v>0</v>
      </c>
      <c r="V200" s="57">
        <f t="shared" si="221"/>
        <v>38997.14</v>
      </c>
      <c r="W200" s="207">
        <v>38997.14</v>
      </c>
      <c r="X200" s="351">
        <v>0</v>
      </c>
      <c r="Y200" s="57">
        <f t="shared" ref="Y200:Y202" si="237">Z200+AA200</f>
        <v>5999.56</v>
      </c>
      <c r="Z200" s="207">
        <v>5999.56</v>
      </c>
      <c r="AA200" s="207">
        <v>0</v>
      </c>
      <c r="AB200" s="58">
        <f t="shared" si="220"/>
        <v>0</v>
      </c>
      <c r="AC200" s="351">
        <v>0</v>
      </c>
      <c r="AD200" s="351">
        <v>0</v>
      </c>
      <c r="AE200" s="59">
        <f t="shared" si="210"/>
        <v>299978</v>
      </c>
      <c r="AF200" s="60">
        <v>0</v>
      </c>
      <c r="AG200" s="58">
        <f t="shared" si="222"/>
        <v>299978</v>
      </c>
      <c r="AH200" s="60" t="s">
        <v>1534</v>
      </c>
      <c r="AI200" s="60" t="s">
        <v>1300</v>
      </c>
      <c r="AJ200" s="119">
        <f>29900+23800.54+29900+16017.04+29900</f>
        <v>129517.58000000002</v>
      </c>
      <c r="AK200" s="119">
        <f>8213.02+7022.61</f>
        <v>15235.630000000001</v>
      </c>
    </row>
    <row r="201" spans="1:37" s="129" customFormat="1" ht="346.5" x14ac:dyDescent="0.25">
      <c r="A201" s="345" t="s">
        <v>1945</v>
      </c>
      <c r="B201" s="420">
        <v>126498</v>
      </c>
      <c r="C201" s="260">
        <v>572</v>
      </c>
      <c r="D201" s="260" t="s">
        <v>864</v>
      </c>
      <c r="E201" s="270" t="s">
        <v>988</v>
      </c>
      <c r="F201" s="270" t="s">
        <v>1153</v>
      </c>
      <c r="G201" s="14" t="s">
        <v>1343</v>
      </c>
      <c r="H201" s="26" t="s">
        <v>916</v>
      </c>
      <c r="I201" s="260" t="s">
        <v>181</v>
      </c>
      <c r="J201" s="14" t="s">
        <v>1344</v>
      </c>
      <c r="K201" s="15">
        <v>43552</v>
      </c>
      <c r="L201" s="15">
        <v>44467</v>
      </c>
      <c r="M201" s="5">
        <f t="shared" si="209"/>
        <v>85.000000127055301</v>
      </c>
      <c r="N201" s="26">
        <v>3</v>
      </c>
      <c r="O201" s="26" t="s">
        <v>455</v>
      </c>
      <c r="P201" s="26" t="s">
        <v>917</v>
      </c>
      <c r="Q201" s="26" t="s">
        <v>208</v>
      </c>
      <c r="R201" s="26" t="s">
        <v>568</v>
      </c>
      <c r="S201" s="57">
        <f t="shared" ref="S201" si="238">T201+U201</f>
        <v>3345000.16</v>
      </c>
      <c r="T201" s="207">
        <v>3345000.16</v>
      </c>
      <c r="U201" s="351">
        <v>0</v>
      </c>
      <c r="V201" s="57">
        <f t="shared" ref="V201" si="239">W201+X201</f>
        <v>516462.97</v>
      </c>
      <c r="W201" s="207">
        <v>516462.97</v>
      </c>
      <c r="X201" s="351">
        <v>0</v>
      </c>
      <c r="Y201" s="57">
        <f t="shared" ref="Y201" si="240">Z201+AA201</f>
        <v>73831.17</v>
      </c>
      <c r="Z201" s="207">
        <v>73831.17</v>
      </c>
      <c r="AA201" s="207">
        <v>0</v>
      </c>
      <c r="AB201" s="58">
        <f t="shared" ref="AB201" si="241">AC201+AD201</f>
        <v>0</v>
      </c>
      <c r="AC201" s="351">
        <v>0</v>
      </c>
      <c r="AD201" s="351">
        <v>0</v>
      </c>
      <c r="AE201" s="58">
        <f t="shared" ref="AE201" si="242">S201+V201+Y201+AB201</f>
        <v>3935294.3</v>
      </c>
      <c r="AF201" s="60">
        <v>4974.2</v>
      </c>
      <c r="AG201" s="58">
        <f t="shared" ref="AG201" si="243">AE201+AF201</f>
        <v>3940268.5</v>
      </c>
      <c r="AH201" s="60" t="s">
        <v>607</v>
      </c>
      <c r="AI201" s="60" t="s">
        <v>1300</v>
      </c>
      <c r="AJ201" s="119">
        <v>0</v>
      </c>
      <c r="AK201" s="119">
        <v>0</v>
      </c>
    </row>
    <row r="202" spans="1:37" ht="267.75" x14ac:dyDescent="0.25">
      <c r="A202" s="345" t="s">
        <v>1946</v>
      </c>
      <c r="B202" s="420">
        <v>126289</v>
      </c>
      <c r="C202" s="260">
        <v>492</v>
      </c>
      <c r="D202" s="260" t="s">
        <v>171</v>
      </c>
      <c r="E202" s="270" t="s">
        <v>988</v>
      </c>
      <c r="F202" s="270" t="s">
        <v>1153</v>
      </c>
      <c r="G202" s="14" t="s">
        <v>1371</v>
      </c>
      <c r="H202" s="26" t="s">
        <v>1372</v>
      </c>
      <c r="I202" s="260" t="s">
        <v>444</v>
      </c>
      <c r="J202" s="14" t="s">
        <v>1373</v>
      </c>
      <c r="K202" s="148">
        <v>43563</v>
      </c>
      <c r="L202" s="15">
        <v>44476</v>
      </c>
      <c r="M202" s="5">
        <f t="shared" si="209"/>
        <v>85.000000203645214</v>
      </c>
      <c r="N202" s="48">
        <v>3</v>
      </c>
      <c r="O202" s="26" t="s">
        <v>455</v>
      </c>
      <c r="P202" s="26" t="s">
        <v>610</v>
      </c>
      <c r="Q202" s="26" t="s">
        <v>208</v>
      </c>
      <c r="R202" s="26" t="s">
        <v>1374</v>
      </c>
      <c r="S202" s="57">
        <f t="shared" si="236"/>
        <v>2504355.21</v>
      </c>
      <c r="T202" s="234">
        <v>2504355.21</v>
      </c>
      <c r="U202" s="234">
        <v>0</v>
      </c>
      <c r="V202" s="57">
        <f t="shared" si="221"/>
        <v>383019.03</v>
      </c>
      <c r="W202" s="234">
        <v>383019.03</v>
      </c>
      <c r="X202" s="234">
        <v>0</v>
      </c>
      <c r="Y202" s="57">
        <f t="shared" si="237"/>
        <v>58926</v>
      </c>
      <c r="Z202" s="234">
        <v>58926</v>
      </c>
      <c r="AA202" s="234">
        <v>0</v>
      </c>
      <c r="AB202" s="55">
        <f t="shared" si="220"/>
        <v>0</v>
      </c>
      <c r="AC202" s="356"/>
      <c r="AD202" s="356"/>
      <c r="AE202" s="63">
        <f t="shared" si="210"/>
        <v>2946300.24</v>
      </c>
      <c r="AF202" s="55">
        <v>3255.78</v>
      </c>
      <c r="AG202" s="55">
        <f t="shared" si="222"/>
        <v>2949556.02</v>
      </c>
      <c r="AH202" s="60" t="s">
        <v>607</v>
      </c>
      <c r="AI202" s="66"/>
      <c r="AJ202" s="119">
        <v>0</v>
      </c>
      <c r="AK202" s="119">
        <v>0</v>
      </c>
    </row>
    <row r="203" spans="1:37" ht="220.5" x14ac:dyDescent="0.25">
      <c r="A203" s="345" t="s">
        <v>1947</v>
      </c>
      <c r="B203" s="271">
        <v>120582</v>
      </c>
      <c r="C203" s="268">
        <v>109</v>
      </c>
      <c r="D203" s="235" t="s">
        <v>705</v>
      </c>
      <c r="E203" s="270" t="s">
        <v>988</v>
      </c>
      <c r="F203" s="419" t="s">
        <v>354</v>
      </c>
      <c r="G203" s="11" t="s">
        <v>211</v>
      </c>
      <c r="H203" s="11" t="s">
        <v>214</v>
      </c>
      <c r="I203" s="235" t="s">
        <v>181</v>
      </c>
      <c r="J203" s="3" t="s">
        <v>217</v>
      </c>
      <c r="K203" s="148">
        <v>43129</v>
      </c>
      <c r="L203" s="15">
        <v>43675</v>
      </c>
      <c r="M203" s="5">
        <f t="shared" si="209"/>
        <v>85.000000819683009</v>
      </c>
      <c r="N203" s="6">
        <v>1</v>
      </c>
      <c r="O203" s="6" t="s">
        <v>221</v>
      </c>
      <c r="P203" s="6" t="s">
        <v>221</v>
      </c>
      <c r="Q203" s="9" t="s">
        <v>208</v>
      </c>
      <c r="R203" s="6" t="s">
        <v>36</v>
      </c>
      <c r="S203" s="55">
        <f>T203+U203</f>
        <v>518493.12</v>
      </c>
      <c r="T203" s="234">
        <v>518493.12</v>
      </c>
      <c r="U203" s="234">
        <v>0</v>
      </c>
      <c r="V203" s="57">
        <f t="shared" si="221"/>
        <v>79298.94</v>
      </c>
      <c r="W203" s="234">
        <v>79298.94</v>
      </c>
      <c r="X203" s="234">
        <v>0</v>
      </c>
      <c r="Y203" s="55">
        <f>Z203+AA203</f>
        <v>12199.84</v>
      </c>
      <c r="Z203" s="234">
        <v>12199.84</v>
      </c>
      <c r="AA203" s="234">
        <v>0</v>
      </c>
      <c r="AB203" s="55">
        <f t="shared" si="220"/>
        <v>0</v>
      </c>
      <c r="AC203" s="234"/>
      <c r="AD203" s="234"/>
      <c r="AE203" s="63">
        <f t="shared" si="210"/>
        <v>609991.9</v>
      </c>
      <c r="AF203" s="55">
        <v>0</v>
      </c>
      <c r="AG203" s="55">
        <f t="shared" si="222"/>
        <v>609991.9</v>
      </c>
      <c r="AH203" s="60" t="s">
        <v>1534</v>
      </c>
      <c r="AI203" s="61" t="s">
        <v>1387</v>
      </c>
      <c r="AJ203" s="72">
        <f>120214.04+104774.33+39837.96+84976.2</f>
        <v>349802.53</v>
      </c>
      <c r="AK203" s="67">
        <f>18385.68+16024.31+6092.87+12996.36</f>
        <v>53499.22</v>
      </c>
    </row>
    <row r="204" spans="1:37" ht="220.5" x14ac:dyDescent="0.25">
      <c r="A204" s="345" t="s">
        <v>1948</v>
      </c>
      <c r="B204" s="271">
        <v>120630</v>
      </c>
      <c r="C204" s="268">
        <v>101</v>
      </c>
      <c r="D204" s="235" t="s">
        <v>705</v>
      </c>
      <c r="E204" s="270" t="s">
        <v>988</v>
      </c>
      <c r="F204" s="419" t="s">
        <v>354</v>
      </c>
      <c r="G204" s="11" t="s">
        <v>304</v>
      </c>
      <c r="H204" s="11" t="s">
        <v>307</v>
      </c>
      <c r="I204" s="235" t="s">
        <v>181</v>
      </c>
      <c r="J204" s="23" t="s">
        <v>313</v>
      </c>
      <c r="K204" s="274">
        <v>43145</v>
      </c>
      <c r="L204" s="275">
        <v>43630</v>
      </c>
      <c r="M204" s="5">
        <f t="shared" si="209"/>
        <v>85.000000236289679</v>
      </c>
      <c r="N204" s="2">
        <v>1</v>
      </c>
      <c r="O204" s="2" t="s">
        <v>221</v>
      </c>
      <c r="P204" s="2" t="s">
        <v>312</v>
      </c>
      <c r="Q204" s="32" t="s">
        <v>208</v>
      </c>
      <c r="R204" s="6" t="s">
        <v>36</v>
      </c>
      <c r="S204" s="55">
        <f t="shared" ref="S204:S210" si="244">T204+U204</f>
        <v>359727.94</v>
      </c>
      <c r="T204" s="234">
        <v>359727.94</v>
      </c>
      <c r="U204" s="234">
        <v>0</v>
      </c>
      <c r="V204" s="57">
        <f t="shared" si="221"/>
        <v>55017.21</v>
      </c>
      <c r="W204" s="234">
        <v>55017.21</v>
      </c>
      <c r="X204" s="234">
        <v>0</v>
      </c>
      <c r="Y204" s="55">
        <f t="shared" ref="Y204:Y210" si="245">Z204+AA204</f>
        <v>8464.19</v>
      </c>
      <c r="Z204" s="234">
        <v>8464.19</v>
      </c>
      <c r="AA204" s="234">
        <v>0</v>
      </c>
      <c r="AB204" s="55">
        <f t="shared" si="220"/>
        <v>0</v>
      </c>
      <c r="AC204" s="234"/>
      <c r="AD204" s="234"/>
      <c r="AE204" s="63">
        <f t="shared" si="210"/>
        <v>423209.34</v>
      </c>
      <c r="AF204" s="55">
        <v>0</v>
      </c>
      <c r="AG204" s="55">
        <f t="shared" si="222"/>
        <v>423209.34</v>
      </c>
      <c r="AH204" s="60" t="s">
        <v>1092</v>
      </c>
      <c r="AI204" s="61"/>
      <c r="AJ204" s="72">
        <f>172923.58+1813.03+21160-1356.83+11126.5-1232.65+26252.82+7940.28+37890.56-5130.19</f>
        <v>271387.10000000003</v>
      </c>
      <c r="AK204" s="62">
        <f>21665.98+2851.77+1356.83+1701.7+1232.65+1214.39+5795.03+5130.19</f>
        <v>40948.540000000008</v>
      </c>
    </row>
    <row r="205" spans="1:37" ht="220.5" x14ac:dyDescent="0.25">
      <c r="A205" s="345" t="s">
        <v>1949</v>
      </c>
      <c r="B205" s="271">
        <v>120672</v>
      </c>
      <c r="C205" s="268">
        <v>106</v>
      </c>
      <c r="D205" s="235" t="s">
        <v>705</v>
      </c>
      <c r="E205" s="270" t="s">
        <v>988</v>
      </c>
      <c r="F205" s="419" t="s">
        <v>354</v>
      </c>
      <c r="G205" s="11" t="s">
        <v>305</v>
      </c>
      <c r="H205" s="11" t="s">
        <v>308</v>
      </c>
      <c r="I205" s="235" t="s">
        <v>181</v>
      </c>
      <c r="J205" s="23" t="s">
        <v>314</v>
      </c>
      <c r="K205" s="274">
        <v>43145</v>
      </c>
      <c r="L205" s="275">
        <v>43630</v>
      </c>
      <c r="M205" s="5">
        <f t="shared" si="209"/>
        <v>84.999999174149096</v>
      </c>
      <c r="N205" s="2">
        <v>1</v>
      </c>
      <c r="O205" s="2" t="s">
        <v>221</v>
      </c>
      <c r="P205" s="2" t="s">
        <v>221</v>
      </c>
      <c r="Q205" s="32" t="s">
        <v>208</v>
      </c>
      <c r="R205" s="6" t="s">
        <v>36</v>
      </c>
      <c r="S205" s="55">
        <f t="shared" si="244"/>
        <v>360234.51</v>
      </c>
      <c r="T205" s="256">
        <v>360234.51</v>
      </c>
      <c r="U205" s="234">
        <v>0</v>
      </c>
      <c r="V205" s="57">
        <f t="shared" si="221"/>
        <v>55094.69</v>
      </c>
      <c r="W205" s="259">
        <v>55094.69</v>
      </c>
      <c r="X205" s="234">
        <v>0</v>
      </c>
      <c r="Y205" s="167">
        <f t="shared" si="245"/>
        <v>8476.11</v>
      </c>
      <c r="Z205" s="255">
        <v>8476.11</v>
      </c>
      <c r="AA205" s="362">
        <v>0</v>
      </c>
      <c r="AB205" s="167">
        <f t="shared" si="220"/>
        <v>0</v>
      </c>
      <c r="AC205" s="234"/>
      <c r="AD205" s="234"/>
      <c r="AE205" s="63">
        <f t="shared" si="210"/>
        <v>423805.31</v>
      </c>
      <c r="AF205" s="55">
        <v>0</v>
      </c>
      <c r="AG205" s="55">
        <f t="shared" si="222"/>
        <v>423805.31</v>
      </c>
      <c r="AH205" s="60" t="s">
        <v>1534</v>
      </c>
      <c r="AI205" s="61"/>
      <c r="AJ205" s="72">
        <f>63226.44+99468.28+168563.98</f>
        <v>331258.7</v>
      </c>
      <c r="AK205" s="62">
        <f>9669.93+15212.79+25780.38</f>
        <v>50663.100000000006</v>
      </c>
    </row>
    <row r="206" spans="1:37" ht="141.75" x14ac:dyDescent="0.25">
      <c r="A206" s="345" t="s">
        <v>1950</v>
      </c>
      <c r="B206" s="271">
        <v>118196</v>
      </c>
      <c r="C206" s="418">
        <v>425</v>
      </c>
      <c r="D206" s="235" t="s">
        <v>705</v>
      </c>
      <c r="E206" s="270" t="s">
        <v>725</v>
      </c>
      <c r="F206" s="419" t="s">
        <v>632</v>
      </c>
      <c r="G206" s="11" t="s">
        <v>623</v>
      </c>
      <c r="H206" s="11" t="s">
        <v>626</v>
      </c>
      <c r="I206" s="235" t="s">
        <v>444</v>
      </c>
      <c r="J206" s="23" t="s">
        <v>624</v>
      </c>
      <c r="K206" s="148">
        <v>43269</v>
      </c>
      <c r="L206" s="148">
        <v>43756</v>
      </c>
      <c r="M206" s="5">
        <f t="shared" si="209"/>
        <v>85</v>
      </c>
      <c r="N206" s="2">
        <v>1</v>
      </c>
      <c r="O206" s="2" t="s">
        <v>221</v>
      </c>
      <c r="P206" s="2" t="s">
        <v>221</v>
      </c>
      <c r="Q206" s="32" t="s">
        <v>208</v>
      </c>
      <c r="R206" s="6" t="s">
        <v>36</v>
      </c>
      <c r="S206" s="95">
        <f>T206+U206</f>
        <v>339668.5</v>
      </c>
      <c r="T206" s="255">
        <v>339668.5</v>
      </c>
      <c r="U206" s="255">
        <v>0</v>
      </c>
      <c r="V206" s="57">
        <f t="shared" si="221"/>
        <v>51949.3</v>
      </c>
      <c r="W206" s="255">
        <v>51949.3</v>
      </c>
      <c r="X206" s="255">
        <v>0</v>
      </c>
      <c r="Y206" s="167">
        <f t="shared" si="245"/>
        <v>7992.2</v>
      </c>
      <c r="Z206" s="255">
        <v>7992.2</v>
      </c>
      <c r="AA206" s="255">
        <v>0</v>
      </c>
      <c r="AB206" s="55">
        <f>AC206+AD206</f>
        <v>0</v>
      </c>
      <c r="AC206" s="255"/>
      <c r="AD206" s="255"/>
      <c r="AE206" s="63">
        <f>S206+V206+Y206+AB206</f>
        <v>399610</v>
      </c>
      <c r="AF206" s="95">
        <v>0</v>
      </c>
      <c r="AG206" s="55">
        <f>AE206+AF206</f>
        <v>399610</v>
      </c>
      <c r="AH206" s="60" t="s">
        <v>607</v>
      </c>
      <c r="AI206" s="61"/>
      <c r="AJ206" s="62">
        <f>16507.97+46617.76+57150.6+65032.65</f>
        <v>185308.98</v>
      </c>
      <c r="AK206" s="62">
        <f>2524.75+7129.77+8740.68+9946.17</f>
        <v>28341.370000000003</v>
      </c>
    </row>
    <row r="207" spans="1:37" ht="141.75" x14ac:dyDescent="0.25">
      <c r="A207" s="345" t="s">
        <v>1951</v>
      </c>
      <c r="B207" s="271">
        <v>126155</v>
      </c>
      <c r="C207" s="418">
        <v>544</v>
      </c>
      <c r="D207" s="235" t="s">
        <v>864</v>
      </c>
      <c r="E207" s="270" t="s">
        <v>988</v>
      </c>
      <c r="F207" s="419" t="s">
        <v>1153</v>
      </c>
      <c r="G207" s="11" t="s">
        <v>1169</v>
      </c>
      <c r="H207" s="11" t="s">
        <v>1170</v>
      </c>
      <c r="I207" s="235" t="s">
        <v>444</v>
      </c>
      <c r="J207" s="23" t="s">
        <v>1171</v>
      </c>
      <c r="K207" s="148">
        <v>43437</v>
      </c>
      <c r="L207" s="15">
        <v>44411</v>
      </c>
      <c r="M207" s="5">
        <f t="shared" si="209"/>
        <v>85.000000318097122</v>
      </c>
      <c r="N207" s="2">
        <v>1</v>
      </c>
      <c r="O207" s="2" t="s">
        <v>221</v>
      </c>
      <c r="P207" s="2" t="s">
        <v>221</v>
      </c>
      <c r="Q207" s="32" t="s">
        <v>208</v>
      </c>
      <c r="R207" s="6" t="s">
        <v>36</v>
      </c>
      <c r="S207" s="95">
        <f t="shared" ref="S207:S209" si="246">T207+U207</f>
        <v>2672139.91</v>
      </c>
      <c r="T207" s="255">
        <v>2672139.91</v>
      </c>
      <c r="U207" s="255">
        <v>0</v>
      </c>
      <c r="V207" s="57">
        <f t="shared" si="221"/>
        <v>408680.21</v>
      </c>
      <c r="W207" s="255">
        <v>408680.21</v>
      </c>
      <c r="X207" s="255">
        <v>0</v>
      </c>
      <c r="Y207" s="167">
        <f t="shared" si="245"/>
        <v>62873.88</v>
      </c>
      <c r="Z207" s="255">
        <v>62873.88</v>
      </c>
      <c r="AA207" s="255">
        <v>0</v>
      </c>
      <c r="AB207" s="55">
        <f t="shared" ref="AB207:AB209" si="247">AC207+AD207</f>
        <v>0</v>
      </c>
      <c r="AC207" s="291">
        <v>0</v>
      </c>
      <c r="AD207" s="291">
        <v>0</v>
      </c>
      <c r="AE207" s="63">
        <f t="shared" ref="AE207:AE209" si="248">S207+V207+Y207+AB207</f>
        <v>3143694</v>
      </c>
      <c r="AF207" s="95">
        <v>0</v>
      </c>
      <c r="AG207" s="55">
        <f>AE207+AF207</f>
        <v>3143694</v>
      </c>
      <c r="AH207" s="60" t="s">
        <v>607</v>
      </c>
      <c r="AI207" s="61"/>
      <c r="AJ207" s="62">
        <f>77174.49+217046.69</f>
        <v>294221.18</v>
      </c>
      <c r="AK207" s="62">
        <f>11803.16+33195.32</f>
        <v>44998.479999999996</v>
      </c>
    </row>
    <row r="208" spans="1:37" ht="141.75" x14ac:dyDescent="0.25">
      <c r="A208" s="345" t="s">
        <v>1952</v>
      </c>
      <c r="B208" s="271">
        <v>125900</v>
      </c>
      <c r="C208" s="418">
        <v>518</v>
      </c>
      <c r="D208" s="235" t="s">
        <v>1093</v>
      </c>
      <c r="E208" s="270" t="s">
        <v>988</v>
      </c>
      <c r="F208" s="419" t="s">
        <v>1153</v>
      </c>
      <c r="G208" s="11" t="s">
        <v>1177</v>
      </c>
      <c r="H208" s="11" t="s">
        <v>1178</v>
      </c>
      <c r="I208" s="235" t="s">
        <v>444</v>
      </c>
      <c r="J208" s="23" t="s">
        <v>1179</v>
      </c>
      <c r="K208" s="148">
        <v>43439</v>
      </c>
      <c r="L208" s="15">
        <v>43987</v>
      </c>
      <c r="M208" s="5">
        <f t="shared" si="209"/>
        <v>85.000001224772731</v>
      </c>
      <c r="N208" s="2">
        <v>1</v>
      </c>
      <c r="O208" s="2" t="s">
        <v>221</v>
      </c>
      <c r="P208" s="2" t="s">
        <v>221</v>
      </c>
      <c r="Q208" s="32" t="s">
        <v>208</v>
      </c>
      <c r="R208" s="6" t="s">
        <v>36</v>
      </c>
      <c r="S208" s="95">
        <f t="shared" si="246"/>
        <v>694006.31</v>
      </c>
      <c r="T208" s="255">
        <v>694006.31</v>
      </c>
      <c r="U208" s="255">
        <v>0</v>
      </c>
      <c r="V208" s="57">
        <f t="shared" si="221"/>
        <v>106142.13</v>
      </c>
      <c r="W208" s="255">
        <v>106142.13</v>
      </c>
      <c r="X208" s="255">
        <v>0</v>
      </c>
      <c r="Y208" s="167">
        <f t="shared" si="245"/>
        <v>16329.56</v>
      </c>
      <c r="Z208" s="255">
        <v>16329.56</v>
      </c>
      <c r="AA208" s="255">
        <v>0</v>
      </c>
      <c r="AB208" s="55">
        <f t="shared" si="247"/>
        <v>0</v>
      </c>
      <c r="AC208" s="255">
        <v>0</v>
      </c>
      <c r="AD208" s="255">
        <v>0</v>
      </c>
      <c r="AE208" s="63">
        <f t="shared" si="248"/>
        <v>816478.00000000012</v>
      </c>
      <c r="AF208" s="95">
        <v>0</v>
      </c>
      <c r="AG208" s="55">
        <f t="shared" ref="AG208:AG209" si="249">AE208+AF208</f>
        <v>816478.00000000012</v>
      </c>
      <c r="AH208" s="60" t="s">
        <v>607</v>
      </c>
      <c r="AI208" s="61"/>
      <c r="AJ208" s="62">
        <f>22112.75+35276.85</f>
        <v>57389.599999999999</v>
      </c>
      <c r="AK208" s="62">
        <f>3381.95+5395.28</f>
        <v>8777.23</v>
      </c>
    </row>
    <row r="209" spans="1:38" ht="157.5" x14ac:dyDescent="0.25">
      <c r="A209" s="345" t="s">
        <v>1953</v>
      </c>
      <c r="B209" s="271">
        <v>126350</v>
      </c>
      <c r="C209" s="418">
        <v>570</v>
      </c>
      <c r="D209" s="235" t="s">
        <v>171</v>
      </c>
      <c r="E209" s="270" t="s">
        <v>988</v>
      </c>
      <c r="F209" s="419" t="s">
        <v>1153</v>
      </c>
      <c r="G209" s="11" t="s">
        <v>1378</v>
      </c>
      <c r="H209" s="11" t="s">
        <v>1178</v>
      </c>
      <c r="I209" s="235" t="s">
        <v>444</v>
      </c>
      <c r="J209" s="23" t="s">
        <v>1379</v>
      </c>
      <c r="K209" s="148">
        <v>43564</v>
      </c>
      <c r="L209" s="15">
        <v>44386</v>
      </c>
      <c r="M209" s="5">
        <f t="shared" si="209"/>
        <v>84.999999916591278</v>
      </c>
      <c r="N209" s="2">
        <v>1</v>
      </c>
      <c r="O209" s="2" t="s">
        <v>221</v>
      </c>
      <c r="P209" s="2" t="s">
        <v>221</v>
      </c>
      <c r="Q209" s="32" t="s">
        <v>208</v>
      </c>
      <c r="R209" s="6" t="s">
        <v>1380</v>
      </c>
      <c r="S209" s="95">
        <f t="shared" si="246"/>
        <v>2038156.45</v>
      </c>
      <c r="T209" s="255">
        <v>2038156.45</v>
      </c>
      <c r="U209" s="255">
        <v>0</v>
      </c>
      <c r="V209" s="57">
        <f t="shared" si="221"/>
        <v>311718.05</v>
      </c>
      <c r="W209" s="255">
        <v>311718.05</v>
      </c>
      <c r="X209" s="255"/>
      <c r="Y209" s="167">
        <f t="shared" si="245"/>
        <v>47956.62</v>
      </c>
      <c r="Z209" s="255">
        <v>47956.62</v>
      </c>
      <c r="AA209" s="255">
        <v>0</v>
      </c>
      <c r="AB209" s="55">
        <f t="shared" si="247"/>
        <v>0</v>
      </c>
      <c r="AC209" s="255"/>
      <c r="AD209" s="255"/>
      <c r="AE209" s="63">
        <f t="shared" si="248"/>
        <v>2397831.12</v>
      </c>
      <c r="AF209" s="95">
        <v>35700</v>
      </c>
      <c r="AG209" s="55">
        <f t="shared" si="249"/>
        <v>2433531.12</v>
      </c>
      <c r="AH209" s="60" t="s">
        <v>607</v>
      </c>
      <c r="AI209" s="61"/>
      <c r="AJ209" s="62">
        <v>0</v>
      </c>
      <c r="AK209" s="62">
        <v>0</v>
      </c>
    </row>
    <row r="210" spans="1:38" ht="204.75" x14ac:dyDescent="0.25">
      <c r="A210" s="345" t="s">
        <v>1954</v>
      </c>
      <c r="B210" s="271">
        <v>128787</v>
      </c>
      <c r="C210" s="418">
        <v>631</v>
      </c>
      <c r="D210" s="235" t="s">
        <v>705</v>
      </c>
      <c r="E210" s="270" t="s">
        <v>988</v>
      </c>
      <c r="F210" s="419" t="s">
        <v>1427</v>
      </c>
      <c r="G210" s="11" t="s">
        <v>1458</v>
      </c>
      <c r="H210" s="11" t="s">
        <v>1526</v>
      </c>
      <c r="I210" s="235" t="s">
        <v>444</v>
      </c>
      <c r="J210" s="23" t="s">
        <v>1459</v>
      </c>
      <c r="K210" s="148">
        <v>43622</v>
      </c>
      <c r="L210" s="15">
        <v>44536</v>
      </c>
      <c r="M210" s="5">
        <f t="shared" si="209"/>
        <v>84.999999929965156</v>
      </c>
      <c r="N210" s="2">
        <v>1</v>
      </c>
      <c r="O210" s="2" t="s">
        <v>221</v>
      </c>
      <c r="P210" s="2" t="s">
        <v>312</v>
      </c>
      <c r="Q210" s="32" t="s">
        <v>208</v>
      </c>
      <c r="R210" s="6" t="s">
        <v>1380</v>
      </c>
      <c r="S210" s="95">
        <f t="shared" si="244"/>
        <v>3034203.56</v>
      </c>
      <c r="T210" s="255">
        <v>3034203.56</v>
      </c>
      <c r="U210" s="255">
        <v>0</v>
      </c>
      <c r="V210" s="95">
        <f t="shared" si="221"/>
        <v>464054.66</v>
      </c>
      <c r="W210" s="255">
        <v>464054.66</v>
      </c>
      <c r="X210" s="255">
        <v>0</v>
      </c>
      <c r="Y210" s="145">
        <f t="shared" si="245"/>
        <v>71393.03</v>
      </c>
      <c r="Z210" s="395">
        <v>71393.03</v>
      </c>
      <c r="AA210" s="255">
        <v>0</v>
      </c>
      <c r="AB210" s="55">
        <f t="shared" si="220"/>
        <v>0</v>
      </c>
      <c r="AC210" s="255">
        <v>0</v>
      </c>
      <c r="AD210" s="255">
        <v>0</v>
      </c>
      <c r="AE210" s="63">
        <f t="shared" si="210"/>
        <v>3569651.25</v>
      </c>
      <c r="AF210" s="95">
        <v>0</v>
      </c>
      <c r="AG210" s="55">
        <f t="shared" si="222"/>
        <v>3569651.25</v>
      </c>
      <c r="AH210" s="60" t="s">
        <v>607</v>
      </c>
      <c r="AI210" s="61"/>
      <c r="AJ210" s="62">
        <v>60000</v>
      </c>
      <c r="AK210" s="62">
        <v>0</v>
      </c>
    </row>
    <row r="211" spans="1:38" ht="409.5" x14ac:dyDescent="0.25">
      <c r="A211" s="345" t="s">
        <v>1955</v>
      </c>
      <c r="B211" s="271">
        <v>118788</v>
      </c>
      <c r="C211" s="260">
        <v>445</v>
      </c>
      <c r="D211" s="235" t="s">
        <v>168</v>
      </c>
      <c r="E211" s="270" t="s">
        <v>725</v>
      </c>
      <c r="F211" s="253" t="s">
        <v>632</v>
      </c>
      <c r="G211" s="11" t="s">
        <v>934</v>
      </c>
      <c r="H211" s="2" t="s">
        <v>935</v>
      </c>
      <c r="I211" s="235" t="s">
        <v>181</v>
      </c>
      <c r="J211" s="11" t="s">
        <v>936</v>
      </c>
      <c r="K211" s="148">
        <v>43325</v>
      </c>
      <c r="L211" s="15">
        <v>43690</v>
      </c>
      <c r="M211" s="5">
        <f t="shared" si="209"/>
        <v>85.000001253240569</v>
      </c>
      <c r="N211" s="2">
        <v>2</v>
      </c>
      <c r="O211" s="2" t="s">
        <v>456</v>
      </c>
      <c r="P211" s="2" t="s">
        <v>937</v>
      </c>
      <c r="Q211" s="2" t="s">
        <v>208</v>
      </c>
      <c r="R211" s="6" t="s">
        <v>36</v>
      </c>
      <c r="S211" s="62">
        <f>T211+U211</f>
        <v>339120.85</v>
      </c>
      <c r="T211" s="349">
        <v>339120.85</v>
      </c>
      <c r="U211" s="350">
        <v>0</v>
      </c>
      <c r="V211" s="62">
        <f>W211+X211</f>
        <v>51865.54</v>
      </c>
      <c r="W211" s="349">
        <v>51865.54</v>
      </c>
      <c r="X211" s="350">
        <v>0</v>
      </c>
      <c r="Y211" s="62">
        <f>Z211+AA211</f>
        <v>7979.31</v>
      </c>
      <c r="Z211" s="349">
        <v>7979.31</v>
      </c>
      <c r="AA211" s="349">
        <v>0</v>
      </c>
      <c r="AB211" s="55">
        <f>AC211+AD211</f>
        <v>0</v>
      </c>
      <c r="AC211" s="350"/>
      <c r="AD211" s="350"/>
      <c r="AE211" s="63">
        <f t="shared" si="210"/>
        <v>398965.69999999995</v>
      </c>
      <c r="AF211" s="64"/>
      <c r="AG211" s="55">
        <f t="shared" si="222"/>
        <v>398965.69999999995</v>
      </c>
      <c r="AH211" s="60" t="s">
        <v>1534</v>
      </c>
      <c r="AI211" s="64" t="s">
        <v>181</v>
      </c>
      <c r="AJ211" s="62">
        <f>74317.96+82151.06+100648.91</f>
        <v>257117.93000000002</v>
      </c>
      <c r="AK211" s="62">
        <f>11366.28+12564.27+15393.35</f>
        <v>39323.9</v>
      </c>
    </row>
    <row r="212" spans="1:38" ht="315" x14ac:dyDescent="0.25">
      <c r="A212" s="345" t="s">
        <v>1956</v>
      </c>
      <c r="B212" s="271">
        <v>125665</v>
      </c>
      <c r="C212" s="260">
        <v>557</v>
      </c>
      <c r="D212" s="235" t="s">
        <v>170</v>
      </c>
      <c r="E212" s="270" t="s">
        <v>988</v>
      </c>
      <c r="F212" s="253" t="s">
        <v>1153</v>
      </c>
      <c r="G212" s="11" t="s">
        <v>1154</v>
      </c>
      <c r="H212" s="2" t="s">
        <v>935</v>
      </c>
      <c r="I212" s="235" t="s">
        <v>181</v>
      </c>
      <c r="J212" s="11" t="s">
        <v>1155</v>
      </c>
      <c r="K212" s="148">
        <v>43425</v>
      </c>
      <c r="L212" s="15">
        <v>44248</v>
      </c>
      <c r="M212" s="5">
        <f t="shared" si="209"/>
        <v>84.999999890649349</v>
      </c>
      <c r="N212" s="2">
        <v>2</v>
      </c>
      <c r="O212" s="2" t="s">
        <v>456</v>
      </c>
      <c r="P212" s="2" t="s">
        <v>937</v>
      </c>
      <c r="Q212" s="2" t="s">
        <v>208</v>
      </c>
      <c r="R212" s="6" t="s">
        <v>36</v>
      </c>
      <c r="S212" s="62">
        <f>T212+U212</f>
        <v>3497921.5</v>
      </c>
      <c r="T212" s="349">
        <v>3497921.5</v>
      </c>
      <c r="U212" s="350">
        <v>0</v>
      </c>
      <c r="V212" s="62">
        <f>W212+X212</f>
        <v>534976.2300000001</v>
      </c>
      <c r="W212" s="349">
        <v>534976.2300000001</v>
      </c>
      <c r="X212" s="350">
        <v>0</v>
      </c>
      <c r="Y212" s="62">
        <f>Z212+AA212</f>
        <v>82304.039999999994</v>
      </c>
      <c r="Z212" s="349">
        <v>82304.039999999994</v>
      </c>
      <c r="AA212" s="349">
        <v>0</v>
      </c>
      <c r="AB212" s="55">
        <f>AC212+AD212</f>
        <v>0</v>
      </c>
      <c r="AC212" s="291">
        <v>0</v>
      </c>
      <c r="AD212" s="291">
        <v>0</v>
      </c>
      <c r="AE212" s="63">
        <f t="shared" ref="AE212" si="250">S212+V212+Y212+AB212</f>
        <v>4115201.77</v>
      </c>
      <c r="AF212" s="64">
        <v>114240</v>
      </c>
      <c r="AG212" s="55">
        <f t="shared" ref="AG212" si="251">AE212+AF212</f>
        <v>4229441.7699999996</v>
      </c>
      <c r="AH212" s="60" t="s">
        <v>607</v>
      </c>
      <c r="AI212" s="64" t="s">
        <v>181</v>
      </c>
      <c r="AJ212" s="62">
        <v>33872.5</v>
      </c>
      <c r="AK212" s="62">
        <v>5180.5</v>
      </c>
    </row>
    <row r="213" spans="1:38" ht="283.5" x14ac:dyDescent="0.25">
      <c r="A213" s="345" t="s">
        <v>1957</v>
      </c>
      <c r="B213" s="271">
        <v>126354</v>
      </c>
      <c r="C213" s="260">
        <v>491</v>
      </c>
      <c r="D213" s="235" t="s">
        <v>166</v>
      </c>
      <c r="E213" s="270" t="s">
        <v>1284</v>
      </c>
      <c r="F213" s="253" t="s">
        <v>1283</v>
      </c>
      <c r="G213" s="11" t="s">
        <v>1282</v>
      </c>
      <c r="H213" s="2" t="s">
        <v>1281</v>
      </c>
      <c r="I213" s="235" t="s">
        <v>181</v>
      </c>
      <c r="J213" s="11" t="s">
        <v>1285</v>
      </c>
      <c r="K213" s="148">
        <v>43515</v>
      </c>
      <c r="L213" s="15">
        <v>44246</v>
      </c>
      <c r="M213" s="5">
        <f t="shared" si="209"/>
        <v>83.300000282457262</v>
      </c>
      <c r="N213" s="2" t="s">
        <v>1293</v>
      </c>
      <c r="O213" s="2" t="s">
        <v>1292</v>
      </c>
      <c r="P213" s="2" t="s">
        <v>1292</v>
      </c>
      <c r="Q213" s="2" t="s">
        <v>349</v>
      </c>
      <c r="R213" s="6" t="s">
        <v>36</v>
      </c>
      <c r="S213" s="62">
        <f>T213+U213</f>
        <v>2064383.09</v>
      </c>
      <c r="T213" s="349">
        <v>2064383.09</v>
      </c>
      <c r="U213" s="350">
        <v>0</v>
      </c>
      <c r="V213" s="62">
        <f>W213+X213</f>
        <v>364302.89</v>
      </c>
      <c r="W213" s="349">
        <v>364302.89</v>
      </c>
      <c r="X213" s="350">
        <v>0</v>
      </c>
      <c r="Y213" s="62">
        <f>Z213+AA213</f>
        <v>0</v>
      </c>
      <c r="Z213" s="349">
        <v>0</v>
      </c>
      <c r="AA213" s="349">
        <v>0</v>
      </c>
      <c r="AB213" s="55">
        <f>AC213+AD213</f>
        <v>49565.02</v>
      </c>
      <c r="AC213" s="291">
        <v>49565.02</v>
      </c>
      <c r="AD213" s="291">
        <v>0</v>
      </c>
      <c r="AE213" s="63">
        <f t="shared" ref="AE213:AE221" si="252">S213+V213+Y213+AB213</f>
        <v>2478251</v>
      </c>
      <c r="AF213" s="55">
        <v>0</v>
      </c>
      <c r="AG213" s="55">
        <f t="shared" ref="AG213:AG221" si="253">AE213+AF213</f>
        <v>2478251</v>
      </c>
      <c r="AH213" s="60" t="s">
        <v>607</v>
      </c>
      <c r="AI213" s="64" t="s">
        <v>181</v>
      </c>
      <c r="AJ213" s="62">
        <f>247825+160049.29</f>
        <v>407874.29000000004</v>
      </c>
      <c r="AK213" s="62">
        <v>28243.96</v>
      </c>
    </row>
    <row r="214" spans="1:38" s="7" customFormat="1" ht="252" x14ac:dyDescent="0.25">
      <c r="A214" s="345" t="s">
        <v>1958</v>
      </c>
      <c r="B214" s="271">
        <v>126532</v>
      </c>
      <c r="C214" s="260">
        <v>500</v>
      </c>
      <c r="D214" s="235" t="s">
        <v>166</v>
      </c>
      <c r="E214" s="270" t="s">
        <v>1284</v>
      </c>
      <c r="F214" s="253" t="s">
        <v>1283</v>
      </c>
      <c r="G214" s="11" t="s">
        <v>1288</v>
      </c>
      <c r="H214" s="2" t="s">
        <v>1287</v>
      </c>
      <c r="I214" s="235" t="s">
        <v>181</v>
      </c>
      <c r="J214" s="3" t="s">
        <v>1289</v>
      </c>
      <c r="K214" s="148">
        <v>43516</v>
      </c>
      <c r="L214" s="15">
        <v>44247</v>
      </c>
      <c r="M214" s="5">
        <f t="shared" si="209"/>
        <v>83.299999838210468</v>
      </c>
      <c r="N214" s="6" t="s">
        <v>1290</v>
      </c>
      <c r="O214" s="26" t="s">
        <v>1291</v>
      </c>
      <c r="P214" s="26" t="s">
        <v>1291</v>
      </c>
      <c r="Q214" s="2" t="s">
        <v>349</v>
      </c>
      <c r="R214" s="6" t="s">
        <v>36</v>
      </c>
      <c r="S214" s="62">
        <f>T214+U214</f>
        <v>2059465.88</v>
      </c>
      <c r="T214" s="234">
        <v>2059465.88</v>
      </c>
      <c r="U214" s="234">
        <v>0</v>
      </c>
      <c r="V214" s="62">
        <f>W214+X214</f>
        <v>363435.16</v>
      </c>
      <c r="W214" s="234">
        <v>363435.16</v>
      </c>
      <c r="X214" s="234">
        <v>0</v>
      </c>
      <c r="Y214" s="62">
        <f t="shared" ref="Y214:Y221" si="254">Z214+AA214</f>
        <v>0</v>
      </c>
      <c r="Z214" s="234">
        <v>0</v>
      </c>
      <c r="AA214" s="234">
        <v>0</v>
      </c>
      <c r="AB214" s="55">
        <f t="shared" ref="AB214:AB221" si="255">AC214+AD214</f>
        <v>49446.96</v>
      </c>
      <c r="AC214" s="234">
        <v>49446.96</v>
      </c>
      <c r="AD214" s="234">
        <v>0</v>
      </c>
      <c r="AE214" s="63">
        <f t="shared" si="252"/>
        <v>2472348</v>
      </c>
      <c r="AF214" s="55">
        <v>0</v>
      </c>
      <c r="AG214" s="55">
        <f t="shared" si="253"/>
        <v>2472348</v>
      </c>
      <c r="AH214" s="60" t="s">
        <v>892</v>
      </c>
      <c r="AI214" s="61" t="s">
        <v>181</v>
      </c>
      <c r="AJ214" s="65">
        <f>247230-23811.93</f>
        <v>223418.07</v>
      </c>
      <c r="AK214" s="62">
        <v>23811.93</v>
      </c>
    </row>
    <row r="215" spans="1:38" s="7" customFormat="1" ht="299.25" x14ac:dyDescent="0.25">
      <c r="A215" s="345" t="s">
        <v>1959</v>
      </c>
      <c r="B215" s="271">
        <v>125435</v>
      </c>
      <c r="C215" s="260">
        <v>493</v>
      </c>
      <c r="D215" s="235" t="s">
        <v>166</v>
      </c>
      <c r="E215" s="270" t="s">
        <v>1284</v>
      </c>
      <c r="F215" s="253" t="s">
        <v>1283</v>
      </c>
      <c r="G215" s="11" t="s">
        <v>1309</v>
      </c>
      <c r="H215" s="2" t="s">
        <v>1310</v>
      </c>
      <c r="I215" s="235" t="s">
        <v>181</v>
      </c>
      <c r="J215" s="3" t="s">
        <v>1311</v>
      </c>
      <c r="K215" s="148">
        <v>43531</v>
      </c>
      <c r="L215" s="15">
        <v>44142</v>
      </c>
      <c r="M215" s="5">
        <f t="shared" si="209"/>
        <v>83.30000027566841</v>
      </c>
      <c r="N215" s="6" t="s">
        <v>1312</v>
      </c>
      <c r="O215" s="26" t="s">
        <v>1313</v>
      </c>
      <c r="P215" s="26" t="s">
        <v>1313</v>
      </c>
      <c r="Q215" s="2" t="s">
        <v>349</v>
      </c>
      <c r="R215" s="6" t="s">
        <v>36</v>
      </c>
      <c r="S215" s="62">
        <f t="shared" ref="S215:S216" si="256">T215+U215</f>
        <v>1813047.83</v>
      </c>
      <c r="T215" s="234">
        <v>1813047.83</v>
      </c>
      <c r="U215" s="234">
        <v>0</v>
      </c>
      <c r="V215" s="62">
        <f t="shared" ref="V215:V216" si="257">W215+X215</f>
        <v>319949.61</v>
      </c>
      <c r="W215" s="234">
        <v>319949.61</v>
      </c>
      <c r="X215" s="234">
        <v>0</v>
      </c>
      <c r="Y215" s="62">
        <f t="shared" si="254"/>
        <v>0</v>
      </c>
      <c r="Z215" s="234">
        <v>0</v>
      </c>
      <c r="AA215" s="234">
        <v>0</v>
      </c>
      <c r="AB215" s="55">
        <f t="shared" si="255"/>
        <v>43530.559999999998</v>
      </c>
      <c r="AC215" s="234">
        <v>43530.559999999998</v>
      </c>
      <c r="AD215" s="234">
        <v>0</v>
      </c>
      <c r="AE215" s="63">
        <f t="shared" si="252"/>
        <v>2176528</v>
      </c>
      <c r="AF215" s="55">
        <v>0</v>
      </c>
      <c r="AG215" s="55">
        <f t="shared" si="253"/>
        <v>2176528</v>
      </c>
      <c r="AH215" s="60" t="s">
        <v>892</v>
      </c>
      <c r="AI215" s="61" t="s">
        <v>181</v>
      </c>
      <c r="AJ215" s="65">
        <f>181814-14309.49</f>
        <v>167504.51</v>
      </c>
      <c r="AK215" s="62">
        <v>14309.49</v>
      </c>
    </row>
    <row r="216" spans="1:38" s="7" customFormat="1" ht="173.25" x14ac:dyDescent="0.25">
      <c r="A216" s="345" t="s">
        <v>1960</v>
      </c>
      <c r="B216" s="271">
        <v>126388</v>
      </c>
      <c r="C216" s="260">
        <v>494</v>
      </c>
      <c r="D216" s="235" t="s">
        <v>167</v>
      </c>
      <c r="E216" s="270" t="s">
        <v>1284</v>
      </c>
      <c r="F216" s="253" t="s">
        <v>1283</v>
      </c>
      <c r="G216" s="11" t="s">
        <v>1314</v>
      </c>
      <c r="H216" s="2" t="s">
        <v>1315</v>
      </c>
      <c r="I216" s="235" t="s">
        <v>181</v>
      </c>
      <c r="J216" s="3" t="s">
        <v>1316</v>
      </c>
      <c r="K216" s="148">
        <v>43531</v>
      </c>
      <c r="L216" s="15">
        <v>44262</v>
      </c>
      <c r="M216" s="5">
        <f t="shared" si="209"/>
        <v>83.300001414159638</v>
      </c>
      <c r="N216" s="6">
        <v>3</v>
      </c>
      <c r="O216" s="26" t="s">
        <v>1317</v>
      </c>
      <c r="P216" s="26" t="s">
        <v>1317</v>
      </c>
      <c r="Q216" s="2" t="s">
        <v>349</v>
      </c>
      <c r="R216" s="6" t="s">
        <v>36</v>
      </c>
      <c r="S216" s="62">
        <f t="shared" si="256"/>
        <v>2043977.2</v>
      </c>
      <c r="T216" s="234">
        <v>2043977.2</v>
      </c>
      <c r="U216" s="234">
        <v>0</v>
      </c>
      <c r="V216" s="62">
        <f t="shared" si="257"/>
        <v>360701.81</v>
      </c>
      <c r="W216" s="234">
        <v>360701.81</v>
      </c>
      <c r="X216" s="234">
        <v>0</v>
      </c>
      <c r="Y216" s="62">
        <f t="shared" si="254"/>
        <v>0</v>
      </c>
      <c r="Z216" s="234">
        <v>0</v>
      </c>
      <c r="AA216" s="234">
        <v>0</v>
      </c>
      <c r="AB216" s="55">
        <f t="shared" si="255"/>
        <v>49075.09</v>
      </c>
      <c r="AC216" s="234">
        <v>49075.09</v>
      </c>
      <c r="AD216" s="234">
        <v>0</v>
      </c>
      <c r="AE216" s="63">
        <f t="shared" si="252"/>
        <v>2453754.0999999996</v>
      </c>
      <c r="AF216" s="55">
        <v>0</v>
      </c>
      <c r="AG216" s="55">
        <f t="shared" si="253"/>
        <v>2453754.0999999996</v>
      </c>
      <c r="AH216" s="60" t="s">
        <v>892</v>
      </c>
      <c r="AI216" s="61" t="s">
        <v>181</v>
      </c>
      <c r="AJ216" s="65">
        <f>240400-20492.1</f>
        <v>219907.9</v>
      </c>
      <c r="AK216" s="62">
        <v>20492.099999999999</v>
      </c>
    </row>
    <row r="217" spans="1:38" s="7" customFormat="1" ht="299.25" x14ac:dyDescent="0.25">
      <c r="A217" s="345" t="s">
        <v>1961</v>
      </c>
      <c r="B217" s="271">
        <v>126511</v>
      </c>
      <c r="C217" s="260">
        <v>499</v>
      </c>
      <c r="D217" s="235" t="s">
        <v>166</v>
      </c>
      <c r="E217" s="270" t="s">
        <v>1284</v>
      </c>
      <c r="F217" s="253" t="s">
        <v>1283</v>
      </c>
      <c r="G217" s="11" t="s">
        <v>1320</v>
      </c>
      <c r="H217" s="11" t="s">
        <v>1321</v>
      </c>
      <c r="I217" s="235" t="s">
        <v>181</v>
      </c>
      <c r="J217" s="3" t="s">
        <v>1324</v>
      </c>
      <c r="K217" s="148">
        <v>43535</v>
      </c>
      <c r="L217" s="15">
        <v>44266</v>
      </c>
      <c r="M217" s="5">
        <f t="shared" si="209"/>
        <v>83.300000000000011</v>
      </c>
      <c r="N217" s="6" t="s">
        <v>1323</v>
      </c>
      <c r="O217" s="6" t="s">
        <v>1322</v>
      </c>
      <c r="P217" s="6" t="s">
        <v>1322</v>
      </c>
      <c r="Q217" s="2" t="s">
        <v>349</v>
      </c>
      <c r="R217" s="6" t="s">
        <v>36</v>
      </c>
      <c r="S217" s="62">
        <f t="shared" ref="S217:S221" si="258">T217+U217</f>
        <v>2060383.85</v>
      </c>
      <c r="T217" s="234">
        <v>2060383.85</v>
      </c>
      <c r="U217" s="234">
        <v>0</v>
      </c>
      <c r="V217" s="62">
        <f t="shared" ref="V217:V221" si="259">W217+X217</f>
        <v>363597.15</v>
      </c>
      <c r="W217" s="234">
        <v>363597.15</v>
      </c>
      <c r="X217" s="234">
        <v>0</v>
      </c>
      <c r="Y217" s="62">
        <f t="shared" si="254"/>
        <v>0</v>
      </c>
      <c r="Z217" s="234">
        <v>0</v>
      </c>
      <c r="AA217" s="234">
        <v>0</v>
      </c>
      <c r="AB217" s="55">
        <f t="shared" si="255"/>
        <v>49469</v>
      </c>
      <c r="AC217" s="234">
        <v>49469</v>
      </c>
      <c r="AD217" s="234">
        <v>0</v>
      </c>
      <c r="AE217" s="63">
        <f t="shared" si="252"/>
        <v>2473450</v>
      </c>
      <c r="AF217" s="55">
        <v>0</v>
      </c>
      <c r="AG217" s="55">
        <f t="shared" si="253"/>
        <v>2473450</v>
      </c>
      <c r="AH217" s="60" t="s">
        <v>892</v>
      </c>
      <c r="AI217" s="61" t="s">
        <v>181</v>
      </c>
      <c r="AJ217" s="65">
        <v>247345</v>
      </c>
      <c r="AK217" s="62">
        <v>0</v>
      </c>
    </row>
    <row r="218" spans="1:38" ht="346.5" x14ac:dyDescent="0.25">
      <c r="A218" s="345" t="s">
        <v>1962</v>
      </c>
      <c r="B218" s="417">
        <v>126528</v>
      </c>
      <c r="C218" s="268">
        <v>496</v>
      </c>
      <c r="D218" s="235" t="s">
        <v>166</v>
      </c>
      <c r="E218" s="270" t="s">
        <v>1284</v>
      </c>
      <c r="F218" s="253" t="s">
        <v>1283</v>
      </c>
      <c r="G218" s="14" t="s">
        <v>1346</v>
      </c>
      <c r="H218" s="14" t="s">
        <v>1345</v>
      </c>
      <c r="I218" s="235" t="s">
        <v>1352</v>
      </c>
      <c r="J218" s="191" t="s">
        <v>1349</v>
      </c>
      <c r="K218" s="148">
        <v>43552</v>
      </c>
      <c r="L218" s="15">
        <v>44283</v>
      </c>
      <c r="M218" s="5">
        <f t="shared" si="209"/>
        <v>83.538686217523377</v>
      </c>
      <c r="N218" s="26" t="s">
        <v>1347</v>
      </c>
      <c r="O218" s="26" t="s">
        <v>1348</v>
      </c>
      <c r="P218" s="26" t="s">
        <v>1348</v>
      </c>
      <c r="Q218" s="2" t="s">
        <v>349</v>
      </c>
      <c r="R218" s="6" t="s">
        <v>36</v>
      </c>
      <c r="S218" s="62">
        <f t="shared" si="258"/>
        <v>1949308.98</v>
      </c>
      <c r="T218" s="360">
        <v>1949308.98</v>
      </c>
      <c r="U218" s="357">
        <v>0</v>
      </c>
      <c r="V218" s="62">
        <f t="shared" si="259"/>
        <v>337443.27</v>
      </c>
      <c r="W218" s="360">
        <v>337443.27</v>
      </c>
      <c r="X218" s="357">
        <v>0</v>
      </c>
      <c r="Y218" s="62">
        <f t="shared" si="254"/>
        <v>6552.42</v>
      </c>
      <c r="Z218" s="360">
        <v>6552.42</v>
      </c>
      <c r="AA218" s="357">
        <v>0</v>
      </c>
      <c r="AB218" s="55">
        <f t="shared" si="255"/>
        <v>40116.009999999995</v>
      </c>
      <c r="AC218" s="360">
        <f>23632.16+16483.85</f>
        <v>40116.009999999995</v>
      </c>
      <c r="AD218" s="357">
        <v>0</v>
      </c>
      <c r="AE218" s="63">
        <f t="shared" si="252"/>
        <v>2333420.6799999997</v>
      </c>
      <c r="AF218" s="66">
        <v>0</v>
      </c>
      <c r="AG218" s="55">
        <f t="shared" si="253"/>
        <v>2333420.6799999997</v>
      </c>
      <c r="AH218" s="60" t="s">
        <v>892</v>
      </c>
      <c r="AI218" s="66" t="s">
        <v>181</v>
      </c>
      <c r="AJ218" s="65">
        <f>233342.06+142903.27</f>
        <v>376245.32999999996</v>
      </c>
      <c r="AK218" s="65">
        <v>24798.23</v>
      </c>
    </row>
    <row r="219" spans="1:38" ht="267.75" x14ac:dyDescent="0.25">
      <c r="A219" s="345" t="s">
        <v>1963</v>
      </c>
      <c r="B219" s="417">
        <v>126480</v>
      </c>
      <c r="C219" s="268">
        <v>495</v>
      </c>
      <c r="D219" s="235" t="s">
        <v>166</v>
      </c>
      <c r="E219" s="270" t="s">
        <v>1284</v>
      </c>
      <c r="F219" s="253" t="s">
        <v>1283</v>
      </c>
      <c r="G219" s="14" t="s">
        <v>1355</v>
      </c>
      <c r="H219" s="14" t="s">
        <v>1356</v>
      </c>
      <c r="I219" s="235" t="s">
        <v>181</v>
      </c>
      <c r="J219" s="191" t="s">
        <v>1357</v>
      </c>
      <c r="K219" s="148">
        <v>43553</v>
      </c>
      <c r="L219" s="15">
        <v>43919</v>
      </c>
      <c r="M219" s="5">
        <f t="shared" si="209"/>
        <v>83.300002424250337</v>
      </c>
      <c r="N219" s="48">
        <v>6</v>
      </c>
      <c r="O219" s="51" t="s">
        <v>218</v>
      </c>
      <c r="P219" s="51" t="s">
        <v>218</v>
      </c>
      <c r="Q219" s="2" t="s">
        <v>349</v>
      </c>
      <c r="R219" s="6" t="s">
        <v>36</v>
      </c>
      <c r="S219" s="62">
        <f t="shared" si="258"/>
        <v>876896.26</v>
      </c>
      <c r="T219" s="360">
        <v>876896.26</v>
      </c>
      <c r="U219" s="357">
        <v>0</v>
      </c>
      <c r="V219" s="62">
        <f t="shared" si="259"/>
        <v>154746.38</v>
      </c>
      <c r="W219" s="360">
        <v>154746.38</v>
      </c>
      <c r="X219" s="357">
        <v>0</v>
      </c>
      <c r="Y219" s="62">
        <f t="shared" si="254"/>
        <v>0</v>
      </c>
      <c r="Z219" s="357">
        <v>0</v>
      </c>
      <c r="AA219" s="357">
        <v>0</v>
      </c>
      <c r="AB219" s="55">
        <f t="shared" si="255"/>
        <v>21053.919999999998</v>
      </c>
      <c r="AC219" s="360">
        <v>21053.919999999998</v>
      </c>
      <c r="AD219" s="357">
        <v>0</v>
      </c>
      <c r="AE219" s="63">
        <f t="shared" si="252"/>
        <v>1052696.56</v>
      </c>
      <c r="AF219" s="95">
        <v>10640</v>
      </c>
      <c r="AG219" s="55">
        <f t="shared" si="253"/>
        <v>1063336.56</v>
      </c>
      <c r="AH219" s="60" t="s">
        <v>892</v>
      </c>
      <c r="AI219" s="66"/>
      <c r="AJ219" s="119">
        <v>105000</v>
      </c>
      <c r="AK219" s="72">
        <v>0</v>
      </c>
    </row>
    <row r="220" spans="1:38" ht="409.5" x14ac:dyDescent="0.25">
      <c r="A220" s="345" t="s">
        <v>1964</v>
      </c>
      <c r="B220" s="417">
        <v>125819</v>
      </c>
      <c r="C220" s="268">
        <v>497</v>
      </c>
      <c r="D220" s="235" t="s">
        <v>167</v>
      </c>
      <c r="E220" s="270" t="s">
        <v>1284</v>
      </c>
      <c r="F220" s="253" t="s">
        <v>1283</v>
      </c>
      <c r="G220" s="109" t="s">
        <v>1421</v>
      </c>
      <c r="H220" s="14" t="s">
        <v>1419</v>
      </c>
      <c r="I220" s="235" t="s">
        <v>181</v>
      </c>
      <c r="J220" s="191" t="s">
        <v>1423</v>
      </c>
      <c r="K220" s="148">
        <v>43608</v>
      </c>
      <c r="L220" s="15">
        <v>44339</v>
      </c>
      <c r="M220" s="5">
        <f t="shared" si="209"/>
        <v>83.30000063911281</v>
      </c>
      <c r="N220" s="201" t="s">
        <v>1425</v>
      </c>
      <c r="O220" s="26" t="s">
        <v>1424</v>
      </c>
      <c r="P220" s="26" t="s">
        <v>1424</v>
      </c>
      <c r="Q220" s="2" t="s">
        <v>349</v>
      </c>
      <c r="R220" s="6" t="s">
        <v>36</v>
      </c>
      <c r="S220" s="62">
        <f t="shared" si="258"/>
        <v>1444133.16</v>
      </c>
      <c r="T220" s="360">
        <v>1444133.16</v>
      </c>
      <c r="U220" s="357">
        <v>0</v>
      </c>
      <c r="V220" s="62">
        <f t="shared" si="259"/>
        <v>254847.02</v>
      </c>
      <c r="W220" s="360">
        <v>254847.02</v>
      </c>
      <c r="X220" s="357">
        <v>0</v>
      </c>
      <c r="Y220" s="62">
        <f t="shared" si="254"/>
        <v>0</v>
      </c>
      <c r="Z220" s="357">
        <v>0</v>
      </c>
      <c r="AA220" s="357">
        <v>0</v>
      </c>
      <c r="AB220" s="55">
        <f t="shared" si="255"/>
        <v>34673.06</v>
      </c>
      <c r="AC220" s="360">
        <v>34673.06</v>
      </c>
      <c r="AD220" s="357">
        <v>0</v>
      </c>
      <c r="AE220" s="63">
        <f t="shared" si="252"/>
        <v>1733653.24</v>
      </c>
      <c r="AF220" s="66">
        <v>0</v>
      </c>
      <c r="AG220" s="55">
        <f t="shared" si="253"/>
        <v>1733653.24</v>
      </c>
      <c r="AH220" s="60" t="s">
        <v>892</v>
      </c>
      <c r="AI220" s="66"/>
      <c r="AJ220" s="119">
        <v>173365</v>
      </c>
      <c r="AK220" s="72">
        <v>0</v>
      </c>
    </row>
    <row r="221" spans="1:38" ht="409.5" x14ac:dyDescent="0.25">
      <c r="A221" s="345" t="s">
        <v>1965</v>
      </c>
      <c r="B221" s="417">
        <v>126526</v>
      </c>
      <c r="C221" s="268">
        <v>498</v>
      </c>
      <c r="D221" s="235" t="s">
        <v>167</v>
      </c>
      <c r="E221" s="270" t="s">
        <v>1284</v>
      </c>
      <c r="F221" s="253" t="s">
        <v>1283</v>
      </c>
      <c r="G221" s="109" t="s">
        <v>1422</v>
      </c>
      <c r="H221" s="14" t="s">
        <v>1420</v>
      </c>
      <c r="I221" s="235" t="s">
        <v>181</v>
      </c>
      <c r="J221" s="191" t="s">
        <v>1426</v>
      </c>
      <c r="K221" s="148">
        <v>43608</v>
      </c>
      <c r="L221" s="15">
        <v>44339</v>
      </c>
      <c r="M221" s="5">
        <f t="shared" ref="M221:M283" si="260">S221/AE221*100</f>
        <v>83.30000063911281</v>
      </c>
      <c r="N221" s="201" t="s">
        <v>1425</v>
      </c>
      <c r="O221" s="26" t="s">
        <v>1424</v>
      </c>
      <c r="P221" s="26" t="s">
        <v>1424</v>
      </c>
      <c r="Q221" s="2" t="s">
        <v>349</v>
      </c>
      <c r="R221" s="6" t="s">
        <v>36</v>
      </c>
      <c r="S221" s="62">
        <f t="shared" si="258"/>
        <v>1444133.16</v>
      </c>
      <c r="T221" s="360">
        <v>1444133.16</v>
      </c>
      <c r="U221" s="357">
        <v>0</v>
      </c>
      <c r="V221" s="62">
        <f t="shared" si="259"/>
        <v>254847.02</v>
      </c>
      <c r="W221" s="360">
        <v>254847.02</v>
      </c>
      <c r="X221" s="357">
        <v>0</v>
      </c>
      <c r="Y221" s="62">
        <f t="shared" si="254"/>
        <v>0</v>
      </c>
      <c r="Z221" s="357">
        <v>0</v>
      </c>
      <c r="AA221" s="357">
        <v>0</v>
      </c>
      <c r="AB221" s="55">
        <f t="shared" si="255"/>
        <v>34673.06</v>
      </c>
      <c r="AC221" s="360">
        <v>34673.06</v>
      </c>
      <c r="AD221" s="357">
        <v>0</v>
      </c>
      <c r="AE221" s="63">
        <f t="shared" si="252"/>
        <v>1733653.24</v>
      </c>
      <c r="AF221" s="66">
        <v>0</v>
      </c>
      <c r="AG221" s="55">
        <f t="shared" si="253"/>
        <v>1733653.24</v>
      </c>
      <c r="AH221" s="60" t="s">
        <v>892</v>
      </c>
      <c r="AI221" s="66"/>
      <c r="AJ221" s="119">
        <v>173365</v>
      </c>
      <c r="AK221" s="72">
        <v>0</v>
      </c>
    </row>
    <row r="222" spans="1:38" s="7" customFormat="1" ht="315" x14ac:dyDescent="0.25">
      <c r="A222" s="345" t="s">
        <v>1966</v>
      </c>
      <c r="B222" s="271">
        <v>119193</v>
      </c>
      <c r="C222" s="268">
        <v>2</v>
      </c>
      <c r="D222" s="235" t="s">
        <v>168</v>
      </c>
      <c r="E222" s="260" t="s">
        <v>161</v>
      </c>
      <c r="F222" s="419" t="s">
        <v>122</v>
      </c>
      <c r="G222" s="11" t="s">
        <v>37</v>
      </c>
      <c r="H222" s="11" t="s">
        <v>35</v>
      </c>
      <c r="I222" s="418" t="s">
        <v>181</v>
      </c>
      <c r="J222" s="3" t="s">
        <v>38</v>
      </c>
      <c r="K222" s="148">
        <v>42459</v>
      </c>
      <c r="L222" s="15">
        <v>43373</v>
      </c>
      <c r="M222" s="5">
        <f t="shared" si="260"/>
        <v>83.983862816086358</v>
      </c>
      <c r="N222" s="6" t="s">
        <v>152</v>
      </c>
      <c r="O222" s="6" t="s">
        <v>153</v>
      </c>
      <c r="P222" s="6" t="s">
        <v>153</v>
      </c>
      <c r="Q222" s="9" t="s">
        <v>154</v>
      </c>
      <c r="R222" s="2" t="s">
        <v>36</v>
      </c>
      <c r="S222" s="55">
        <f>T222+U222</f>
        <v>11141147.18</v>
      </c>
      <c r="T222" s="234">
        <v>8984364.5299999993</v>
      </c>
      <c r="U222" s="234">
        <v>2156782.65</v>
      </c>
      <c r="V222" s="55">
        <f>W222+X222</f>
        <v>0</v>
      </c>
      <c r="W222" s="234">
        <v>0</v>
      </c>
      <c r="X222" s="234">
        <v>0</v>
      </c>
      <c r="Y222" s="55">
        <f>Z222+AA222</f>
        <v>2124671.7600000002</v>
      </c>
      <c r="Z222" s="234">
        <v>1585476.09</v>
      </c>
      <c r="AA222" s="234">
        <v>539195.67000000004</v>
      </c>
      <c r="AB222" s="55">
        <f t="shared" si="220"/>
        <v>0</v>
      </c>
      <c r="AC222" s="234"/>
      <c r="AD222" s="234"/>
      <c r="AE222" s="63">
        <f t="shared" si="210"/>
        <v>13265818.939999999</v>
      </c>
      <c r="AF222" s="55">
        <v>0</v>
      </c>
      <c r="AG222" s="55">
        <f t="shared" si="222"/>
        <v>13265818.939999999</v>
      </c>
      <c r="AH222" s="60" t="s">
        <v>1092</v>
      </c>
      <c r="AI222" s="61" t="s">
        <v>350</v>
      </c>
      <c r="AJ222" s="65">
        <f>8636594.63+2463862.74+15076.78</f>
        <v>11115534.15</v>
      </c>
      <c r="AK222" s="62">
        <v>0</v>
      </c>
      <c r="AL222" s="81" t="s">
        <v>1558</v>
      </c>
    </row>
    <row r="223" spans="1:38" ht="204.75" x14ac:dyDescent="0.25">
      <c r="A223" s="345" t="s">
        <v>1967</v>
      </c>
      <c r="B223" s="271">
        <v>117842</v>
      </c>
      <c r="C223" s="268">
        <v>3</v>
      </c>
      <c r="D223" s="235" t="s">
        <v>168</v>
      </c>
      <c r="E223" s="260" t="s">
        <v>161</v>
      </c>
      <c r="F223" s="439" t="s">
        <v>122</v>
      </c>
      <c r="G223" s="11" t="s">
        <v>40</v>
      </c>
      <c r="H223" s="11" t="s">
        <v>39</v>
      </c>
      <c r="I223" s="235" t="s">
        <v>193</v>
      </c>
      <c r="J223" s="3" t="s">
        <v>41</v>
      </c>
      <c r="K223" s="148">
        <v>42534</v>
      </c>
      <c r="L223" s="15">
        <v>43585</v>
      </c>
      <c r="M223" s="5">
        <f t="shared" si="260"/>
        <v>83.983864495221582</v>
      </c>
      <c r="N223" s="6" t="s">
        <v>152</v>
      </c>
      <c r="O223" s="6" t="s">
        <v>153</v>
      </c>
      <c r="P223" s="6" t="s">
        <v>153</v>
      </c>
      <c r="Q223" s="9" t="s">
        <v>154</v>
      </c>
      <c r="R223" s="2" t="s">
        <v>36</v>
      </c>
      <c r="S223" s="55">
        <f>T223+U223</f>
        <v>15396417.879999999</v>
      </c>
      <c r="T223" s="234">
        <v>12415869.539999999</v>
      </c>
      <c r="U223" s="234">
        <v>2980548.34</v>
      </c>
      <c r="V223" s="55">
        <f t="shared" ref="V223:V283" si="261">W223+X223</f>
        <v>0</v>
      </c>
      <c r="W223" s="234">
        <v>0</v>
      </c>
      <c r="X223" s="234">
        <v>0</v>
      </c>
      <c r="Y223" s="55">
        <f>Z223+AA223</f>
        <v>2936172.52</v>
      </c>
      <c r="Z223" s="234">
        <v>2191035.59</v>
      </c>
      <c r="AA223" s="234">
        <v>745136.93</v>
      </c>
      <c r="AB223" s="55">
        <f t="shared" si="220"/>
        <v>0</v>
      </c>
      <c r="AC223" s="234"/>
      <c r="AD223" s="234"/>
      <c r="AE223" s="63">
        <f t="shared" si="210"/>
        <v>18332590.399999999</v>
      </c>
      <c r="AF223" s="55">
        <v>0</v>
      </c>
      <c r="AG223" s="55">
        <f t="shared" si="222"/>
        <v>18332590.399999999</v>
      </c>
      <c r="AH223" s="60" t="s">
        <v>1092</v>
      </c>
      <c r="AI223" s="61" t="s">
        <v>1227</v>
      </c>
      <c r="AJ223" s="62">
        <f>9867764.76+844965.23+1504595.55</f>
        <v>12217325.540000001</v>
      </c>
      <c r="AK223" s="67">
        <v>0</v>
      </c>
      <c r="AL223" s="282"/>
    </row>
    <row r="224" spans="1:38" ht="220.5" x14ac:dyDescent="0.25">
      <c r="A224" s="345" t="s">
        <v>1968</v>
      </c>
      <c r="B224" s="271">
        <v>118291</v>
      </c>
      <c r="C224" s="268">
        <v>4</v>
      </c>
      <c r="D224" s="235" t="s">
        <v>169</v>
      </c>
      <c r="E224" s="260" t="s">
        <v>161</v>
      </c>
      <c r="F224" s="439" t="s">
        <v>122</v>
      </c>
      <c r="G224" s="11" t="s">
        <v>43</v>
      </c>
      <c r="H224" s="11" t="s">
        <v>42</v>
      </c>
      <c r="I224" s="235" t="s">
        <v>192</v>
      </c>
      <c r="J224" s="3" t="s">
        <v>44</v>
      </c>
      <c r="K224" s="148">
        <v>42459</v>
      </c>
      <c r="L224" s="15">
        <v>43220</v>
      </c>
      <c r="M224" s="5">
        <f t="shared" si="260"/>
        <v>83.983862772799696</v>
      </c>
      <c r="N224" s="6" t="s">
        <v>152</v>
      </c>
      <c r="O224" s="6" t="s">
        <v>153</v>
      </c>
      <c r="P224" s="6" t="s">
        <v>153</v>
      </c>
      <c r="Q224" s="9" t="s">
        <v>154</v>
      </c>
      <c r="R224" s="2" t="s">
        <v>36</v>
      </c>
      <c r="S224" s="55">
        <f t="shared" ref="S224:S284" si="262">T224+U224</f>
        <v>9512414.3200000003</v>
      </c>
      <c r="T224" s="234">
        <v>7670933.3799999999</v>
      </c>
      <c r="U224" s="234">
        <v>1841480.94</v>
      </c>
      <c r="V224" s="55">
        <f t="shared" si="261"/>
        <v>0</v>
      </c>
      <c r="W224" s="234">
        <v>0</v>
      </c>
      <c r="X224" s="234">
        <v>0</v>
      </c>
      <c r="Y224" s="55">
        <f t="shared" ref="Y224:Y284" si="263">Z224+AA224</f>
        <v>1814064.3699999999</v>
      </c>
      <c r="Z224" s="234">
        <v>1353694.13</v>
      </c>
      <c r="AA224" s="234">
        <v>460370.24</v>
      </c>
      <c r="AB224" s="55">
        <f t="shared" si="220"/>
        <v>0</v>
      </c>
      <c r="AC224" s="234"/>
      <c r="AD224" s="234"/>
      <c r="AE224" s="63">
        <f t="shared" si="210"/>
        <v>11326478.689999999</v>
      </c>
      <c r="AF224" s="55">
        <v>0</v>
      </c>
      <c r="AG224" s="55">
        <f t="shared" si="222"/>
        <v>11326478.689999999</v>
      </c>
      <c r="AH224" s="60" t="s">
        <v>1092</v>
      </c>
      <c r="AI224" s="61" t="s">
        <v>206</v>
      </c>
      <c r="AJ224" s="62">
        <f>8122384.62+520669.77+28017.46</f>
        <v>8671071.8500000015</v>
      </c>
      <c r="AK224" s="67">
        <v>0</v>
      </c>
    </row>
    <row r="225" spans="1:38" ht="189" x14ac:dyDescent="0.25">
      <c r="A225" s="345" t="s">
        <v>1969</v>
      </c>
      <c r="B225" s="271">
        <v>118957</v>
      </c>
      <c r="C225" s="268">
        <v>5</v>
      </c>
      <c r="D225" s="235" t="s">
        <v>168</v>
      </c>
      <c r="E225" s="260" t="s">
        <v>161</v>
      </c>
      <c r="F225" s="439" t="s">
        <v>122</v>
      </c>
      <c r="G225" s="11" t="s">
        <v>46</v>
      </c>
      <c r="H225" s="11" t="s">
        <v>45</v>
      </c>
      <c r="I225" s="235" t="s">
        <v>193</v>
      </c>
      <c r="J225" s="3" t="s">
        <v>47</v>
      </c>
      <c r="K225" s="148">
        <v>42900</v>
      </c>
      <c r="L225" s="15">
        <v>43722</v>
      </c>
      <c r="M225" s="5">
        <f t="shared" si="260"/>
        <v>83.983862721834797</v>
      </c>
      <c r="N225" s="6" t="s">
        <v>152</v>
      </c>
      <c r="O225" s="6" t="s">
        <v>153</v>
      </c>
      <c r="P225" s="6" t="s">
        <v>153</v>
      </c>
      <c r="Q225" s="9" t="s">
        <v>154</v>
      </c>
      <c r="R225" s="2" t="s">
        <v>36</v>
      </c>
      <c r="S225" s="55">
        <f>T225+U225</f>
        <v>4555318.1900000004</v>
      </c>
      <c r="T225" s="234">
        <v>3673467.24</v>
      </c>
      <c r="U225" s="234">
        <v>881850.95</v>
      </c>
      <c r="V225" s="55">
        <f t="shared" si="261"/>
        <v>0</v>
      </c>
      <c r="W225" s="234">
        <v>0</v>
      </c>
      <c r="X225" s="234">
        <v>0</v>
      </c>
      <c r="Y225" s="55">
        <f t="shared" si="263"/>
        <v>868721.67</v>
      </c>
      <c r="Z225" s="234">
        <v>648258.93000000005</v>
      </c>
      <c r="AA225" s="234">
        <v>220462.74</v>
      </c>
      <c r="AB225" s="55">
        <f t="shared" si="220"/>
        <v>0</v>
      </c>
      <c r="AC225" s="234"/>
      <c r="AD225" s="234"/>
      <c r="AE225" s="63">
        <f t="shared" si="210"/>
        <v>5424039.8600000003</v>
      </c>
      <c r="AF225" s="55">
        <v>0</v>
      </c>
      <c r="AG225" s="55">
        <f t="shared" si="222"/>
        <v>5424039.8600000003</v>
      </c>
      <c r="AH225" s="60" t="s">
        <v>607</v>
      </c>
      <c r="AI225" s="74" t="s">
        <v>181</v>
      </c>
      <c r="AJ225" s="62">
        <f>2210161.75+758143.43</f>
        <v>2968305.18</v>
      </c>
      <c r="AK225" s="67">
        <v>0</v>
      </c>
    </row>
    <row r="226" spans="1:38" ht="189" x14ac:dyDescent="0.25">
      <c r="A226" s="345" t="s">
        <v>1970</v>
      </c>
      <c r="B226" s="271">
        <v>118448</v>
      </c>
      <c r="C226" s="268">
        <v>6</v>
      </c>
      <c r="D226" s="235" t="s">
        <v>168</v>
      </c>
      <c r="E226" s="260" t="s">
        <v>161</v>
      </c>
      <c r="F226" s="439" t="s">
        <v>122</v>
      </c>
      <c r="G226" s="11" t="s">
        <v>49</v>
      </c>
      <c r="H226" s="11" t="s">
        <v>48</v>
      </c>
      <c r="I226" s="235" t="s">
        <v>181</v>
      </c>
      <c r="J226" s="3" t="s">
        <v>50</v>
      </c>
      <c r="K226" s="148">
        <v>42458</v>
      </c>
      <c r="L226" s="15">
        <v>43705</v>
      </c>
      <c r="M226" s="5">
        <f t="shared" si="260"/>
        <v>83.983862411375569</v>
      </c>
      <c r="N226" s="6" t="s">
        <v>152</v>
      </c>
      <c r="O226" s="6" t="s">
        <v>153</v>
      </c>
      <c r="P226" s="6" t="s">
        <v>153</v>
      </c>
      <c r="Q226" s="9" t="s">
        <v>154</v>
      </c>
      <c r="R226" s="2" t="s">
        <v>36</v>
      </c>
      <c r="S226" s="55">
        <f t="shared" si="262"/>
        <v>15459786.27</v>
      </c>
      <c r="T226" s="234">
        <v>12466970.77</v>
      </c>
      <c r="U226" s="234">
        <v>2992815.5</v>
      </c>
      <c r="V226" s="55">
        <f t="shared" si="261"/>
        <v>0</v>
      </c>
      <c r="W226" s="234">
        <v>0</v>
      </c>
      <c r="X226" s="234">
        <v>0</v>
      </c>
      <c r="Y226" s="55">
        <f t="shared" si="263"/>
        <v>2948257.6399999997</v>
      </c>
      <c r="Z226" s="234">
        <v>2200053.65</v>
      </c>
      <c r="AA226" s="234">
        <v>748203.99</v>
      </c>
      <c r="AB226" s="55">
        <f t="shared" si="220"/>
        <v>0</v>
      </c>
      <c r="AC226" s="234"/>
      <c r="AD226" s="234"/>
      <c r="AE226" s="63">
        <f t="shared" si="210"/>
        <v>18408043.91</v>
      </c>
      <c r="AF226" s="55">
        <v>0</v>
      </c>
      <c r="AG226" s="55">
        <f t="shared" si="222"/>
        <v>18408043.91</v>
      </c>
      <c r="AH226" s="60" t="s">
        <v>1092</v>
      </c>
      <c r="AI226" s="61" t="s">
        <v>1418</v>
      </c>
      <c r="AJ226" s="62">
        <f>9840778.73+367299.37+1567368.94</f>
        <v>11775447.039999999</v>
      </c>
      <c r="AK226" s="67">
        <v>0</v>
      </c>
      <c r="AL226" s="7"/>
    </row>
    <row r="227" spans="1:38" ht="141.75" x14ac:dyDescent="0.25">
      <c r="A227" s="345" t="s">
        <v>1971</v>
      </c>
      <c r="B227" s="271">
        <v>118575</v>
      </c>
      <c r="C227" s="268">
        <v>7</v>
      </c>
      <c r="D227" s="235" t="s">
        <v>166</v>
      </c>
      <c r="E227" s="260" t="s">
        <v>161</v>
      </c>
      <c r="F227" s="439" t="s">
        <v>122</v>
      </c>
      <c r="G227" s="11" t="s">
        <v>52</v>
      </c>
      <c r="H227" s="11" t="s">
        <v>51</v>
      </c>
      <c r="I227" s="235" t="s">
        <v>181</v>
      </c>
      <c r="J227" s="3" t="s">
        <v>53</v>
      </c>
      <c r="K227" s="148">
        <v>42592</v>
      </c>
      <c r="L227" s="15">
        <v>44114</v>
      </c>
      <c r="M227" s="5">
        <f t="shared" si="260"/>
        <v>83.983862823517285</v>
      </c>
      <c r="N227" s="6" t="s">
        <v>152</v>
      </c>
      <c r="O227" s="6" t="s">
        <v>153</v>
      </c>
      <c r="P227" s="6" t="s">
        <v>153</v>
      </c>
      <c r="Q227" s="9" t="s">
        <v>154</v>
      </c>
      <c r="R227" s="2" t="s">
        <v>36</v>
      </c>
      <c r="S227" s="55">
        <f t="shared" si="262"/>
        <v>8244072.25</v>
      </c>
      <c r="T227" s="234">
        <v>6648126</v>
      </c>
      <c r="U227" s="234">
        <v>1595946.25</v>
      </c>
      <c r="V227" s="55">
        <f t="shared" si="261"/>
        <v>0</v>
      </c>
      <c r="W227" s="234">
        <v>0</v>
      </c>
      <c r="X227" s="234">
        <v>0</v>
      </c>
      <c r="Y227" s="55">
        <f t="shared" si="263"/>
        <v>1572185.27</v>
      </c>
      <c r="Z227" s="234">
        <v>1173198.71</v>
      </c>
      <c r="AA227" s="234">
        <v>398986.56</v>
      </c>
      <c r="AB227" s="55">
        <f t="shared" si="220"/>
        <v>0</v>
      </c>
      <c r="AC227" s="234"/>
      <c r="AD227" s="234"/>
      <c r="AE227" s="63">
        <f t="shared" si="210"/>
        <v>9816257.5199999996</v>
      </c>
      <c r="AF227" s="55">
        <v>0</v>
      </c>
      <c r="AG227" s="55">
        <f t="shared" si="222"/>
        <v>9816257.5199999996</v>
      </c>
      <c r="AH227" s="60" t="s">
        <v>607</v>
      </c>
      <c r="AI227" s="61" t="s">
        <v>1645</v>
      </c>
      <c r="AJ227" s="62">
        <f>2263203.63+133525.16+53186.98</f>
        <v>2449915.77</v>
      </c>
      <c r="AK227" s="67">
        <v>0</v>
      </c>
    </row>
    <row r="228" spans="1:38" ht="252" x14ac:dyDescent="0.25">
      <c r="A228" s="345" t="s">
        <v>1972</v>
      </c>
      <c r="B228" s="271">
        <v>122100</v>
      </c>
      <c r="C228" s="268">
        <v>8</v>
      </c>
      <c r="D228" s="235" t="s">
        <v>171</v>
      </c>
      <c r="E228" s="260" t="s">
        <v>161</v>
      </c>
      <c r="F228" s="439" t="s">
        <v>122</v>
      </c>
      <c r="G228" s="11" t="s">
        <v>55</v>
      </c>
      <c r="H228" s="11" t="s">
        <v>54</v>
      </c>
      <c r="I228" s="235" t="s">
        <v>181</v>
      </c>
      <c r="J228" s="3" t="s">
        <v>56</v>
      </c>
      <c r="K228" s="148">
        <v>42661</v>
      </c>
      <c r="L228" s="15">
        <v>43756</v>
      </c>
      <c r="M228" s="5">
        <f t="shared" si="260"/>
        <v>83.983862943976007</v>
      </c>
      <c r="N228" s="6" t="s">
        <v>152</v>
      </c>
      <c r="O228" s="6" t="s">
        <v>153</v>
      </c>
      <c r="P228" s="6" t="s">
        <v>153</v>
      </c>
      <c r="Q228" s="9" t="s">
        <v>154</v>
      </c>
      <c r="R228" s="2" t="s">
        <v>36</v>
      </c>
      <c r="S228" s="55">
        <f t="shared" si="262"/>
        <v>1681184.87</v>
      </c>
      <c r="T228" s="234">
        <v>1355729.12</v>
      </c>
      <c r="U228" s="234">
        <v>325455.75</v>
      </c>
      <c r="V228" s="55">
        <f t="shared" si="261"/>
        <v>0</v>
      </c>
      <c r="W228" s="234">
        <v>0</v>
      </c>
      <c r="X228" s="234">
        <v>0</v>
      </c>
      <c r="Y228" s="55">
        <f t="shared" si="263"/>
        <v>320610.25</v>
      </c>
      <c r="Z228" s="234">
        <v>239246.31</v>
      </c>
      <c r="AA228" s="234">
        <v>81363.94</v>
      </c>
      <c r="AB228" s="55">
        <f t="shared" si="220"/>
        <v>0</v>
      </c>
      <c r="AC228" s="234"/>
      <c r="AD228" s="234"/>
      <c r="AE228" s="63">
        <f t="shared" si="210"/>
        <v>2001795.12</v>
      </c>
      <c r="AF228" s="55">
        <v>0</v>
      </c>
      <c r="AG228" s="55">
        <f t="shared" si="222"/>
        <v>2001795.12</v>
      </c>
      <c r="AH228" s="60" t="s">
        <v>607</v>
      </c>
      <c r="AI228" s="61" t="s">
        <v>1398</v>
      </c>
      <c r="AJ228" s="62">
        <f>258033.64+369296.57+442660.46</f>
        <v>1069990.67</v>
      </c>
      <c r="AK228" s="67">
        <v>0</v>
      </c>
    </row>
    <row r="229" spans="1:38" ht="173.25" x14ac:dyDescent="0.25">
      <c r="A229" s="345" t="s">
        <v>1973</v>
      </c>
      <c r="B229" s="271">
        <v>120313</v>
      </c>
      <c r="C229" s="268">
        <v>9</v>
      </c>
      <c r="D229" s="235" t="s">
        <v>164</v>
      </c>
      <c r="E229" s="260" t="s">
        <v>161</v>
      </c>
      <c r="F229" s="439" t="s">
        <v>122</v>
      </c>
      <c r="G229" s="11" t="s">
        <v>57</v>
      </c>
      <c r="H229" s="11" t="s">
        <v>351</v>
      </c>
      <c r="I229" s="235" t="s">
        <v>197</v>
      </c>
      <c r="J229" s="3" t="s">
        <v>58</v>
      </c>
      <c r="K229" s="148">
        <v>42538</v>
      </c>
      <c r="L229" s="15">
        <v>43633</v>
      </c>
      <c r="M229" s="5">
        <f t="shared" si="260"/>
        <v>83.983862848864632</v>
      </c>
      <c r="N229" s="6" t="s">
        <v>152</v>
      </c>
      <c r="O229" s="6" t="s">
        <v>153</v>
      </c>
      <c r="P229" s="6" t="s">
        <v>153</v>
      </c>
      <c r="Q229" s="9" t="s">
        <v>154</v>
      </c>
      <c r="R229" s="2" t="s">
        <v>36</v>
      </c>
      <c r="S229" s="55">
        <f>T229+U229</f>
        <v>30189820.119999997</v>
      </c>
      <c r="T229" s="234">
        <v>24345459.629999999</v>
      </c>
      <c r="U229" s="234">
        <v>5844360.4900000002</v>
      </c>
      <c r="V229" s="55">
        <v>1966327.81</v>
      </c>
      <c r="W229" s="234">
        <v>1453132.81</v>
      </c>
      <c r="X229" s="234">
        <v>513195</v>
      </c>
      <c r="Y229" s="55">
        <f t="shared" si="263"/>
        <v>3791019.8899999997</v>
      </c>
      <c r="Z229" s="234">
        <v>2843124.76</v>
      </c>
      <c r="AA229" s="234">
        <v>947895.13</v>
      </c>
      <c r="AB229" s="55">
        <f t="shared" si="220"/>
        <v>0</v>
      </c>
      <c r="AC229" s="234"/>
      <c r="AD229" s="234"/>
      <c r="AE229" s="63">
        <f t="shared" si="210"/>
        <v>35947167.819999993</v>
      </c>
      <c r="AF229" s="55">
        <v>0</v>
      </c>
      <c r="AG229" s="55">
        <f t="shared" si="222"/>
        <v>35947167.819999993</v>
      </c>
      <c r="AH229" s="60" t="s">
        <v>1534</v>
      </c>
      <c r="AI229" s="61" t="s">
        <v>1286</v>
      </c>
      <c r="AJ229" s="62">
        <f>25165624.15-64.26+536667.37+478349.22</f>
        <v>26180576.479999997</v>
      </c>
      <c r="AK229" s="67">
        <f>1447911.57+64.26+197802.03+23692.03</f>
        <v>1669469.8900000001</v>
      </c>
    </row>
    <row r="230" spans="1:38" ht="393.75" x14ac:dyDescent="0.25">
      <c r="A230" s="345" t="s">
        <v>1974</v>
      </c>
      <c r="B230" s="271">
        <v>121644</v>
      </c>
      <c r="C230" s="268">
        <v>10</v>
      </c>
      <c r="D230" s="235" t="s">
        <v>171</v>
      </c>
      <c r="E230" s="260" t="s">
        <v>161</v>
      </c>
      <c r="F230" s="439" t="s">
        <v>122</v>
      </c>
      <c r="G230" s="11" t="s">
        <v>572</v>
      </c>
      <c r="H230" s="11" t="s">
        <v>54</v>
      </c>
      <c r="I230" s="235" t="s">
        <v>181</v>
      </c>
      <c r="J230" s="3" t="s">
        <v>59</v>
      </c>
      <c r="K230" s="148">
        <v>42538</v>
      </c>
      <c r="L230" s="15">
        <v>43298</v>
      </c>
      <c r="M230" s="5">
        <f t="shared" si="260"/>
        <v>83.983862739322618</v>
      </c>
      <c r="N230" s="6" t="s">
        <v>152</v>
      </c>
      <c r="O230" s="6" t="s">
        <v>153</v>
      </c>
      <c r="P230" s="6" t="s">
        <v>153</v>
      </c>
      <c r="Q230" s="9" t="s">
        <v>154</v>
      </c>
      <c r="R230" s="2" t="s">
        <v>36</v>
      </c>
      <c r="S230" s="55">
        <f t="shared" si="262"/>
        <v>2777962.48</v>
      </c>
      <c r="T230" s="234">
        <v>2240184.71</v>
      </c>
      <c r="U230" s="234">
        <v>537777.77</v>
      </c>
      <c r="V230" s="55">
        <f t="shared" si="261"/>
        <v>0</v>
      </c>
      <c r="W230" s="234">
        <v>0</v>
      </c>
      <c r="X230" s="234">
        <v>0</v>
      </c>
      <c r="Y230" s="55">
        <f t="shared" si="263"/>
        <v>529771.16</v>
      </c>
      <c r="Z230" s="234">
        <v>395326.72000000003</v>
      </c>
      <c r="AA230" s="234">
        <v>134444.44</v>
      </c>
      <c r="AB230" s="55">
        <f t="shared" si="220"/>
        <v>0</v>
      </c>
      <c r="AC230" s="234"/>
      <c r="AD230" s="234"/>
      <c r="AE230" s="63">
        <f t="shared" si="210"/>
        <v>3307733.64</v>
      </c>
      <c r="AF230" s="55">
        <v>192499.20000000001</v>
      </c>
      <c r="AG230" s="55">
        <f t="shared" si="222"/>
        <v>3500232.8400000003</v>
      </c>
      <c r="AH230" s="60" t="s">
        <v>1092</v>
      </c>
      <c r="AI230" s="61" t="s">
        <v>259</v>
      </c>
      <c r="AJ230" s="62">
        <v>2635526.38</v>
      </c>
      <c r="AK230" s="67">
        <v>0</v>
      </c>
    </row>
    <row r="231" spans="1:38" ht="315" x14ac:dyDescent="0.25">
      <c r="A231" s="345" t="s">
        <v>1975</v>
      </c>
      <c r="B231" s="271">
        <v>118305</v>
      </c>
      <c r="C231" s="268">
        <v>11</v>
      </c>
      <c r="D231" s="235" t="s">
        <v>164</v>
      </c>
      <c r="E231" s="260" t="s">
        <v>161</v>
      </c>
      <c r="F231" s="439" t="s">
        <v>122</v>
      </c>
      <c r="G231" s="11" t="s">
        <v>61</v>
      </c>
      <c r="H231" s="11" t="s">
        <v>60</v>
      </c>
      <c r="I231" s="235" t="s">
        <v>197</v>
      </c>
      <c r="J231" s="3" t="s">
        <v>62</v>
      </c>
      <c r="K231" s="148">
        <v>42467</v>
      </c>
      <c r="L231" s="15">
        <v>43561</v>
      </c>
      <c r="M231" s="5">
        <f t="shared" si="260"/>
        <v>83.98386392846011</v>
      </c>
      <c r="N231" s="6" t="s">
        <v>152</v>
      </c>
      <c r="O231" s="6" t="s">
        <v>153</v>
      </c>
      <c r="P231" s="6" t="s">
        <v>153</v>
      </c>
      <c r="Q231" s="9" t="s">
        <v>154</v>
      </c>
      <c r="R231" s="2" t="s">
        <v>36</v>
      </c>
      <c r="S231" s="55">
        <f t="shared" si="262"/>
        <v>13566063.25</v>
      </c>
      <c r="T231" s="234">
        <v>10939848.08</v>
      </c>
      <c r="U231" s="234">
        <v>2626215.17</v>
      </c>
      <c r="V231" s="55">
        <f t="shared" si="261"/>
        <v>0</v>
      </c>
      <c r="W231" s="234">
        <v>0</v>
      </c>
      <c r="X231" s="234">
        <v>0</v>
      </c>
      <c r="Y231" s="55">
        <f t="shared" si="263"/>
        <v>2587115.0099999998</v>
      </c>
      <c r="Z231" s="234">
        <v>1930561.24</v>
      </c>
      <c r="AA231" s="234">
        <v>656553.77</v>
      </c>
      <c r="AB231" s="55">
        <f t="shared" ref="AB231:AB283" si="264">AC231+AD231</f>
        <v>0</v>
      </c>
      <c r="AC231" s="234">
        <v>0</v>
      </c>
      <c r="AD231" s="234">
        <v>0</v>
      </c>
      <c r="AE231" s="63">
        <f t="shared" si="210"/>
        <v>16153178.26</v>
      </c>
      <c r="AF231" s="55">
        <v>0</v>
      </c>
      <c r="AG231" s="55">
        <f t="shared" si="222"/>
        <v>16153178.26</v>
      </c>
      <c r="AH231" s="60" t="s">
        <v>1092</v>
      </c>
      <c r="AI231" s="61" t="s">
        <v>1123</v>
      </c>
      <c r="AJ231" s="62">
        <f>10642106.1+921431.45+112475.1+751485.06</f>
        <v>12427497.709999999</v>
      </c>
      <c r="AK231" s="67">
        <v>0</v>
      </c>
    </row>
    <row r="232" spans="1:38" ht="173.25" x14ac:dyDescent="0.25">
      <c r="A232" s="345" t="s">
        <v>1976</v>
      </c>
      <c r="B232" s="271">
        <v>118349</v>
      </c>
      <c r="C232" s="268">
        <v>13</v>
      </c>
      <c r="D232" s="235" t="s">
        <v>169</v>
      </c>
      <c r="E232" s="260" t="s">
        <v>161</v>
      </c>
      <c r="F232" s="439" t="s">
        <v>122</v>
      </c>
      <c r="G232" s="11" t="s">
        <v>64</v>
      </c>
      <c r="H232" s="11" t="s">
        <v>63</v>
      </c>
      <c r="I232" s="235" t="s">
        <v>193</v>
      </c>
      <c r="J232" s="3" t="s">
        <v>65</v>
      </c>
      <c r="K232" s="148">
        <v>42663</v>
      </c>
      <c r="L232" s="15">
        <v>43758</v>
      </c>
      <c r="M232" s="5">
        <f t="shared" si="260"/>
        <v>83.983862845432327</v>
      </c>
      <c r="N232" s="6" t="s">
        <v>152</v>
      </c>
      <c r="O232" s="6" t="s">
        <v>153</v>
      </c>
      <c r="P232" s="6" t="s">
        <v>153</v>
      </c>
      <c r="Q232" s="9" t="s">
        <v>154</v>
      </c>
      <c r="R232" s="2" t="s">
        <v>36</v>
      </c>
      <c r="S232" s="55">
        <f t="shared" si="262"/>
        <v>9782795.4699999988</v>
      </c>
      <c r="T232" s="234">
        <v>7888972.2199999997</v>
      </c>
      <c r="U232" s="234">
        <v>1893823.25</v>
      </c>
      <c r="V232" s="55">
        <f t="shared" si="261"/>
        <v>0</v>
      </c>
      <c r="W232" s="234">
        <v>0</v>
      </c>
      <c r="X232" s="234">
        <v>0</v>
      </c>
      <c r="Y232" s="55">
        <f t="shared" si="263"/>
        <v>1865627.3800000001</v>
      </c>
      <c r="Z232" s="234">
        <v>1392171.57</v>
      </c>
      <c r="AA232" s="234">
        <v>473455.81</v>
      </c>
      <c r="AB232" s="55">
        <f t="shared" si="264"/>
        <v>0</v>
      </c>
      <c r="AC232" s="234"/>
      <c r="AD232" s="234"/>
      <c r="AE232" s="63">
        <f t="shared" si="210"/>
        <v>11648422.85</v>
      </c>
      <c r="AF232" s="55">
        <v>0</v>
      </c>
      <c r="AG232" s="55">
        <f t="shared" si="222"/>
        <v>11648422.85</v>
      </c>
      <c r="AH232" s="60" t="s">
        <v>607</v>
      </c>
      <c r="AI232" s="61" t="s">
        <v>185</v>
      </c>
      <c r="AJ232" s="62">
        <f>1581295.57+590628.38+390172.91+877395.14</f>
        <v>3439492.0000000005</v>
      </c>
      <c r="AK232" s="67">
        <v>0</v>
      </c>
    </row>
    <row r="233" spans="1:38" ht="141.75" x14ac:dyDescent="0.25">
      <c r="A233" s="345" t="s">
        <v>1977</v>
      </c>
      <c r="B233" s="271">
        <v>118894</v>
      </c>
      <c r="C233" s="268">
        <v>15</v>
      </c>
      <c r="D233" s="235" t="s">
        <v>166</v>
      </c>
      <c r="E233" s="260" t="s">
        <v>161</v>
      </c>
      <c r="F233" s="439" t="s">
        <v>122</v>
      </c>
      <c r="G233" s="11" t="s">
        <v>67</v>
      </c>
      <c r="H233" s="11" t="s">
        <v>66</v>
      </c>
      <c r="I233" s="235" t="s">
        <v>181</v>
      </c>
      <c r="J233" s="3" t="s">
        <v>68</v>
      </c>
      <c r="K233" s="148">
        <v>42717</v>
      </c>
      <c r="L233" s="15">
        <v>43995</v>
      </c>
      <c r="M233" s="5">
        <f t="shared" si="260"/>
        <v>83.983863051796376</v>
      </c>
      <c r="N233" s="6" t="s">
        <v>152</v>
      </c>
      <c r="O233" s="6" t="s">
        <v>153</v>
      </c>
      <c r="P233" s="6" t="s">
        <v>153</v>
      </c>
      <c r="Q233" s="9" t="s">
        <v>154</v>
      </c>
      <c r="R233" s="2" t="s">
        <v>36</v>
      </c>
      <c r="S233" s="55">
        <f t="shared" si="262"/>
        <v>2106832.29</v>
      </c>
      <c r="T233" s="234">
        <v>1698976.68</v>
      </c>
      <c r="U233" s="234">
        <v>407855.61</v>
      </c>
      <c r="V233" s="55">
        <f t="shared" si="261"/>
        <v>0</v>
      </c>
      <c r="W233" s="234">
        <v>0</v>
      </c>
      <c r="X233" s="234">
        <v>0</v>
      </c>
      <c r="Y233" s="55">
        <f t="shared" si="263"/>
        <v>401783.30999999994</v>
      </c>
      <c r="Z233" s="234">
        <v>299819.40999999997</v>
      </c>
      <c r="AA233" s="234">
        <v>101963.9</v>
      </c>
      <c r="AB233" s="55">
        <f t="shared" si="264"/>
        <v>0</v>
      </c>
      <c r="AC233" s="234"/>
      <c r="AD233" s="234"/>
      <c r="AE233" s="63">
        <f t="shared" si="210"/>
        <v>2508615.6</v>
      </c>
      <c r="AF233" s="55">
        <v>154711.20000000001</v>
      </c>
      <c r="AG233" s="55">
        <f t="shared" si="222"/>
        <v>2663326.8000000003</v>
      </c>
      <c r="AH233" s="60" t="s">
        <v>607</v>
      </c>
      <c r="AI233" s="61" t="s">
        <v>1635</v>
      </c>
      <c r="AJ233" s="62">
        <v>100211.1</v>
      </c>
      <c r="AK233" s="67">
        <v>0</v>
      </c>
    </row>
    <row r="234" spans="1:38" ht="252" x14ac:dyDescent="0.25">
      <c r="A234" s="345" t="s">
        <v>1978</v>
      </c>
      <c r="B234" s="271">
        <v>117846</v>
      </c>
      <c r="C234" s="268">
        <v>16</v>
      </c>
      <c r="D234" s="239" t="s">
        <v>168</v>
      </c>
      <c r="E234" s="260" t="s">
        <v>161</v>
      </c>
      <c r="F234" s="439" t="s">
        <v>122</v>
      </c>
      <c r="G234" s="11" t="s">
        <v>123</v>
      </c>
      <c r="H234" s="11" t="s">
        <v>121</v>
      </c>
      <c r="I234" s="235" t="s">
        <v>199</v>
      </c>
      <c r="J234" s="3" t="s">
        <v>124</v>
      </c>
      <c r="K234" s="148">
        <v>42884</v>
      </c>
      <c r="L234" s="15">
        <v>44164</v>
      </c>
      <c r="M234" s="5">
        <f t="shared" si="260"/>
        <v>83.983862529665245</v>
      </c>
      <c r="N234" s="6" t="s">
        <v>152</v>
      </c>
      <c r="O234" s="6" t="s">
        <v>153</v>
      </c>
      <c r="P234" s="6" t="s">
        <v>153</v>
      </c>
      <c r="Q234" s="9" t="s">
        <v>154</v>
      </c>
      <c r="R234" s="2" t="s">
        <v>36</v>
      </c>
      <c r="S234" s="55">
        <f t="shared" si="262"/>
        <v>13496987.959999999</v>
      </c>
      <c r="T234" s="234">
        <v>10884144.869999999</v>
      </c>
      <c r="U234" s="234">
        <v>2612843.09</v>
      </c>
      <c r="V234" s="55">
        <f t="shared" si="261"/>
        <v>0</v>
      </c>
      <c r="W234" s="234">
        <v>0</v>
      </c>
      <c r="X234" s="234">
        <v>0</v>
      </c>
      <c r="Y234" s="55">
        <f t="shared" si="263"/>
        <v>2573942.2800000003</v>
      </c>
      <c r="Z234" s="234">
        <v>1920731.49</v>
      </c>
      <c r="AA234" s="234">
        <v>653210.79</v>
      </c>
      <c r="AB234" s="55">
        <f t="shared" si="264"/>
        <v>0</v>
      </c>
      <c r="AC234" s="234"/>
      <c r="AD234" s="234"/>
      <c r="AE234" s="63">
        <f t="shared" si="210"/>
        <v>16070930.239999998</v>
      </c>
      <c r="AF234" s="55">
        <v>0</v>
      </c>
      <c r="AG234" s="55">
        <f t="shared" si="222"/>
        <v>16070930.239999998</v>
      </c>
      <c r="AH234" s="60" t="s">
        <v>607</v>
      </c>
      <c r="AI234" s="74" t="s">
        <v>1718</v>
      </c>
      <c r="AJ234" s="62">
        <f>2532656.95+321652.69+380360.36+375710.43</f>
        <v>3610380.43</v>
      </c>
      <c r="AK234" s="67">
        <v>0</v>
      </c>
    </row>
    <row r="235" spans="1:38" ht="189" x14ac:dyDescent="0.25">
      <c r="A235" s="345" t="s">
        <v>1979</v>
      </c>
      <c r="B235" s="271">
        <v>117841</v>
      </c>
      <c r="C235" s="268">
        <v>17</v>
      </c>
      <c r="D235" s="235" t="s">
        <v>864</v>
      </c>
      <c r="E235" s="260" t="s">
        <v>161</v>
      </c>
      <c r="F235" s="439" t="s">
        <v>122</v>
      </c>
      <c r="G235" s="11" t="s">
        <v>70</v>
      </c>
      <c r="H235" s="11" t="s">
        <v>69</v>
      </c>
      <c r="I235" s="235" t="s">
        <v>181</v>
      </c>
      <c r="J235" s="3" t="s">
        <v>697</v>
      </c>
      <c r="K235" s="148">
        <v>42482</v>
      </c>
      <c r="L235" s="15">
        <v>43760</v>
      </c>
      <c r="M235" s="5">
        <f t="shared" si="260"/>
        <v>83.983862907570995</v>
      </c>
      <c r="N235" s="6" t="s">
        <v>152</v>
      </c>
      <c r="O235" s="6" t="s">
        <v>153</v>
      </c>
      <c r="P235" s="6" t="s">
        <v>153</v>
      </c>
      <c r="Q235" s="9" t="s">
        <v>154</v>
      </c>
      <c r="R235" s="2" t="s">
        <v>36</v>
      </c>
      <c r="S235" s="55">
        <f t="shared" si="262"/>
        <v>9778588.4399999995</v>
      </c>
      <c r="T235" s="234">
        <v>7885579.6299999999</v>
      </c>
      <c r="U235" s="234">
        <v>1893008.81</v>
      </c>
      <c r="V235" s="55">
        <f t="shared" si="261"/>
        <v>0</v>
      </c>
      <c r="W235" s="234">
        <v>0</v>
      </c>
      <c r="X235" s="234">
        <v>0</v>
      </c>
      <c r="Y235" s="55">
        <f t="shared" si="263"/>
        <v>1864825.07</v>
      </c>
      <c r="Z235" s="234">
        <v>1391572.85</v>
      </c>
      <c r="AA235" s="234">
        <v>473252.22</v>
      </c>
      <c r="AB235" s="55">
        <f t="shared" si="264"/>
        <v>0</v>
      </c>
      <c r="AC235" s="234"/>
      <c r="AD235" s="234"/>
      <c r="AE235" s="63">
        <f t="shared" ref="AE235:AE296" si="265">S235+V235+Y235+AB235</f>
        <v>11643413.51</v>
      </c>
      <c r="AF235" s="55">
        <v>0</v>
      </c>
      <c r="AG235" s="55">
        <f t="shared" si="222"/>
        <v>11643413.51</v>
      </c>
      <c r="AH235" s="60" t="s">
        <v>607</v>
      </c>
      <c r="AI235" s="61" t="s">
        <v>696</v>
      </c>
      <c r="AJ235" s="62">
        <f>4914766.64+991433.5</f>
        <v>5906200.1399999997</v>
      </c>
      <c r="AK235" s="67">
        <v>0</v>
      </c>
    </row>
    <row r="236" spans="1:38" ht="173.25" x14ac:dyDescent="0.25">
      <c r="A236" s="345" t="s">
        <v>1980</v>
      </c>
      <c r="B236" s="271">
        <v>119195</v>
      </c>
      <c r="C236" s="268">
        <v>18</v>
      </c>
      <c r="D236" s="235" t="s">
        <v>166</v>
      </c>
      <c r="E236" s="260" t="s">
        <v>161</v>
      </c>
      <c r="F236" s="439" t="s">
        <v>122</v>
      </c>
      <c r="G236" s="11" t="s">
        <v>72</v>
      </c>
      <c r="H236" s="11" t="s">
        <v>71</v>
      </c>
      <c r="I236" s="235" t="s">
        <v>181</v>
      </c>
      <c r="J236" s="3" t="s">
        <v>73</v>
      </c>
      <c r="K236" s="148">
        <v>42464</v>
      </c>
      <c r="L236" s="15">
        <v>43528</v>
      </c>
      <c r="M236" s="5">
        <f t="shared" si="260"/>
        <v>83.983863126060598</v>
      </c>
      <c r="N236" s="6" t="s">
        <v>152</v>
      </c>
      <c r="O236" s="6" t="s">
        <v>153</v>
      </c>
      <c r="P236" s="6" t="s">
        <v>153</v>
      </c>
      <c r="Q236" s="9" t="s">
        <v>154</v>
      </c>
      <c r="R236" s="2" t="s">
        <v>36</v>
      </c>
      <c r="S236" s="55">
        <f t="shared" si="262"/>
        <v>3168878.46</v>
      </c>
      <c r="T236" s="234">
        <v>2555424.39</v>
      </c>
      <c r="U236" s="234">
        <v>613454.06999999995</v>
      </c>
      <c r="V236" s="55">
        <f t="shared" si="261"/>
        <v>0</v>
      </c>
      <c r="W236" s="234">
        <v>0</v>
      </c>
      <c r="X236" s="234">
        <v>0</v>
      </c>
      <c r="Y236" s="55">
        <f t="shared" si="263"/>
        <v>604320.75</v>
      </c>
      <c r="Z236" s="234">
        <v>450957.23</v>
      </c>
      <c r="AA236" s="234">
        <v>153363.51999999999</v>
      </c>
      <c r="AB236" s="55">
        <f t="shared" si="264"/>
        <v>0</v>
      </c>
      <c r="AC236" s="234">
        <v>0</v>
      </c>
      <c r="AD236" s="234">
        <v>0</v>
      </c>
      <c r="AE236" s="63">
        <f t="shared" si="265"/>
        <v>3773199.21</v>
      </c>
      <c r="AF236" s="55">
        <v>0</v>
      </c>
      <c r="AG236" s="55">
        <f t="shared" si="222"/>
        <v>3773199.21</v>
      </c>
      <c r="AH236" s="60" t="s">
        <v>1092</v>
      </c>
      <c r="AI236" s="61" t="s">
        <v>1636</v>
      </c>
      <c r="AJ236" s="62">
        <f>452513.95+76690.71+72953.42+173284.84+106262.26+2063431.1</f>
        <v>2945136.2800000003</v>
      </c>
      <c r="AK236" s="67">
        <v>0</v>
      </c>
    </row>
    <row r="237" spans="1:38" ht="204.75" x14ac:dyDescent="0.25">
      <c r="A237" s="345" t="s">
        <v>1981</v>
      </c>
      <c r="B237" s="271">
        <v>118157</v>
      </c>
      <c r="C237" s="268">
        <v>19</v>
      </c>
      <c r="D237" s="235" t="s">
        <v>164</v>
      </c>
      <c r="E237" s="260" t="s">
        <v>161</v>
      </c>
      <c r="F237" s="439" t="s">
        <v>122</v>
      </c>
      <c r="G237" s="11" t="s">
        <v>75</v>
      </c>
      <c r="H237" s="11" t="s">
        <v>74</v>
      </c>
      <c r="I237" s="235" t="s">
        <v>181</v>
      </c>
      <c r="J237" s="3" t="s">
        <v>76</v>
      </c>
      <c r="K237" s="148">
        <v>42446</v>
      </c>
      <c r="L237" s="15">
        <v>43541</v>
      </c>
      <c r="M237" s="5">
        <f t="shared" si="260"/>
        <v>83.983862865891041</v>
      </c>
      <c r="N237" s="6" t="s">
        <v>152</v>
      </c>
      <c r="O237" s="6" t="s">
        <v>153</v>
      </c>
      <c r="P237" s="6" t="s">
        <v>153</v>
      </c>
      <c r="Q237" s="9" t="s">
        <v>154</v>
      </c>
      <c r="R237" s="2" t="s">
        <v>36</v>
      </c>
      <c r="S237" s="55">
        <f t="shared" si="262"/>
        <v>3627735.48</v>
      </c>
      <c r="T237" s="234">
        <v>2925452.6</v>
      </c>
      <c r="U237" s="234">
        <v>702282.88</v>
      </c>
      <c r="V237" s="55">
        <f t="shared" si="261"/>
        <v>0</v>
      </c>
      <c r="W237" s="234">
        <v>0</v>
      </c>
      <c r="X237" s="234">
        <v>0</v>
      </c>
      <c r="Y237" s="55">
        <f t="shared" si="263"/>
        <v>691827.06</v>
      </c>
      <c r="Z237" s="234">
        <v>516256.34</v>
      </c>
      <c r="AA237" s="234">
        <v>175570.72</v>
      </c>
      <c r="AB237" s="55">
        <f t="shared" si="264"/>
        <v>0</v>
      </c>
      <c r="AC237" s="234"/>
      <c r="AD237" s="234"/>
      <c r="AE237" s="63">
        <f t="shared" si="265"/>
        <v>4319562.54</v>
      </c>
      <c r="AF237" s="55">
        <v>0</v>
      </c>
      <c r="AG237" s="55">
        <f t="shared" si="222"/>
        <v>4319562.54</v>
      </c>
      <c r="AH237" s="60" t="s">
        <v>1092</v>
      </c>
      <c r="AI237" s="61" t="s">
        <v>736</v>
      </c>
      <c r="AJ237" s="62">
        <f>637411.23+1578883.35</f>
        <v>2216294.58</v>
      </c>
      <c r="AK237" s="67">
        <v>0</v>
      </c>
    </row>
    <row r="238" spans="1:38" ht="141.75" x14ac:dyDescent="0.25">
      <c r="A238" s="345" t="s">
        <v>1982</v>
      </c>
      <c r="B238" s="271">
        <v>119196</v>
      </c>
      <c r="C238" s="268">
        <v>20</v>
      </c>
      <c r="D238" s="235" t="s">
        <v>166</v>
      </c>
      <c r="E238" s="260" t="s">
        <v>161</v>
      </c>
      <c r="F238" s="439" t="s">
        <v>122</v>
      </c>
      <c r="G238" s="11" t="s">
        <v>77</v>
      </c>
      <c r="H238" s="11" t="s">
        <v>71</v>
      </c>
      <c r="I238" s="235" t="s">
        <v>201</v>
      </c>
      <c r="J238" s="3" t="s">
        <v>78</v>
      </c>
      <c r="K238" s="148">
        <v>42464</v>
      </c>
      <c r="L238" s="15">
        <v>43925</v>
      </c>
      <c r="M238" s="5">
        <f t="shared" si="260"/>
        <v>83.983863025248297</v>
      </c>
      <c r="N238" s="6" t="s">
        <v>152</v>
      </c>
      <c r="O238" s="6" t="s">
        <v>153</v>
      </c>
      <c r="P238" s="6" t="s">
        <v>153</v>
      </c>
      <c r="Q238" s="9" t="s">
        <v>154</v>
      </c>
      <c r="R238" s="2" t="s">
        <v>36</v>
      </c>
      <c r="S238" s="55">
        <f t="shared" si="262"/>
        <v>14990338.920000002</v>
      </c>
      <c r="T238" s="234">
        <v>12088402.300000001</v>
      </c>
      <c r="U238" s="234">
        <v>2901936.62</v>
      </c>
      <c r="V238" s="55">
        <f t="shared" si="261"/>
        <v>0</v>
      </c>
      <c r="W238" s="234">
        <v>0</v>
      </c>
      <c r="X238" s="234">
        <v>0</v>
      </c>
      <c r="Y238" s="55">
        <f t="shared" si="263"/>
        <v>2858731.58</v>
      </c>
      <c r="Z238" s="234">
        <v>2133247.4300000002</v>
      </c>
      <c r="AA238" s="234">
        <v>725484.15</v>
      </c>
      <c r="AB238" s="55">
        <f t="shared" si="264"/>
        <v>0</v>
      </c>
      <c r="AC238" s="234"/>
      <c r="AD238" s="234"/>
      <c r="AE238" s="63">
        <f t="shared" si="265"/>
        <v>17849070.5</v>
      </c>
      <c r="AF238" s="55">
        <v>0</v>
      </c>
      <c r="AG238" s="55">
        <f t="shared" si="222"/>
        <v>17849070.5</v>
      </c>
      <c r="AH238" s="60" t="s">
        <v>607</v>
      </c>
      <c r="AI238" s="61" t="s">
        <v>1634</v>
      </c>
      <c r="AJ238" s="62">
        <f>770912.58+137660.46+105577.25+147498.87+3615037.95</f>
        <v>4776687.1100000003</v>
      </c>
      <c r="AK238" s="67">
        <v>0</v>
      </c>
    </row>
    <row r="239" spans="1:38" ht="409.5" x14ac:dyDescent="0.25">
      <c r="A239" s="345" t="s">
        <v>1983</v>
      </c>
      <c r="B239" s="271">
        <v>118158</v>
      </c>
      <c r="C239" s="268">
        <v>21</v>
      </c>
      <c r="D239" s="235" t="s">
        <v>164</v>
      </c>
      <c r="E239" s="260" t="s">
        <v>161</v>
      </c>
      <c r="F239" s="439" t="s">
        <v>122</v>
      </c>
      <c r="G239" s="11" t="s">
        <v>79</v>
      </c>
      <c r="H239" s="11" t="s">
        <v>74</v>
      </c>
      <c r="I239" s="235" t="s">
        <v>459</v>
      </c>
      <c r="J239" s="3" t="s">
        <v>80</v>
      </c>
      <c r="K239" s="148">
        <v>42516</v>
      </c>
      <c r="L239" s="15">
        <v>43703</v>
      </c>
      <c r="M239" s="5">
        <f t="shared" si="260"/>
        <v>83.983862895923082</v>
      </c>
      <c r="N239" s="6" t="s">
        <v>152</v>
      </c>
      <c r="O239" s="6" t="s">
        <v>153</v>
      </c>
      <c r="P239" s="6" t="s">
        <v>153</v>
      </c>
      <c r="Q239" s="9" t="s">
        <v>154</v>
      </c>
      <c r="R239" s="2" t="s">
        <v>36</v>
      </c>
      <c r="S239" s="55">
        <f t="shared" si="262"/>
        <v>11413787.699999999</v>
      </c>
      <c r="T239" s="234">
        <v>9204225.3699999992</v>
      </c>
      <c r="U239" s="234">
        <v>2209562.33</v>
      </c>
      <c r="V239" s="55">
        <f t="shared" si="261"/>
        <v>0</v>
      </c>
      <c r="W239" s="234">
        <v>0</v>
      </c>
      <c r="X239" s="234">
        <v>0</v>
      </c>
      <c r="Y239" s="55">
        <f t="shared" si="263"/>
        <v>2176665.64</v>
      </c>
      <c r="Z239" s="234">
        <v>1624275.04</v>
      </c>
      <c r="AA239" s="234">
        <v>552390.6</v>
      </c>
      <c r="AB239" s="55">
        <f t="shared" si="264"/>
        <v>0</v>
      </c>
      <c r="AC239" s="234"/>
      <c r="AD239" s="234"/>
      <c r="AE239" s="63">
        <f t="shared" si="265"/>
        <v>13590453.34</v>
      </c>
      <c r="AF239" s="55">
        <v>16355.96</v>
      </c>
      <c r="AG239" s="55">
        <f t="shared" si="222"/>
        <v>13606809.300000001</v>
      </c>
      <c r="AH239" s="60" t="s">
        <v>1092</v>
      </c>
      <c r="AI239" s="61" t="s">
        <v>1399</v>
      </c>
      <c r="AJ239" s="62">
        <f>7504368.77+277081.02</f>
        <v>7781449.7899999991</v>
      </c>
      <c r="AK239" s="67">
        <v>0</v>
      </c>
      <c r="AL239" s="7"/>
    </row>
    <row r="240" spans="1:38" ht="220.5" x14ac:dyDescent="0.25">
      <c r="A240" s="345" t="s">
        <v>1984</v>
      </c>
      <c r="B240" s="271">
        <v>118159</v>
      </c>
      <c r="C240" s="268">
        <v>22</v>
      </c>
      <c r="D240" s="235" t="s">
        <v>172</v>
      </c>
      <c r="E240" s="260" t="s">
        <v>161</v>
      </c>
      <c r="F240" s="439" t="s">
        <v>122</v>
      </c>
      <c r="G240" s="11" t="s">
        <v>81</v>
      </c>
      <c r="H240" s="11" t="s">
        <v>74</v>
      </c>
      <c r="I240" s="235" t="s">
        <v>189</v>
      </c>
      <c r="J240" s="3" t="s">
        <v>82</v>
      </c>
      <c r="K240" s="148">
        <v>42446</v>
      </c>
      <c r="L240" s="15">
        <v>43176</v>
      </c>
      <c r="M240" s="5">
        <f t="shared" si="260"/>
        <v>83.983862881462997</v>
      </c>
      <c r="N240" s="6" t="s">
        <v>152</v>
      </c>
      <c r="O240" s="6" t="s">
        <v>153</v>
      </c>
      <c r="P240" s="6" t="s">
        <v>153</v>
      </c>
      <c r="Q240" s="9" t="s">
        <v>154</v>
      </c>
      <c r="R240" s="2" t="s">
        <v>36</v>
      </c>
      <c r="S240" s="55">
        <f t="shared" si="262"/>
        <v>13490539.449999999</v>
      </c>
      <c r="T240" s="234">
        <v>10878944.699999999</v>
      </c>
      <c r="U240" s="234">
        <v>2611594.75</v>
      </c>
      <c r="V240" s="55">
        <f t="shared" si="261"/>
        <v>0</v>
      </c>
      <c r="W240" s="234">
        <v>0</v>
      </c>
      <c r="X240" s="234">
        <v>0</v>
      </c>
      <c r="Y240" s="55">
        <f t="shared" si="263"/>
        <v>2572712.4500000002</v>
      </c>
      <c r="Z240" s="234">
        <v>1919813.76</v>
      </c>
      <c r="AA240" s="234">
        <v>652898.68999999994</v>
      </c>
      <c r="AB240" s="55">
        <f t="shared" si="264"/>
        <v>0</v>
      </c>
      <c r="AC240" s="234"/>
      <c r="AD240" s="234"/>
      <c r="AE240" s="63">
        <f t="shared" si="265"/>
        <v>16063251.899999999</v>
      </c>
      <c r="AF240" s="55">
        <v>0</v>
      </c>
      <c r="AG240" s="55">
        <f t="shared" si="222"/>
        <v>16063251.899999999</v>
      </c>
      <c r="AH240" s="60" t="s">
        <v>1092</v>
      </c>
      <c r="AI240" s="61" t="s">
        <v>205</v>
      </c>
      <c r="AJ240" s="62">
        <v>12372517.5</v>
      </c>
      <c r="AK240" s="67">
        <v>0</v>
      </c>
    </row>
    <row r="241" spans="1:37" ht="283.5" x14ac:dyDescent="0.25">
      <c r="A241" s="345" t="s">
        <v>1985</v>
      </c>
      <c r="B241" s="271">
        <v>118427</v>
      </c>
      <c r="C241" s="268">
        <v>23</v>
      </c>
      <c r="D241" s="235" t="s">
        <v>167</v>
      </c>
      <c r="E241" s="260" t="s">
        <v>161</v>
      </c>
      <c r="F241" s="439" t="s">
        <v>122</v>
      </c>
      <c r="G241" s="11" t="s">
        <v>84</v>
      </c>
      <c r="H241" s="11" t="s">
        <v>83</v>
      </c>
      <c r="I241" s="235" t="s">
        <v>181</v>
      </c>
      <c r="J241" s="3" t="s">
        <v>85</v>
      </c>
      <c r="K241" s="148">
        <v>42459</v>
      </c>
      <c r="L241" s="15">
        <v>43524</v>
      </c>
      <c r="M241" s="5">
        <f t="shared" si="260"/>
        <v>83.983862468884851</v>
      </c>
      <c r="N241" s="6" t="s">
        <v>152</v>
      </c>
      <c r="O241" s="6" t="s">
        <v>153</v>
      </c>
      <c r="P241" s="6" t="s">
        <v>153</v>
      </c>
      <c r="Q241" s="9" t="s">
        <v>154</v>
      </c>
      <c r="R241" s="2" t="s">
        <v>36</v>
      </c>
      <c r="S241" s="55">
        <f>T241+U241</f>
        <v>6252507.0099999998</v>
      </c>
      <c r="T241" s="234">
        <v>5042102.18</v>
      </c>
      <c r="U241" s="234">
        <v>1210404.83</v>
      </c>
      <c r="V241" s="55">
        <f t="shared" si="261"/>
        <v>0</v>
      </c>
      <c r="W241" s="234">
        <v>0</v>
      </c>
      <c r="X241" s="234">
        <v>0</v>
      </c>
      <c r="Y241" s="55">
        <f t="shared" si="263"/>
        <v>1192383.98</v>
      </c>
      <c r="Z241" s="234">
        <v>889782.73</v>
      </c>
      <c r="AA241" s="234">
        <v>302601.25</v>
      </c>
      <c r="AB241" s="55">
        <f t="shared" si="264"/>
        <v>0</v>
      </c>
      <c r="AC241" s="234"/>
      <c r="AD241" s="234"/>
      <c r="AE241" s="63">
        <f t="shared" si="265"/>
        <v>7444890.9900000002</v>
      </c>
      <c r="AF241" s="55">
        <v>0</v>
      </c>
      <c r="AG241" s="55">
        <f t="shared" si="222"/>
        <v>7444890.9900000002</v>
      </c>
      <c r="AH241" s="60" t="s">
        <v>1092</v>
      </c>
      <c r="AI241" s="75" t="s">
        <v>1262</v>
      </c>
      <c r="AJ241" s="62">
        <f>2818184.2+870614.52+48419.22+1678613.18+827861.4</f>
        <v>6243692.5200000005</v>
      </c>
      <c r="AK241" s="67">
        <v>0</v>
      </c>
    </row>
    <row r="242" spans="1:37" ht="173.25" x14ac:dyDescent="0.25">
      <c r="A242" s="345" t="s">
        <v>1986</v>
      </c>
      <c r="B242" s="271">
        <v>118584</v>
      </c>
      <c r="C242" s="268">
        <v>24</v>
      </c>
      <c r="D242" s="235" t="s">
        <v>1093</v>
      </c>
      <c r="E242" s="260" t="s">
        <v>161</v>
      </c>
      <c r="F242" s="439" t="s">
        <v>122</v>
      </c>
      <c r="G242" s="11" t="s">
        <v>87</v>
      </c>
      <c r="H242" s="11" t="s">
        <v>86</v>
      </c>
      <c r="I242" s="235" t="s">
        <v>181</v>
      </c>
      <c r="J242" s="3" t="s">
        <v>88</v>
      </c>
      <c r="K242" s="148">
        <v>42454</v>
      </c>
      <c r="L242" s="15">
        <v>43610</v>
      </c>
      <c r="M242" s="5">
        <f t="shared" si="260"/>
        <v>83.983862869823341</v>
      </c>
      <c r="N242" s="6" t="s">
        <v>152</v>
      </c>
      <c r="O242" s="6" t="s">
        <v>153</v>
      </c>
      <c r="P242" s="6" t="s">
        <v>153</v>
      </c>
      <c r="Q242" s="9" t="s">
        <v>154</v>
      </c>
      <c r="R242" s="2" t="s">
        <v>36</v>
      </c>
      <c r="S242" s="55">
        <f t="shared" si="262"/>
        <v>2984368.02</v>
      </c>
      <c r="T242" s="234">
        <v>2406632.79</v>
      </c>
      <c r="U242" s="234">
        <v>577735.23</v>
      </c>
      <c r="V242" s="55">
        <f t="shared" si="261"/>
        <v>0</v>
      </c>
      <c r="W242" s="234">
        <v>0</v>
      </c>
      <c r="X242" s="234">
        <v>0</v>
      </c>
      <c r="Y242" s="55">
        <f t="shared" si="263"/>
        <v>569133.71</v>
      </c>
      <c r="Z242" s="234">
        <v>424699.9</v>
      </c>
      <c r="AA242" s="234">
        <v>144433.81</v>
      </c>
      <c r="AB242" s="55">
        <f t="shared" si="264"/>
        <v>0</v>
      </c>
      <c r="AC242" s="234"/>
      <c r="AD242" s="234"/>
      <c r="AE242" s="63">
        <f t="shared" si="265"/>
        <v>3553501.73</v>
      </c>
      <c r="AF242" s="63"/>
      <c r="AG242" s="55">
        <f t="shared" si="222"/>
        <v>3553501.73</v>
      </c>
      <c r="AH242" s="60" t="s">
        <v>1092</v>
      </c>
      <c r="AI242" s="76" t="s">
        <v>1263</v>
      </c>
      <c r="AJ242" s="62">
        <f>1046822.23+91171.38+864543.62+93710.89+740660.01</f>
        <v>2836908.13</v>
      </c>
      <c r="AK242" s="67">
        <v>0</v>
      </c>
    </row>
    <row r="243" spans="1:37" ht="189" x14ac:dyDescent="0.25">
      <c r="A243" s="345" t="s">
        <v>1987</v>
      </c>
      <c r="B243" s="271">
        <v>117834</v>
      </c>
      <c r="C243" s="268">
        <v>25</v>
      </c>
      <c r="D243" s="235" t="s">
        <v>167</v>
      </c>
      <c r="E243" s="260" t="s">
        <v>161</v>
      </c>
      <c r="F243" s="439" t="s">
        <v>122</v>
      </c>
      <c r="G243" s="11" t="s">
        <v>89</v>
      </c>
      <c r="H243" s="11" t="s">
        <v>83</v>
      </c>
      <c r="I243" s="235" t="s">
        <v>202</v>
      </c>
      <c r="J243" s="3" t="s">
        <v>90</v>
      </c>
      <c r="K243" s="148">
        <v>42459</v>
      </c>
      <c r="L243" s="15">
        <v>43464</v>
      </c>
      <c r="M243" s="5">
        <f t="shared" si="260"/>
        <v>83.983862877433253</v>
      </c>
      <c r="N243" s="6" t="s">
        <v>152</v>
      </c>
      <c r="O243" s="6" t="s">
        <v>153</v>
      </c>
      <c r="P243" s="6" t="s">
        <v>153</v>
      </c>
      <c r="Q243" s="9" t="s">
        <v>154</v>
      </c>
      <c r="R243" s="2" t="s">
        <v>36</v>
      </c>
      <c r="S243" s="55">
        <f t="shared" si="262"/>
        <v>11174376.890000001</v>
      </c>
      <c r="T243" s="234">
        <v>9011161.3900000006</v>
      </c>
      <c r="U243" s="234">
        <v>2163215.5</v>
      </c>
      <c r="V243" s="55">
        <f t="shared" si="261"/>
        <v>0</v>
      </c>
      <c r="W243" s="234">
        <v>0</v>
      </c>
      <c r="X243" s="234">
        <v>0</v>
      </c>
      <c r="Y243" s="55">
        <f t="shared" si="263"/>
        <v>2131008.8199999998</v>
      </c>
      <c r="Z243" s="234">
        <v>1590204.95</v>
      </c>
      <c r="AA243" s="234">
        <v>540803.87</v>
      </c>
      <c r="AB243" s="55">
        <f t="shared" si="264"/>
        <v>0</v>
      </c>
      <c r="AC243" s="234"/>
      <c r="AD243" s="234"/>
      <c r="AE243" s="63">
        <f t="shared" si="265"/>
        <v>13305385.710000001</v>
      </c>
      <c r="AF243" s="55">
        <v>0</v>
      </c>
      <c r="AG243" s="55">
        <f t="shared" si="222"/>
        <v>13305385.710000001</v>
      </c>
      <c r="AH243" s="60" t="s">
        <v>1092</v>
      </c>
      <c r="AI243" s="75" t="s">
        <v>1085</v>
      </c>
      <c r="AJ243" s="62">
        <v>11126144.5</v>
      </c>
      <c r="AK243" s="67">
        <v>0</v>
      </c>
    </row>
    <row r="244" spans="1:37" ht="220.5" x14ac:dyDescent="0.25">
      <c r="A244" s="345" t="s">
        <v>1988</v>
      </c>
      <c r="B244" s="271">
        <v>118419</v>
      </c>
      <c r="C244" s="268">
        <v>26</v>
      </c>
      <c r="D244" s="235" t="s">
        <v>1093</v>
      </c>
      <c r="E244" s="260" t="s">
        <v>161</v>
      </c>
      <c r="F244" s="439" t="s">
        <v>122</v>
      </c>
      <c r="G244" s="11" t="s">
        <v>91</v>
      </c>
      <c r="H244" s="11" t="s">
        <v>83</v>
      </c>
      <c r="I244" s="235" t="s">
        <v>181</v>
      </c>
      <c r="J244" s="3" t="s">
        <v>92</v>
      </c>
      <c r="K244" s="148">
        <v>42458</v>
      </c>
      <c r="L244" s="15">
        <v>43553</v>
      </c>
      <c r="M244" s="5">
        <f t="shared" si="260"/>
        <v>83.983862783018438</v>
      </c>
      <c r="N244" s="6" t="s">
        <v>152</v>
      </c>
      <c r="O244" s="6" t="s">
        <v>153</v>
      </c>
      <c r="P244" s="6" t="s">
        <v>153</v>
      </c>
      <c r="Q244" s="9" t="s">
        <v>154</v>
      </c>
      <c r="R244" s="2" t="s">
        <v>36</v>
      </c>
      <c r="S244" s="55">
        <f t="shared" si="262"/>
        <v>3637178.37</v>
      </c>
      <c r="T244" s="234">
        <v>2933067.47</v>
      </c>
      <c r="U244" s="234">
        <v>704110.9</v>
      </c>
      <c r="V244" s="55">
        <f t="shared" si="261"/>
        <v>0</v>
      </c>
      <c r="W244" s="234">
        <v>0</v>
      </c>
      <c r="X244" s="234">
        <v>0</v>
      </c>
      <c r="Y244" s="55">
        <f t="shared" si="263"/>
        <v>693627.87</v>
      </c>
      <c r="Z244" s="234">
        <v>517600.14</v>
      </c>
      <c r="AA244" s="234">
        <v>176027.73</v>
      </c>
      <c r="AB244" s="55">
        <f t="shared" si="264"/>
        <v>0</v>
      </c>
      <c r="AC244" s="234"/>
      <c r="AD244" s="234"/>
      <c r="AE244" s="63">
        <f t="shared" si="265"/>
        <v>4330806.24</v>
      </c>
      <c r="AF244" s="55">
        <v>0</v>
      </c>
      <c r="AG244" s="55">
        <f t="shared" si="222"/>
        <v>4330806.24</v>
      </c>
      <c r="AH244" s="60" t="s">
        <v>1325</v>
      </c>
      <c r="AI244" s="76" t="s">
        <v>182</v>
      </c>
      <c r="AJ244" s="62">
        <f>2956760.5+333305.63</f>
        <v>3290066.13</v>
      </c>
      <c r="AK244" s="67">
        <v>0</v>
      </c>
    </row>
    <row r="245" spans="1:37" ht="299.25" x14ac:dyDescent="0.25">
      <c r="A245" s="345" t="s">
        <v>1989</v>
      </c>
      <c r="B245" s="271">
        <v>118319</v>
      </c>
      <c r="C245" s="268">
        <v>27</v>
      </c>
      <c r="D245" s="235" t="s">
        <v>169</v>
      </c>
      <c r="E245" s="260" t="s">
        <v>161</v>
      </c>
      <c r="F245" s="439" t="s">
        <v>122</v>
      </c>
      <c r="G245" s="11" t="s">
        <v>1626</v>
      </c>
      <c r="H245" s="11" t="s">
        <v>93</v>
      </c>
      <c r="I245" s="235" t="s">
        <v>194</v>
      </c>
      <c r="J245" s="3" t="s">
        <v>1627</v>
      </c>
      <c r="K245" s="148">
        <v>42585</v>
      </c>
      <c r="L245" s="15">
        <v>43680</v>
      </c>
      <c r="M245" s="5">
        <f t="shared" si="260"/>
        <v>83.983862824473448</v>
      </c>
      <c r="N245" s="6" t="s">
        <v>152</v>
      </c>
      <c r="O245" s="6" t="s">
        <v>153</v>
      </c>
      <c r="P245" s="6" t="s">
        <v>153</v>
      </c>
      <c r="Q245" s="9" t="s">
        <v>154</v>
      </c>
      <c r="R245" s="2" t="s">
        <v>36</v>
      </c>
      <c r="S245" s="55">
        <f t="shared" si="262"/>
        <v>17052953.060000002</v>
      </c>
      <c r="T245" s="234">
        <v>13751720.9</v>
      </c>
      <c r="U245" s="234">
        <v>3301232.16</v>
      </c>
      <c r="V245" s="55">
        <f t="shared" si="261"/>
        <v>0</v>
      </c>
      <c r="W245" s="234">
        <v>0</v>
      </c>
      <c r="X245" s="234">
        <v>0</v>
      </c>
      <c r="Y245" s="55">
        <f t="shared" si="263"/>
        <v>3252082.32</v>
      </c>
      <c r="Z245" s="234">
        <v>2426774.2799999998</v>
      </c>
      <c r="AA245" s="234">
        <v>825308.04</v>
      </c>
      <c r="AB245" s="55">
        <f t="shared" si="264"/>
        <v>0</v>
      </c>
      <c r="AC245" s="234"/>
      <c r="AD245" s="234"/>
      <c r="AE245" s="63">
        <f t="shared" si="265"/>
        <v>20305035.380000003</v>
      </c>
      <c r="AF245" s="55">
        <v>0</v>
      </c>
      <c r="AG245" s="55">
        <f t="shared" si="222"/>
        <v>20305035.380000003</v>
      </c>
      <c r="AH245" s="60" t="s">
        <v>1092</v>
      </c>
      <c r="AI245" s="61" t="s">
        <v>480</v>
      </c>
      <c r="AJ245" s="62">
        <f>13499794.97+716994.5+92062.31+258000+34374.13</f>
        <v>14601225.910000002</v>
      </c>
      <c r="AK245" s="67">
        <v>0</v>
      </c>
    </row>
    <row r="246" spans="1:37" ht="236.25" x14ac:dyDescent="0.25">
      <c r="A246" s="345" t="s">
        <v>1990</v>
      </c>
      <c r="B246" s="271"/>
      <c r="C246" s="268">
        <v>28</v>
      </c>
      <c r="D246" s="235" t="s">
        <v>164</v>
      </c>
      <c r="E246" s="260" t="s">
        <v>161</v>
      </c>
      <c r="F246" s="439" t="s">
        <v>122</v>
      </c>
      <c r="G246" s="11" t="s">
        <v>94</v>
      </c>
      <c r="H246" s="11" t="s">
        <v>83</v>
      </c>
      <c r="I246" s="235" t="s">
        <v>198</v>
      </c>
      <c r="J246" s="3" t="s">
        <v>95</v>
      </c>
      <c r="K246" s="148">
        <v>42515</v>
      </c>
      <c r="L246" s="15">
        <v>44037</v>
      </c>
      <c r="M246" s="5">
        <f t="shared" si="260"/>
        <v>83.983862862063091</v>
      </c>
      <c r="N246" s="6" t="s">
        <v>152</v>
      </c>
      <c r="O246" s="6" t="s">
        <v>153</v>
      </c>
      <c r="P246" s="6" t="s">
        <v>153</v>
      </c>
      <c r="Q246" s="9" t="s">
        <v>154</v>
      </c>
      <c r="R246" s="2" t="s">
        <v>36</v>
      </c>
      <c r="S246" s="55">
        <f t="shared" si="262"/>
        <v>36908560.949999996</v>
      </c>
      <c r="T246" s="234">
        <v>29763538.739999998</v>
      </c>
      <c r="U246" s="234">
        <v>7145022.21</v>
      </c>
      <c r="V246" s="55">
        <f t="shared" si="261"/>
        <v>0</v>
      </c>
      <c r="W246" s="234">
        <v>0</v>
      </c>
      <c r="X246" s="234">
        <v>0</v>
      </c>
      <c r="Y246" s="55">
        <f t="shared" si="263"/>
        <v>7038644.7300000004</v>
      </c>
      <c r="Z246" s="234">
        <v>5252389.1900000004</v>
      </c>
      <c r="AA246" s="234">
        <v>1786255.54</v>
      </c>
      <c r="AB246" s="55">
        <f t="shared" si="264"/>
        <v>0</v>
      </c>
      <c r="AC246" s="234"/>
      <c r="AD246" s="234"/>
      <c r="AE246" s="63">
        <f t="shared" si="265"/>
        <v>43947205.679999992</v>
      </c>
      <c r="AF246" s="55">
        <v>0</v>
      </c>
      <c r="AG246" s="55">
        <f t="shared" si="222"/>
        <v>43947205.679999992</v>
      </c>
      <c r="AH246" s="60" t="s">
        <v>607</v>
      </c>
      <c r="AI246" s="61" t="s">
        <v>1542</v>
      </c>
      <c r="AJ246" s="62">
        <f>14591533.85+314543.7</f>
        <v>14906077.549999999</v>
      </c>
      <c r="AK246" s="67">
        <v>0</v>
      </c>
    </row>
    <row r="247" spans="1:37" ht="252" x14ac:dyDescent="0.25">
      <c r="A247" s="345" t="s">
        <v>1991</v>
      </c>
      <c r="B247" s="271">
        <v>119993</v>
      </c>
      <c r="C247" s="268">
        <v>29</v>
      </c>
      <c r="D247" s="235" t="s">
        <v>167</v>
      </c>
      <c r="E247" s="260" t="s">
        <v>161</v>
      </c>
      <c r="F247" s="439" t="s">
        <v>122</v>
      </c>
      <c r="G247" s="11" t="s">
        <v>97</v>
      </c>
      <c r="H247" s="11" t="s">
        <v>96</v>
      </c>
      <c r="I247" s="235" t="s">
        <v>203</v>
      </c>
      <c r="J247" s="3" t="s">
        <v>98</v>
      </c>
      <c r="K247" s="148">
        <v>42569</v>
      </c>
      <c r="L247" s="15">
        <v>44030</v>
      </c>
      <c r="M247" s="5">
        <f t="shared" si="260"/>
        <v>83.98386282616714</v>
      </c>
      <c r="N247" s="6" t="s">
        <v>152</v>
      </c>
      <c r="O247" s="6" t="s">
        <v>153</v>
      </c>
      <c r="P247" s="6" t="s">
        <v>153</v>
      </c>
      <c r="Q247" s="9" t="s">
        <v>154</v>
      </c>
      <c r="R247" s="2" t="s">
        <v>36</v>
      </c>
      <c r="S247" s="55">
        <f t="shared" si="262"/>
        <v>35912411.909999996</v>
      </c>
      <c r="T247" s="234">
        <v>28960231.329999998</v>
      </c>
      <c r="U247" s="234">
        <v>6952180.5800000001</v>
      </c>
      <c r="V247" s="55">
        <f t="shared" si="261"/>
        <v>0</v>
      </c>
      <c r="W247" s="234">
        <v>0</v>
      </c>
      <c r="X247" s="234">
        <v>0</v>
      </c>
      <c r="Y247" s="55">
        <f t="shared" si="263"/>
        <v>6848674.209999999</v>
      </c>
      <c r="Z247" s="234">
        <v>5110629.0599999996</v>
      </c>
      <c r="AA247" s="234">
        <v>1738045.15</v>
      </c>
      <c r="AB247" s="55">
        <f t="shared" si="264"/>
        <v>0</v>
      </c>
      <c r="AC247" s="234"/>
      <c r="AD247" s="234"/>
      <c r="AE247" s="63">
        <f t="shared" si="265"/>
        <v>42761086.119999997</v>
      </c>
      <c r="AF247" s="55">
        <v>0</v>
      </c>
      <c r="AG247" s="55">
        <f t="shared" ref="AG247:AG315" si="266">AE247+AF247</f>
        <v>42761086.119999997</v>
      </c>
      <c r="AH247" s="60" t="s">
        <v>607</v>
      </c>
      <c r="AI247" s="75" t="s">
        <v>186</v>
      </c>
      <c r="AJ247" s="62">
        <v>28176.63</v>
      </c>
      <c r="AK247" s="67">
        <v>0</v>
      </c>
    </row>
    <row r="248" spans="1:37" ht="409.5" x14ac:dyDescent="0.25">
      <c r="A248" s="345" t="s">
        <v>1992</v>
      </c>
      <c r="B248" s="271">
        <v>118292</v>
      </c>
      <c r="C248" s="268">
        <v>30</v>
      </c>
      <c r="D248" s="235" t="s">
        <v>170</v>
      </c>
      <c r="E248" s="260" t="s">
        <v>161</v>
      </c>
      <c r="F248" s="439" t="s">
        <v>122</v>
      </c>
      <c r="G248" s="11" t="s">
        <v>100</v>
      </c>
      <c r="H248" s="11" t="s">
        <v>99</v>
      </c>
      <c r="I248" s="235" t="s">
        <v>191</v>
      </c>
      <c r="J248" s="3" t="s">
        <v>101</v>
      </c>
      <c r="K248" s="148">
        <v>42446</v>
      </c>
      <c r="L248" s="15">
        <v>43237</v>
      </c>
      <c r="M248" s="5">
        <f t="shared" si="260"/>
        <v>83.983862811384185</v>
      </c>
      <c r="N248" s="6" t="s">
        <v>152</v>
      </c>
      <c r="O248" s="6" t="s">
        <v>153</v>
      </c>
      <c r="P248" s="6" t="s">
        <v>153</v>
      </c>
      <c r="Q248" s="9" t="s">
        <v>154</v>
      </c>
      <c r="R248" s="2" t="s">
        <v>36</v>
      </c>
      <c r="S248" s="55">
        <f t="shared" si="262"/>
        <v>23983572.759999998</v>
      </c>
      <c r="T248" s="234">
        <v>19340661.859999999</v>
      </c>
      <c r="U248" s="234">
        <v>4642910.9000000004</v>
      </c>
      <c r="V248" s="55">
        <f t="shared" si="261"/>
        <v>0</v>
      </c>
      <c r="W248" s="234">
        <v>0</v>
      </c>
      <c r="X248" s="234">
        <v>0</v>
      </c>
      <c r="Y248" s="55">
        <f t="shared" si="263"/>
        <v>4573785.71</v>
      </c>
      <c r="Z248" s="234">
        <v>3413057.98</v>
      </c>
      <c r="AA248" s="234">
        <v>1160727.73</v>
      </c>
      <c r="AB248" s="55">
        <f t="shared" si="264"/>
        <v>0</v>
      </c>
      <c r="AC248" s="234"/>
      <c r="AD248" s="234"/>
      <c r="AE248" s="63">
        <f t="shared" si="265"/>
        <v>28557358.469999999</v>
      </c>
      <c r="AF248" s="55">
        <v>54654.13</v>
      </c>
      <c r="AG248" s="55">
        <f t="shared" si="266"/>
        <v>28612012.599999998</v>
      </c>
      <c r="AH248" s="60" t="s">
        <v>1092</v>
      </c>
      <c r="AI248" s="61" t="s">
        <v>487</v>
      </c>
      <c r="AJ248" s="62">
        <v>20419622.34</v>
      </c>
      <c r="AK248" s="67">
        <v>0</v>
      </c>
    </row>
    <row r="249" spans="1:37" ht="157.5" x14ac:dyDescent="0.25">
      <c r="A249" s="345" t="s">
        <v>1993</v>
      </c>
      <c r="B249" s="271">
        <v>120208</v>
      </c>
      <c r="C249" s="268">
        <v>47</v>
      </c>
      <c r="D249" s="235" t="s">
        <v>864</v>
      </c>
      <c r="E249" s="260" t="s">
        <v>161</v>
      </c>
      <c r="F249" s="439" t="s">
        <v>125</v>
      </c>
      <c r="G249" s="11" t="s">
        <v>698</v>
      </c>
      <c r="H249" s="11" t="s">
        <v>352</v>
      </c>
      <c r="I249" s="235" t="s">
        <v>181</v>
      </c>
      <c r="J249" s="3" t="s">
        <v>700</v>
      </c>
      <c r="K249" s="148">
        <v>42914</v>
      </c>
      <c r="L249" s="15">
        <v>44193</v>
      </c>
      <c r="M249" s="5">
        <f t="shared" si="260"/>
        <v>83.983862839866035</v>
      </c>
      <c r="N249" s="6" t="s">
        <v>152</v>
      </c>
      <c r="O249" s="6" t="s">
        <v>153</v>
      </c>
      <c r="P249" s="6" t="s">
        <v>153</v>
      </c>
      <c r="Q249" s="9" t="s">
        <v>154</v>
      </c>
      <c r="R249" s="2" t="s">
        <v>36</v>
      </c>
      <c r="S249" s="55">
        <f t="shared" si="262"/>
        <v>6085613.1800000006</v>
      </c>
      <c r="T249" s="234">
        <v>4907516.82</v>
      </c>
      <c r="U249" s="234">
        <v>1178096.3600000001</v>
      </c>
      <c r="V249" s="55">
        <f>W249+X249</f>
        <v>0</v>
      </c>
      <c r="W249" s="234">
        <v>0</v>
      </c>
      <c r="X249" s="234">
        <v>0</v>
      </c>
      <c r="Y249" s="55">
        <f t="shared" si="263"/>
        <v>1160556.47</v>
      </c>
      <c r="Z249" s="234">
        <v>866032.38</v>
      </c>
      <c r="AA249" s="234">
        <v>294524.09000000003</v>
      </c>
      <c r="AB249" s="55">
        <f t="shared" si="264"/>
        <v>0</v>
      </c>
      <c r="AC249" s="234"/>
      <c r="AD249" s="234"/>
      <c r="AE249" s="63">
        <f t="shared" si="265"/>
        <v>7246169.6500000004</v>
      </c>
      <c r="AF249" s="55">
        <v>0</v>
      </c>
      <c r="AG249" s="55">
        <f t="shared" si="266"/>
        <v>7246169.6500000004</v>
      </c>
      <c r="AH249" s="60" t="s">
        <v>607</v>
      </c>
      <c r="AI249" s="61" t="s">
        <v>1098</v>
      </c>
      <c r="AJ249" s="62">
        <f>318314.17+157541.59+137631.79+46368.47+188764.54+109224.99</f>
        <v>957845.55</v>
      </c>
      <c r="AK249" s="67">
        <v>0</v>
      </c>
    </row>
    <row r="250" spans="1:37" ht="220.5" x14ac:dyDescent="0.25">
      <c r="A250" s="345" t="s">
        <v>1994</v>
      </c>
      <c r="B250" s="271">
        <v>119991</v>
      </c>
      <c r="C250" s="268">
        <v>48</v>
      </c>
      <c r="D250" s="235" t="s">
        <v>167</v>
      </c>
      <c r="E250" s="260" t="s">
        <v>161</v>
      </c>
      <c r="F250" s="439" t="s">
        <v>125</v>
      </c>
      <c r="G250" s="11" t="s">
        <v>127</v>
      </c>
      <c r="H250" s="11" t="s">
        <v>126</v>
      </c>
      <c r="I250" s="235" t="s">
        <v>181</v>
      </c>
      <c r="J250" s="3" t="s">
        <v>128</v>
      </c>
      <c r="K250" s="148">
        <v>43004</v>
      </c>
      <c r="L250" s="15">
        <v>43916</v>
      </c>
      <c r="M250" s="5">
        <f t="shared" si="260"/>
        <v>83.9838628091575</v>
      </c>
      <c r="N250" s="6" t="s">
        <v>152</v>
      </c>
      <c r="O250" s="6" t="s">
        <v>153</v>
      </c>
      <c r="P250" s="6" t="s">
        <v>153</v>
      </c>
      <c r="Q250" s="9" t="s">
        <v>154</v>
      </c>
      <c r="R250" s="2" t="s">
        <v>36</v>
      </c>
      <c r="S250" s="55">
        <f t="shared" si="262"/>
        <v>12597407.540000001</v>
      </c>
      <c r="T250" s="234">
        <v>10158711.630000001</v>
      </c>
      <c r="U250" s="234">
        <v>2438695.91</v>
      </c>
      <c r="V250" s="55">
        <f t="shared" si="261"/>
        <v>0</v>
      </c>
      <c r="W250" s="234">
        <v>0</v>
      </c>
      <c r="X250" s="234">
        <v>0</v>
      </c>
      <c r="Y250" s="55">
        <f t="shared" si="263"/>
        <v>2402387.7999999998</v>
      </c>
      <c r="Z250" s="234">
        <v>1792713.82</v>
      </c>
      <c r="AA250" s="234">
        <v>609673.98</v>
      </c>
      <c r="AB250" s="55">
        <f t="shared" si="264"/>
        <v>0</v>
      </c>
      <c r="AC250" s="234"/>
      <c r="AD250" s="234"/>
      <c r="AE250" s="63">
        <f t="shared" si="265"/>
        <v>14999795.34</v>
      </c>
      <c r="AF250" s="55">
        <v>2999990</v>
      </c>
      <c r="AG250" s="55">
        <f t="shared" si="266"/>
        <v>17999785.34</v>
      </c>
      <c r="AH250" s="60" t="s">
        <v>607</v>
      </c>
      <c r="AI250" s="74" t="s">
        <v>181</v>
      </c>
      <c r="AJ250" s="62">
        <v>0</v>
      </c>
      <c r="AK250" s="77">
        <v>0</v>
      </c>
    </row>
    <row r="251" spans="1:37" s="1" customFormat="1" ht="315" x14ac:dyDescent="0.25">
      <c r="A251" s="345" t="s">
        <v>1995</v>
      </c>
      <c r="B251" s="271">
        <v>119992</v>
      </c>
      <c r="C251" s="268">
        <v>49</v>
      </c>
      <c r="D251" s="235" t="s">
        <v>167</v>
      </c>
      <c r="E251" s="260" t="s">
        <v>161</v>
      </c>
      <c r="F251" s="439" t="s">
        <v>125</v>
      </c>
      <c r="G251" s="11" t="s">
        <v>129</v>
      </c>
      <c r="H251" s="11" t="s">
        <v>126</v>
      </c>
      <c r="I251" s="235" t="s">
        <v>181</v>
      </c>
      <c r="J251" s="3" t="s">
        <v>130</v>
      </c>
      <c r="K251" s="148">
        <v>43004</v>
      </c>
      <c r="L251" s="15">
        <v>43916</v>
      </c>
      <c r="M251" s="5">
        <f t="shared" si="260"/>
        <v>83.98386278575461</v>
      </c>
      <c r="N251" s="6" t="s">
        <v>152</v>
      </c>
      <c r="O251" s="6" t="s">
        <v>153</v>
      </c>
      <c r="P251" s="6" t="s">
        <v>153</v>
      </c>
      <c r="Q251" s="9" t="s">
        <v>154</v>
      </c>
      <c r="R251" s="2" t="s">
        <v>36</v>
      </c>
      <c r="S251" s="55">
        <f t="shared" si="262"/>
        <v>11755282.280000001</v>
      </c>
      <c r="T251" s="234">
        <v>9479610.9800000004</v>
      </c>
      <c r="U251" s="234">
        <v>2275671.2999999998</v>
      </c>
      <c r="V251" s="55">
        <f t="shared" si="261"/>
        <v>0</v>
      </c>
      <c r="W251" s="234">
        <v>0</v>
      </c>
      <c r="X251" s="234">
        <v>0</v>
      </c>
      <c r="Y251" s="55">
        <f t="shared" si="263"/>
        <v>2241790.36</v>
      </c>
      <c r="Z251" s="234">
        <v>1672872.53</v>
      </c>
      <c r="AA251" s="234">
        <v>568917.82999999996</v>
      </c>
      <c r="AB251" s="55">
        <f t="shared" si="264"/>
        <v>0</v>
      </c>
      <c r="AC251" s="234"/>
      <c r="AD251" s="234"/>
      <c r="AE251" s="63">
        <f t="shared" si="265"/>
        <v>13997072.640000001</v>
      </c>
      <c r="AF251" s="55">
        <v>0</v>
      </c>
      <c r="AG251" s="55">
        <f t="shared" si="266"/>
        <v>13997072.640000001</v>
      </c>
      <c r="AH251" s="60" t="s">
        <v>607</v>
      </c>
      <c r="AI251" s="74" t="s">
        <v>181</v>
      </c>
      <c r="AJ251" s="62">
        <v>0</v>
      </c>
      <c r="AK251" s="77">
        <v>0</v>
      </c>
    </row>
    <row r="252" spans="1:37" s="1" customFormat="1" ht="220.5" x14ac:dyDescent="0.25">
      <c r="A252" s="345" t="s">
        <v>1996</v>
      </c>
      <c r="B252" s="271">
        <v>119731</v>
      </c>
      <c r="C252" s="268">
        <v>51</v>
      </c>
      <c r="D252" s="235" t="s">
        <v>864</v>
      </c>
      <c r="E252" s="260" t="s">
        <v>161</v>
      </c>
      <c r="F252" s="439" t="s">
        <v>125</v>
      </c>
      <c r="G252" s="11" t="s">
        <v>131</v>
      </c>
      <c r="H252" s="11" t="s">
        <v>63</v>
      </c>
      <c r="I252" s="235" t="s">
        <v>181</v>
      </c>
      <c r="J252" s="3" t="s">
        <v>132</v>
      </c>
      <c r="K252" s="148">
        <v>42956</v>
      </c>
      <c r="L252" s="15">
        <v>43870</v>
      </c>
      <c r="M252" s="5">
        <f t="shared" si="260"/>
        <v>83.983862780427785</v>
      </c>
      <c r="N252" s="6" t="s">
        <v>152</v>
      </c>
      <c r="O252" s="6" t="s">
        <v>153</v>
      </c>
      <c r="P252" s="6" t="s">
        <v>153</v>
      </c>
      <c r="Q252" s="9" t="s">
        <v>154</v>
      </c>
      <c r="R252" s="2" t="s">
        <v>36</v>
      </c>
      <c r="S252" s="55">
        <f t="shared" si="262"/>
        <v>10449475.91</v>
      </c>
      <c r="T252" s="234">
        <v>8426591.9100000001</v>
      </c>
      <c r="U252" s="234">
        <v>2022884</v>
      </c>
      <c r="V252" s="55">
        <f t="shared" si="261"/>
        <v>0</v>
      </c>
      <c r="W252" s="234">
        <v>0</v>
      </c>
      <c r="X252" s="234">
        <v>0</v>
      </c>
      <c r="Y252" s="55">
        <f t="shared" si="263"/>
        <v>1992766.64</v>
      </c>
      <c r="Z252" s="234">
        <v>1487045.64</v>
      </c>
      <c r="AA252" s="234">
        <v>505721</v>
      </c>
      <c r="AB252" s="55">
        <f t="shared" si="264"/>
        <v>0</v>
      </c>
      <c r="AC252" s="234"/>
      <c r="AD252" s="234"/>
      <c r="AE252" s="63">
        <f t="shared" si="265"/>
        <v>12442242.550000001</v>
      </c>
      <c r="AF252" s="55">
        <v>0</v>
      </c>
      <c r="AG252" s="55">
        <f t="shared" si="266"/>
        <v>12442242.550000001</v>
      </c>
      <c r="AH252" s="60" t="s">
        <v>607</v>
      </c>
      <c r="AI252" s="74" t="s">
        <v>181</v>
      </c>
      <c r="AJ252" s="62">
        <f>69562.99+104629.25+99957.75+221484.48+155296.71</f>
        <v>650931.17999999993</v>
      </c>
      <c r="AK252" s="77">
        <v>0</v>
      </c>
    </row>
    <row r="253" spans="1:37" s="1" customFormat="1" ht="189" x14ac:dyDescent="0.25">
      <c r="A253" s="345" t="s">
        <v>1997</v>
      </c>
      <c r="B253" s="271">
        <v>120194</v>
      </c>
      <c r="C253" s="268">
        <v>52</v>
      </c>
      <c r="D253" s="235" t="s">
        <v>166</v>
      </c>
      <c r="E253" s="260" t="s">
        <v>161</v>
      </c>
      <c r="F253" s="439" t="s">
        <v>125</v>
      </c>
      <c r="G253" s="11" t="s">
        <v>134</v>
      </c>
      <c r="H253" s="11" t="s">
        <v>133</v>
      </c>
      <c r="I253" s="235" t="s">
        <v>181</v>
      </c>
      <c r="J253" s="3" t="s">
        <v>135</v>
      </c>
      <c r="K253" s="148">
        <v>42963</v>
      </c>
      <c r="L253" s="15">
        <v>44212</v>
      </c>
      <c r="M253" s="5">
        <f t="shared" si="260"/>
        <v>83.983862831024851</v>
      </c>
      <c r="N253" s="6" t="s">
        <v>152</v>
      </c>
      <c r="O253" s="6" t="s">
        <v>153</v>
      </c>
      <c r="P253" s="6" t="s">
        <v>153</v>
      </c>
      <c r="Q253" s="9" t="s">
        <v>154</v>
      </c>
      <c r="R253" s="2" t="s">
        <v>36</v>
      </c>
      <c r="S253" s="55">
        <f t="shared" si="262"/>
        <v>12243037.969999999</v>
      </c>
      <c r="T253" s="234">
        <v>9872943.4499999993</v>
      </c>
      <c r="U253" s="234">
        <v>2370094.52</v>
      </c>
      <c r="V253" s="55">
        <f t="shared" si="261"/>
        <v>0</v>
      </c>
      <c r="W253" s="234">
        <v>0</v>
      </c>
      <c r="X253" s="234">
        <v>0</v>
      </c>
      <c r="Y253" s="55">
        <f t="shared" si="263"/>
        <v>2334807.77</v>
      </c>
      <c r="Z253" s="234">
        <v>1742284.14</v>
      </c>
      <c r="AA253" s="234">
        <v>592523.63</v>
      </c>
      <c r="AB253" s="55">
        <f t="shared" si="264"/>
        <v>0</v>
      </c>
      <c r="AC253" s="234"/>
      <c r="AD253" s="234"/>
      <c r="AE253" s="63">
        <f t="shared" si="265"/>
        <v>14577845.739999998</v>
      </c>
      <c r="AF253" s="55">
        <v>0</v>
      </c>
      <c r="AG253" s="55">
        <f t="shared" si="266"/>
        <v>14577845.739999998</v>
      </c>
      <c r="AH253" s="60" t="s">
        <v>607</v>
      </c>
      <c r="AI253" s="74" t="s">
        <v>1632</v>
      </c>
      <c r="AJ253" s="62">
        <f>18637.33+286940.34+81387.29+339087.35+944758.14</f>
        <v>1670810.4500000002</v>
      </c>
      <c r="AK253" s="77">
        <v>0</v>
      </c>
    </row>
    <row r="254" spans="1:37" s="1" customFormat="1" ht="283.5" x14ac:dyDescent="0.25">
      <c r="A254" s="345" t="s">
        <v>1998</v>
      </c>
      <c r="B254" s="271">
        <v>119983</v>
      </c>
      <c r="C254" s="268">
        <v>58</v>
      </c>
      <c r="D254" s="235" t="s">
        <v>168</v>
      </c>
      <c r="E254" s="260" t="s">
        <v>161</v>
      </c>
      <c r="F254" s="439" t="s">
        <v>125</v>
      </c>
      <c r="G254" s="11" t="s">
        <v>136</v>
      </c>
      <c r="H254" s="11" t="s">
        <v>74</v>
      </c>
      <c r="I254" s="235" t="s">
        <v>190</v>
      </c>
      <c r="J254" s="3" t="s">
        <v>137</v>
      </c>
      <c r="K254" s="148">
        <v>42963</v>
      </c>
      <c r="L254" s="15">
        <v>44059</v>
      </c>
      <c r="M254" s="5">
        <f t="shared" si="260"/>
        <v>83.983862872994763</v>
      </c>
      <c r="N254" s="6" t="s">
        <v>152</v>
      </c>
      <c r="O254" s="6" t="s">
        <v>153</v>
      </c>
      <c r="P254" s="6" t="s">
        <v>153</v>
      </c>
      <c r="Q254" s="9" t="s">
        <v>154</v>
      </c>
      <c r="R254" s="2" t="s">
        <v>36</v>
      </c>
      <c r="S254" s="55">
        <f t="shared" si="262"/>
        <v>8062160.4699999997</v>
      </c>
      <c r="T254" s="234">
        <v>6501430</v>
      </c>
      <c r="U254" s="234">
        <v>1560730.47</v>
      </c>
      <c r="V254" s="55">
        <f t="shared" si="261"/>
        <v>0</v>
      </c>
      <c r="W254" s="234">
        <v>0</v>
      </c>
      <c r="X254" s="234">
        <v>0</v>
      </c>
      <c r="Y254" s="55">
        <f t="shared" si="263"/>
        <v>1537493.79</v>
      </c>
      <c r="Z254" s="234">
        <v>1147311.17</v>
      </c>
      <c r="AA254" s="234">
        <v>390182.62</v>
      </c>
      <c r="AB254" s="55">
        <f t="shared" si="264"/>
        <v>0</v>
      </c>
      <c r="AC254" s="234"/>
      <c r="AD254" s="234"/>
      <c r="AE254" s="63">
        <f t="shared" si="265"/>
        <v>9599654.2599999998</v>
      </c>
      <c r="AF254" s="55">
        <v>655333</v>
      </c>
      <c r="AG254" s="55">
        <f t="shared" si="266"/>
        <v>10254987.26</v>
      </c>
      <c r="AH254" s="60" t="s">
        <v>607</v>
      </c>
      <c r="AI254" s="74" t="s">
        <v>1665</v>
      </c>
      <c r="AJ254" s="62">
        <f>27068+159937+61959.1+719797.57+221414.47</f>
        <v>1190176.1399999999</v>
      </c>
      <c r="AK254" s="77">
        <v>0</v>
      </c>
    </row>
    <row r="255" spans="1:37" ht="173.25" x14ac:dyDescent="0.25">
      <c r="A255" s="345" t="s">
        <v>1999</v>
      </c>
      <c r="B255" s="271">
        <v>119622</v>
      </c>
      <c r="C255" s="268">
        <v>45</v>
      </c>
      <c r="D255" s="235" t="s">
        <v>864</v>
      </c>
      <c r="E255" s="260" t="s">
        <v>162</v>
      </c>
      <c r="F255" s="439" t="s">
        <v>178</v>
      </c>
      <c r="G255" s="11" t="s">
        <v>119</v>
      </c>
      <c r="H255" s="11" t="s">
        <v>118</v>
      </c>
      <c r="I255" s="235" t="s">
        <v>181</v>
      </c>
      <c r="J255" s="3" t="s">
        <v>120</v>
      </c>
      <c r="K255" s="148">
        <v>42793</v>
      </c>
      <c r="L255" s="15">
        <v>43948</v>
      </c>
      <c r="M255" s="5">
        <f t="shared" si="260"/>
        <v>83.983862835522956</v>
      </c>
      <c r="N255" s="6" t="s">
        <v>152</v>
      </c>
      <c r="O255" s="6" t="s">
        <v>153</v>
      </c>
      <c r="P255" s="6" t="s">
        <v>153</v>
      </c>
      <c r="Q255" s="9" t="s">
        <v>154</v>
      </c>
      <c r="R255" s="2" t="s">
        <v>36</v>
      </c>
      <c r="S255" s="55">
        <f t="shared" si="262"/>
        <v>37233996.450000003</v>
      </c>
      <c r="T255" s="234">
        <v>30025974.120000001</v>
      </c>
      <c r="U255" s="234">
        <v>7208022.3300000001</v>
      </c>
      <c r="V255" s="55">
        <f t="shared" si="261"/>
        <v>0</v>
      </c>
      <c r="W255" s="234">
        <v>0</v>
      </c>
      <c r="X255" s="234">
        <v>0</v>
      </c>
      <c r="Y255" s="55">
        <f t="shared" si="263"/>
        <v>7100706.9000000004</v>
      </c>
      <c r="Z255" s="234">
        <v>5298701.32</v>
      </c>
      <c r="AA255" s="234">
        <v>1802005.58</v>
      </c>
      <c r="AB255" s="55">
        <f t="shared" si="264"/>
        <v>0</v>
      </c>
      <c r="AC255" s="234"/>
      <c r="AD255" s="234"/>
      <c r="AE255" s="63">
        <f t="shared" si="265"/>
        <v>44334703.350000001</v>
      </c>
      <c r="AF255" s="55">
        <v>427346.26</v>
      </c>
      <c r="AG255" s="55">
        <f t="shared" si="266"/>
        <v>44762049.609999999</v>
      </c>
      <c r="AH255" s="60" t="s">
        <v>607</v>
      </c>
      <c r="AI255" s="78" t="s">
        <v>1564</v>
      </c>
      <c r="AJ255" s="62">
        <f>4923177.41+2008542+5450879.77+3758413.79+2325826.28</f>
        <v>18466839.25</v>
      </c>
      <c r="AK255" s="77">
        <v>0</v>
      </c>
    </row>
    <row r="256" spans="1:37" ht="141.75" x14ac:dyDescent="0.25">
      <c r="A256" s="345" t="s">
        <v>2000</v>
      </c>
      <c r="B256" s="271">
        <v>119689</v>
      </c>
      <c r="C256" s="268">
        <v>53</v>
      </c>
      <c r="D256" s="235" t="s">
        <v>864</v>
      </c>
      <c r="E256" s="260" t="s">
        <v>165</v>
      </c>
      <c r="F256" s="439" t="s">
        <v>139</v>
      </c>
      <c r="G256" s="11" t="s">
        <v>109</v>
      </c>
      <c r="H256" s="11" t="s">
        <v>108</v>
      </c>
      <c r="I256" s="235" t="s">
        <v>181</v>
      </c>
      <c r="J256" s="3" t="s">
        <v>110</v>
      </c>
      <c r="K256" s="148">
        <v>42943</v>
      </c>
      <c r="L256" s="15">
        <v>44039</v>
      </c>
      <c r="M256" s="5">
        <f t="shared" si="260"/>
        <v>83.983862843305559</v>
      </c>
      <c r="N256" s="6" t="s">
        <v>152</v>
      </c>
      <c r="O256" s="6" t="s">
        <v>153</v>
      </c>
      <c r="P256" s="6" t="s">
        <v>153</v>
      </c>
      <c r="Q256" s="9" t="s">
        <v>154</v>
      </c>
      <c r="R256" s="2" t="s">
        <v>36</v>
      </c>
      <c r="S256" s="55">
        <f t="shared" si="262"/>
        <v>46010993.850000001</v>
      </c>
      <c r="T256" s="234">
        <v>37103857.82</v>
      </c>
      <c r="U256" s="234">
        <v>8907136.0299999993</v>
      </c>
      <c r="V256" s="55">
        <f t="shared" si="261"/>
        <v>0</v>
      </c>
      <c r="W256" s="234">
        <v>0</v>
      </c>
      <c r="X256" s="234">
        <v>0</v>
      </c>
      <c r="Y256" s="55">
        <f t="shared" si="263"/>
        <v>8774523.620000001</v>
      </c>
      <c r="Z256" s="234">
        <v>6547739.6100000003</v>
      </c>
      <c r="AA256" s="234">
        <v>2226784.0099999998</v>
      </c>
      <c r="AB256" s="55">
        <f t="shared" si="264"/>
        <v>0</v>
      </c>
      <c r="AC256" s="234"/>
      <c r="AD256" s="234"/>
      <c r="AE256" s="63">
        <f t="shared" si="265"/>
        <v>54785517.469999999</v>
      </c>
      <c r="AF256" s="55">
        <v>0</v>
      </c>
      <c r="AG256" s="55">
        <f t="shared" si="266"/>
        <v>54785517.469999999</v>
      </c>
      <c r="AH256" s="60" t="s">
        <v>607</v>
      </c>
      <c r="AI256" s="61" t="s">
        <v>181</v>
      </c>
      <c r="AJ256" s="62">
        <f>159716.44+74879.59+127159.41+24852.51+91132.97+84495.25</f>
        <v>562236.17000000004</v>
      </c>
      <c r="AK256" s="67">
        <v>0</v>
      </c>
    </row>
    <row r="257" spans="1:37" ht="173.25" x14ac:dyDescent="0.25">
      <c r="A257" s="345" t="s">
        <v>2001</v>
      </c>
      <c r="B257" s="271">
        <v>119240</v>
      </c>
      <c r="C257" s="268">
        <v>54</v>
      </c>
      <c r="D257" s="235" t="s">
        <v>864</v>
      </c>
      <c r="E257" s="260" t="s">
        <v>165</v>
      </c>
      <c r="F257" s="439" t="s">
        <v>139</v>
      </c>
      <c r="G257" s="11" t="s">
        <v>111</v>
      </c>
      <c r="H257" s="11" t="s">
        <v>108</v>
      </c>
      <c r="I257" s="235" t="s">
        <v>181</v>
      </c>
      <c r="J257" s="3" t="s">
        <v>112</v>
      </c>
      <c r="K257" s="148">
        <v>42943</v>
      </c>
      <c r="L257" s="15">
        <v>44039</v>
      </c>
      <c r="M257" s="5">
        <f t="shared" si="260"/>
        <v>83.983862856059488</v>
      </c>
      <c r="N257" s="6" t="s">
        <v>152</v>
      </c>
      <c r="O257" s="6" t="s">
        <v>153</v>
      </c>
      <c r="P257" s="6" t="s">
        <v>153</v>
      </c>
      <c r="Q257" s="9" t="s">
        <v>154</v>
      </c>
      <c r="R257" s="2" t="s">
        <v>36</v>
      </c>
      <c r="S257" s="55">
        <f t="shared" si="262"/>
        <v>11805482.93</v>
      </c>
      <c r="T257" s="234">
        <v>9520093.4299999997</v>
      </c>
      <c r="U257" s="234">
        <v>2285389.5</v>
      </c>
      <c r="V257" s="55">
        <f t="shared" si="261"/>
        <v>0</v>
      </c>
      <c r="W257" s="234">
        <v>0</v>
      </c>
      <c r="X257" s="234">
        <v>0</v>
      </c>
      <c r="Y257" s="55">
        <f t="shared" si="263"/>
        <v>2251363.86</v>
      </c>
      <c r="Z257" s="234">
        <v>1680016.49</v>
      </c>
      <c r="AA257" s="234">
        <v>571347.37</v>
      </c>
      <c r="AB257" s="55">
        <f t="shared" si="264"/>
        <v>0</v>
      </c>
      <c r="AC257" s="234"/>
      <c r="AD257" s="234"/>
      <c r="AE257" s="63">
        <f t="shared" si="265"/>
        <v>14056846.789999999</v>
      </c>
      <c r="AF257" s="55">
        <v>216877.5</v>
      </c>
      <c r="AG257" s="55">
        <f t="shared" si="266"/>
        <v>14273724.289999999</v>
      </c>
      <c r="AH257" s="60" t="s">
        <v>607</v>
      </c>
      <c r="AI257" s="61" t="s">
        <v>181</v>
      </c>
      <c r="AJ257" s="62">
        <f>122452.96+57358.87+100383.61+47533.82+68603.68+156997.55</f>
        <v>553330.49</v>
      </c>
      <c r="AK257" s="67">
        <v>0</v>
      </c>
    </row>
    <row r="258" spans="1:37" ht="255" x14ac:dyDescent="0.25">
      <c r="A258" s="345" t="s">
        <v>2002</v>
      </c>
      <c r="B258" s="271">
        <v>120068</v>
      </c>
      <c r="C258" s="268">
        <v>55</v>
      </c>
      <c r="D258" s="235" t="s">
        <v>166</v>
      </c>
      <c r="E258" s="260" t="s">
        <v>165</v>
      </c>
      <c r="F258" s="439" t="s">
        <v>139</v>
      </c>
      <c r="G258" s="11" t="s">
        <v>114</v>
      </c>
      <c r="H258" s="11" t="s">
        <v>113</v>
      </c>
      <c r="I258" s="461" t="s">
        <v>188</v>
      </c>
      <c r="J258" s="3" t="s">
        <v>115</v>
      </c>
      <c r="K258" s="148">
        <v>43060</v>
      </c>
      <c r="L258" s="15">
        <v>43820</v>
      </c>
      <c r="M258" s="5">
        <f t="shared" si="260"/>
        <v>83.983862867470734</v>
      </c>
      <c r="N258" s="6" t="s">
        <v>152</v>
      </c>
      <c r="O258" s="6" t="s">
        <v>153</v>
      </c>
      <c r="P258" s="6" t="s">
        <v>153</v>
      </c>
      <c r="Q258" s="6" t="s">
        <v>154</v>
      </c>
      <c r="R258" s="6" t="s">
        <v>36</v>
      </c>
      <c r="S258" s="55">
        <f t="shared" si="262"/>
        <v>8678209.1799999997</v>
      </c>
      <c r="T258" s="234">
        <v>6998219.6100000003</v>
      </c>
      <c r="U258" s="234">
        <v>1679989.57</v>
      </c>
      <c r="V258" s="55">
        <f t="shared" si="261"/>
        <v>0</v>
      </c>
      <c r="W258" s="234">
        <v>0</v>
      </c>
      <c r="X258" s="234">
        <v>0</v>
      </c>
      <c r="Y258" s="55">
        <f t="shared" si="263"/>
        <v>1654977.3199999998</v>
      </c>
      <c r="Z258" s="234">
        <v>1234979.93</v>
      </c>
      <c r="AA258" s="234">
        <v>419997.39</v>
      </c>
      <c r="AB258" s="55">
        <f t="shared" si="264"/>
        <v>0</v>
      </c>
      <c r="AC258" s="234">
        <v>0</v>
      </c>
      <c r="AD258" s="234">
        <v>0</v>
      </c>
      <c r="AE258" s="63">
        <f t="shared" si="265"/>
        <v>10333186.5</v>
      </c>
      <c r="AF258" s="55">
        <v>0</v>
      </c>
      <c r="AG258" s="55">
        <f t="shared" si="266"/>
        <v>10333186.5</v>
      </c>
      <c r="AH258" s="60" t="s">
        <v>607</v>
      </c>
      <c r="AI258" s="61" t="s">
        <v>1229</v>
      </c>
      <c r="AJ258" s="62">
        <f>41796.8+106506.65</f>
        <v>148303.45000000001</v>
      </c>
      <c r="AK258" s="67">
        <v>0</v>
      </c>
    </row>
    <row r="259" spans="1:37" ht="141.75" x14ac:dyDescent="0.25">
      <c r="A259" s="345" t="s">
        <v>2003</v>
      </c>
      <c r="B259" s="271">
        <v>120082</v>
      </c>
      <c r="C259" s="268">
        <v>56</v>
      </c>
      <c r="D259" s="235" t="s">
        <v>164</v>
      </c>
      <c r="E259" s="260" t="s">
        <v>165</v>
      </c>
      <c r="F259" s="439" t="s">
        <v>139</v>
      </c>
      <c r="G259" s="11" t="s">
        <v>140</v>
      </c>
      <c r="H259" s="11" t="s">
        <v>138</v>
      </c>
      <c r="I259" s="235" t="s">
        <v>200</v>
      </c>
      <c r="J259" s="3" t="s">
        <v>141</v>
      </c>
      <c r="K259" s="148">
        <v>43006</v>
      </c>
      <c r="L259" s="15">
        <v>44102</v>
      </c>
      <c r="M259" s="5">
        <f t="shared" si="260"/>
        <v>83.98386279749451</v>
      </c>
      <c r="N259" s="6" t="s">
        <v>152</v>
      </c>
      <c r="O259" s="6" t="s">
        <v>153</v>
      </c>
      <c r="P259" s="6" t="s">
        <v>153</v>
      </c>
      <c r="Q259" s="9" t="s">
        <v>154</v>
      </c>
      <c r="R259" s="2" t="s">
        <v>36</v>
      </c>
      <c r="S259" s="55">
        <f t="shared" si="262"/>
        <v>5145385.2700000005</v>
      </c>
      <c r="T259" s="234">
        <v>4149304.93</v>
      </c>
      <c r="U259" s="234">
        <v>996080.34</v>
      </c>
      <c r="V259" s="55">
        <f t="shared" si="261"/>
        <v>0</v>
      </c>
      <c r="W259" s="234">
        <v>0</v>
      </c>
      <c r="X259" s="234">
        <v>0</v>
      </c>
      <c r="Y259" s="55">
        <f t="shared" si="263"/>
        <v>981250.37</v>
      </c>
      <c r="Z259" s="234">
        <v>732230.28</v>
      </c>
      <c r="AA259" s="234">
        <v>249020.09</v>
      </c>
      <c r="AB259" s="55">
        <f t="shared" si="264"/>
        <v>0</v>
      </c>
      <c r="AC259" s="234"/>
      <c r="AD259" s="234"/>
      <c r="AE259" s="63">
        <f t="shared" si="265"/>
        <v>6126635.6400000006</v>
      </c>
      <c r="AF259" s="55">
        <v>0</v>
      </c>
      <c r="AG259" s="55">
        <f t="shared" si="266"/>
        <v>6126635.6400000006</v>
      </c>
      <c r="AH259" s="60" t="s">
        <v>607</v>
      </c>
      <c r="AI259" s="74" t="s">
        <v>181</v>
      </c>
      <c r="AJ259" s="62">
        <f>15818.36+6578.46+48495.02</f>
        <v>70891.839999999997</v>
      </c>
      <c r="AK259" s="67">
        <v>0</v>
      </c>
    </row>
    <row r="260" spans="1:37" ht="141.75" x14ac:dyDescent="0.25">
      <c r="A260" s="345" t="s">
        <v>2004</v>
      </c>
      <c r="B260" s="271">
        <v>120126</v>
      </c>
      <c r="C260" s="268">
        <v>57</v>
      </c>
      <c r="D260" s="235" t="s">
        <v>164</v>
      </c>
      <c r="E260" s="260" t="s">
        <v>165</v>
      </c>
      <c r="F260" s="439" t="s">
        <v>139</v>
      </c>
      <c r="G260" s="11" t="s">
        <v>116</v>
      </c>
      <c r="H260" s="11" t="s">
        <v>113</v>
      </c>
      <c r="I260" s="235" t="s">
        <v>181</v>
      </c>
      <c r="J260" s="3" t="s">
        <v>117</v>
      </c>
      <c r="K260" s="148">
        <v>43060</v>
      </c>
      <c r="L260" s="15">
        <v>44094</v>
      </c>
      <c r="M260" s="5">
        <f t="shared" si="260"/>
        <v>83.98386273060467</v>
      </c>
      <c r="N260" s="6" t="s">
        <v>152</v>
      </c>
      <c r="O260" s="6" t="s">
        <v>153</v>
      </c>
      <c r="P260" s="6" t="s">
        <v>153</v>
      </c>
      <c r="Q260" s="9" t="s">
        <v>154</v>
      </c>
      <c r="R260" s="2" t="s">
        <v>36</v>
      </c>
      <c r="S260" s="55">
        <f t="shared" si="262"/>
        <v>2709276.16</v>
      </c>
      <c r="T260" s="234">
        <v>2184795.1800000002</v>
      </c>
      <c r="U260" s="234">
        <v>524480.98</v>
      </c>
      <c r="V260" s="55">
        <f t="shared" si="261"/>
        <v>0</v>
      </c>
      <c r="W260" s="234">
        <v>0</v>
      </c>
      <c r="X260" s="234">
        <v>0</v>
      </c>
      <c r="Y260" s="55">
        <f t="shared" si="263"/>
        <v>516672.34</v>
      </c>
      <c r="Z260" s="234">
        <v>385552.09</v>
      </c>
      <c r="AA260" s="234">
        <v>131120.25</v>
      </c>
      <c r="AB260" s="55">
        <f t="shared" si="264"/>
        <v>0</v>
      </c>
      <c r="AC260" s="234"/>
      <c r="AD260" s="234"/>
      <c r="AE260" s="63">
        <f t="shared" si="265"/>
        <v>3225948.5</v>
      </c>
      <c r="AF260" s="55">
        <v>0</v>
      </c>
      <c r="AG260" s="55">
        <f t="shared" si="266"/>
        <v>3225948.5</v>
      </c>
      <c r="AH260" s="60" t="s">
        <v>607</v>
      </c>
      <c r="AI260" s="200" t="s">
        <v>1400</v>
      </c>
      <c r="AJ260" s="62">
        <f>38081.64+10353.53+14871.03</f>
        <v>63306.2</v>
      </c>
      <c r="AK260" s="67">
        <v>0</v>
      </c>
    </row>
    <row r="261" spans="1:37" ht="283.5" x14ac:dyDescent="0.25">
      <c r="A261" s="345" t="s">
        <v>2005</v>
      </c>
      <c r="B261" s="271">
        <v>119957</v>
      </c>
      <c r="C261" s="268">
        <v>136</v>
      </c>
      <c r="D261" s="235" t="s">
        <v>166</v>
      </c>
      <c r="E261" s="260" t="s">
        <v>174</v>
      </c>
      <c r="F261" s="439" t="s">
        <v>142</v>
      </c>
      <c r="G261" s="11" t="s">
        <v>143</v>
      </c>
      <c r="H261" s="11" t="s">
        <v>86</v>
      </c>
      <c r="I261" s="235" t="s">
        <v>196</v>
      </c>
      <c r="J261" s="3" t="s">
        <v>144</v>
      </c>
      <c r="K261" s="148">
        <v>43047</v>
      </c>
      <c r="L261" s="15">
        <v>43838</v>
      </c>
      <c r="M261" s="5">
        <f t="shared" si="260"/>
        <v>83.983862631165763</v>
      </c>
      <c r="N261" s="6" t="s">
        <v>152</v>
      </c>
      <c r="O261" s="6" t="s">
        <v>153</v>
      </c>
      <c r="P261" s="6" t="s">
        <v>153</v>
      </c>
      <c r="Q261" s="9" t="s">
        <v>154</v>
      </c>
      <c r="R261" s="2" t="s">
        <v>36</v>
      </c>
      <c r="S261" s="55">
        <f t="shared" si="262"/>
        <v>30804926.460000001</v>
      </c>
      <c r="T261" s="234">
        <v>24841489.309999999</v>
      </c>
      <c r="U261" s="234">
        <v>5963437.1500000004</v>
      </c>
      <c r="V261" s="55">
        <f t="shared" si="261"/>
        <v>0</v>
      </c>
      <c r="W261" s="234">
        <v>0</v>
      </c>
      <c r="X261" s="234">
        <v>0</v>
      </c>
      <c r="Y261" s="55">
        <f t="shared" si="263"/>
        <v>5874651.6099999994</v>
      </c>
      <c r="Z261" s="234">
        <v>4383792.3</v>
      </c>
      <c r="AA261" s="234">
        <v>1490859.31</v>
      </c>
      <c r="AB261" s="55">
        <f t="shared" si="264"/>
        <v>0</v>
      </c>
      <c r="AC261" s="234"/>
      <c r="AD261" s="234"/>
      <c r="AE261" s="63">
        <f t="shared" si="265"/>
        <v>36679578.07</v>
      </c>
      <c r="AF261" s="55">
        <v>0</v>
      </c>
      <c r="AG261" s="55">
        <f t="shared" si="266"/>
        <v>36679578.07</v>
      </c>
      <c r="AH261" s="60" t="s">
        <v>607</v>
      </c>
      <c r="AI261" s="74" t="s">
        <v>1445</v>
      </c>
      <c r="AJ261" s="62">
        <f>279828.68+528409.7+438718.76+190085.92+282362.84+626562.73</f>
        <v>2345968.63</v>
      </c>
      <c r="AK261" s="67">
        <v>0</v>
      </c>
    </row>
    <row r="262" spans="1:37" s="1" customFormat="1" ht="220.5" x14ac:dyDescent="0.25">
      <c r="A262" s="345" t="s">
        <v>2006</v>
      </c>
      <c r="B262" s="271">
        <v>118963</v>
      </c>
      <c r="C262" s="268">
        <v>34</v>
      </c>
      <c r="D262" s="235" t="s">
        <v>169</v>
      </c>
      <c r="E262" s="260" t="s">
        <v>163</v>
      </c>
      <c r="F262" s="439" t="s">
        <v>177</v>
      </c>
      <c r="G262" s="11" t="s">
        <v>102</v>
      </c>
      <c r="H262" s="11" t="s">
        <v>86</v>
      </c>
      <c r="I262" s="235" t="s">
        <v>574</v>
      </c>
      <c r="J262" s="3" t="s">
        <v>103</v>
      </c>
      <c r="K262" s="148">
        <v>42629</v>
      </c>
      <c r="L262" s="15">
        <v>43540</v>
      </c>
      <c r="M262" s="5">
        <f t="shared" si="260"/>
        <v>83.983862803496507</v>
      </c>
      <c r="N262" s="6" t="s">
        <v>152</v>
      </c>
      <c r="O262" s="6" t="s">
        <v>153</v>
      </c>
      <c r="P262" s="6" t="s">
        <v>153</v>
      </c>
      <c r="Q262" s="9" t="s">
        <v>154</v>
      </c>
      <c r="R262" s="2" t="s">
        <v>36</v>
      </c>
      <c r="S262" s="55">
        <f t="shared" si="262"/>
        <v>4117071.25</v>
      </c>
      <c r="T262" s="234">
        <v>3320059.26</v>
      </c>
      <c r="U262" s="234">
        <v>797011.99</v>
      </c>
      <c r="V262" s="55">
        <f t="shared" si="261"/>
        <v>0</v>
      </c>
      <c r="W262" s="234">
        <v>0</v>
      </c>
      <c r="X262" s="234">
        <v>0</v>
      </c>
      <c r="Y262" s="55">
        <f t="shared" si="263"/>
        <v>785145.81</v>
      </c>
      <c r="Z262" s="234">
        <v>585892.81000000006</v>
      </c>
      <c r="AA262" s="234">
        <v>199253</v>
      </c>
      <c r="AB262" s="55">
        <f t="shared" si="264"/>
        <v>0</v>
      </c>
      <c r="AC262" s="234"/>
      <c r="AD262" s="234"/>
      <c r="AE262" s="63">
        <f t="shared" si="265"/>
        <v>4902217.0600000005</v>
      </c>
      <c r="AF262" s="55">
        <v>0</v>
      </c>
      <c r="AG262" s="55">
        <f t="shared" si="266"/>
        <v>4902217.0600000005</v>
      </c>
      <c r="AH262" s="60" t="s">
        <v>1325</v>
      </c>
      <c r="AI262" s="61" t="s">
        <v>183</v>
      </c>
      <c r="AJ262" s="62">
        <f>1460741.83+228438.52+391513.86+234930.38+421082.6+869050.66+18896.37</f>
        <v>3624654.22</v>
      </c>
      <c r="AK262" s="67">
        <v>0</v>
      </c>
    </row>
    <row r="263" spans="1:37" s="1" customFormat="1" ht="141.75" x14ac:dyDescent="0.25">
      <c r="A263" s="345" t="s">
        <v>2007</v>
      </c>
      <c r="B263" s="271">
        <v>118964</v>
      </c>
      <c r="C263" s="268">
        <v>35</v>
      </c>
      <c r="D263" s="235" t="s">
        <v>166</v>
      </c>
      <c r="E263" s="260" t="s">
        <v>163</v>
      </c>
      <c r="F263" s="439" t="s">
        <v>177</v>
      </c>
      <c r="G263" s="11" t="s">
        <v>104</v>
      </c>
      <c r="H263" s="11" t="s">
        <v>86</v>
      </c>
      <c r="I263" s="235" t="s">
        <v>863</v>
      </c>
      <c r="J263" s="3" t="s">
        <v>105</v>
      </c>
      <c r="K263" s="148">
        <v>42670</v>
      </c>
      <c r="L263" s="15">
        <v>43796</v>
      </c>
      <c r="M263" s="5">
        <f t="shared" si="260"/>
        <v>83.983860041638508</v>
      </c>
      <c r="N263" s="6" t="s">
        <v>152</v>
      </c>
      <c r="O263" s="6" t="s">
        <v>153</v>
      </c>
      <c r="P263" s="6" t="s">
        <v>153</v>
      </c>
      <c r="Q263" s="9" t="s">
        <v>154</v>
      </c>
      <c r="R263" s="2" t="s">
        <v>36</v>
      </c>
      <c r="S263" s="55">
        <f t="shared" si="262"/>
        <v>1279634.26</v>
      </c>
      <c r="T263" s="234">
        <v>1031913.55</v>
      </c>
      <c r="U263" s="234">
        <v>247720.71</v>
      </c>
      <c r="V263" s="55">
        <f t="shared" si="261"/>
        <v>0</v>
      </c>
      <c r="W263" s="234">
        <v>0</v>
      </c>
      <c r="X263" s="234">
        <v>0</v>
      </c>
      <c r="Y263" s="55">
        <f t="shared" si="263"/>
        <v>244032.62</v>
      </c>
      <c r="Z263" s="234">
        <v>182102.42</v>
      </c>
      <c r="AA263" s="234">
        <v>61930.2</v>
      </c>
      <c r="AB263" s="55">
        <f t="shared" si="264"/>
        <v>0</v>
      </c>
      <c r="AC263" s="234"/>
      <c r="AD263" s="234"/>
      <c r="AE263" s="63">
        <f t="shared" si="265"/>
        <v>1523666.88</v>
      </c>
      <c r="AF263" s="55">
        <v>0</v>
      </c>
      <c r="AG263" s="55">
        <f t="shared" si="266"/>
        <v>1523666.88</v>
      </c>
      <c r="AH263" s="60" t="s">
        <v>607</v>
      </c>
      <c r="AI263" s="61" t="s">
        <v>1633</v>
      </c>
      <c r="AJ263" s="62">
        <f>122689.41+119337.51+49801.59+108022.55</f>
        <v>399851.06</v>
      </c>
      <c r="AK263" s="67">
        <v>0</v>
      </c>
    </row>
    <row r="264" spans="1:37" s="1" customFormat="1" ht="157.5" x14ac:dyDescent="0.25">
      <c r="A264" s="345" t="s">
        <v>2008</v>
      </c>
      <c r="B264" s="271">
        <v>119981</v>
      </c>
      <c r="C264" s="268">
        <v>36</v>
      </c>
      <c r="D264" s="235" t="s">
        <v>1093</v>
      </c>
      <c r="E264" s="260" t="s">
        <v>163</v>
      </c>
      <c r="F264" s="439" t="s">
        <v>177</v>
      </c>
      <c r="G264" s="11" t="s">
        <v>106</v>
      </c>
      <c r="H264" s="11" t="s">
        <v>83</v>
      </c>
      <c r="I264" s="235" t="s">
        <v>181</v>
      </c>
      <c r="J264" s="3" t="s">
        <v>107</v>
      </c>
      <c r="K264" s="148">
        <v>42579</v>
      </c>
      <c r="L264" s="15">
        <v>43462</v>
      </c>
      <c r="M264" s="5">
        <f t="shared" si="260"/>
        <v>83.983863111728837</v>
      </c>
      <c r="N264" s="6" t="s">
        <v>152</v>
      </c>
      <c r="O264" s="6" t="s">
        <v>153</v>
      </c>
      <c r="P264" s="6" t="s">
        <v>153</v>
      </c>
      <c r="Q264" s="9" t="s">
        <v>154</v>
      </c>
      <c r="R264" s="2" t="s">
        <v>36</v>
      </c>
      <c r="S264" s="55">
        <f t="shared" si="262"/>
        <v>1627939.8599999999</v>
      </c>
      <c r="T264" s="234">
        <v>1312791.6599999999</v>
      </c>
      <c r="U264" s="234">
        <v>315148.2</v>
      </c>
      <c r="V264" s="55">
        <f t="shared" si="261"/>
        <v>0</v>
      </c>
      <c r="W264" s="234">
        <v>0</v>
      </c>
      <c r="X264" s="234">
        <v>0</v>
      </c>
      <c r="Y264" s="55">
        <f t="shared" si="263"/>
        <v>310456.15999999997</v>
      </c>
      <c r="Z264" s="234">
        <v>231669.11</v>
      </c>
      <c r="AA264" s="234">
        <v>78787.05</v>
      </c>
      <c r="AB264" s="55">
        <f t="shared" si="264"/>
        <v>0</v>
      </c>
      <c r="AC264" s="234"/>
      <c r="AD264" s="234"/>
      <c r="AE264" s="63">
        <f t="shared" si="265"/>
        <v>1938396.0199999998</v>
      </c>
      <c r="AF264" s="55">
        <v>0</v>
      </c>
      <c r="AG264" s="55">
        <f t="shared" si="266"/>
        <v>1938396.0199999998</v>
      </c>
      <c r="AH264" s="60" t="s">
        <v>1092</v>
      </c>
      <c r="AI264" s="61" t="s">
        <v>184</v>
      </c>
      <c r="AJ264" s="62">
        <f>559604.06+125761.16+33457.13+622518.23+7475.79+33855.21+3996.8</f>
        <v>1386668.3800000001</v>
      </c>
      <c r="AK264" s="67">
        <v>0</v>
      </c>
    </row>
    <row r="265" spans="1:37" s="1" customFormat="1" ht="204.75" x14ac:dyDescent="0.25">
      <c r="A265" s="345" t="s">
        <v>2009</v>
      </c>
      <c r="B265" s="271">
        <v>120414</v>
      </c>
      <c r="C265" s="268">
        <v>61</v>
      </c>
      <c r="D265" s="235" t="s">
        <v>169</v>
      </c>
      <c r="E265" s="260" t="s">
        <v>163</v>
      </c>
      <c r="F265" s="439" t="s">
        <v>145</v>
      </c>
      <c r="G265" s="11" t="s">
        <v>146</v>
      </c>
      <c r="H265" s="11" t="s">
        <v>352</v>
      </c>
      <c r="I265" s="235" t="s">
        <v>195</v>
      </c>
      <c r="J265" s="3" t="s">
        <v>699</v>
      </c>
      <c r="K265" s="148">
        <v>42893</v>
      </c>
      <c r="L265" s="15">
        <v>43928</v>
      </c>
      <c r="M265" s="5">
        <f t="shared" si="260"/>
        <v>83.395347070002629</v>
      </c>
      <c r="N265" s="6" t="s">
        <v>152</v>
      </c>
      <c r="O265" s="6" t="s">
        <v>153</v>
      </c>
      <c r="P265" s="6" t="s">
        <v>153</v>
      </c>
      <c r="Q265" s="9" t="s">
        <v>154</v>
      </c>
      <c r="R265" s="2" t="s">
        <v>36</v>
      </c>
      <c r="S265" s="55">
        <f t="shared" si="262"/>
        <v>9816719.1999999993</v>
      </c>
      <c r="T265" s="234">
        <v>7916328.7599999998</v>
      </c>
      <c r="U265" s="234">
        <v>1900390.44</v>
      </c>
      <c r="V265" s="55">
        <f t="shared" si="261"/>
        <v>647352.26</v>
      </c>
      <c r="W265" s="234">
        <v>483068.28</v>
      </c>
      <c r="X265" s="234">
        <v>164283.98000000001</v>
      </c>
      <c r="Y265" s="55">
        <f t="shared" si="263"/>
        <v>1307231.79</v>
      </c>
      <c r="Z265" s="234">
        <v>979654.51000000013</v>
      </c>
      <c r="AA265" s="234">
        <v>327577.27999999997</v>
      </c>
      <c r="AB265" s="55">
        <f t="shared" si="264"/>
        <v>0</v>
      </c>
      <c r="AC265" s="234"/>
      <c r="AD265" s="234"/>
      <c r="AE265" s="63">
        <f t="shared" si="265"/>
        <v>11771303.25</v>
      </c>
      <c r="AF265" s="55">
        <v>0</v>
      </c>
      <c r="AG265" s="55">
        <f t="shared" si="266"/>
        <v>11771303.25</v>
      </c>
      <c r="AH265" s="60" t="s">
        <v>607</v>
      </c>
      <c r="AI265" s="61" t="s">
        <v>1302</v>
      </c>
      <c r="AJ265" s="62">
        <v>1693123.23</v>
      </c>
      <c r="AK265" s="62">
        <v>116391.24</v>
      </c>
    </row>
    <row r="266" spans="1:37" ht="141.75" x14ac:dyDescent="0.25">
      <c r="A266" s="345" t="s">
        <v>2010</v>
      </c>
      <c r="B266" s="271">
        <v>119988</v>
      </c>
      <c r="C266" s="268">
        <v>62</v>
      </c>
      <c r="D266" s="235" t="s">
        <v>166</v>
      </c>
      <c r="E266" s="260" t="s">
        <v>163</v>
      </c>
      <c r="F266" s="439" t="s">
        <v>145</v>
      </c>
      <c r="G266" s="11" t="s">
        <v>147</v>
      </c>
      <c r="H266" s="11" t="s">
        <v>113</v>
      </c>
      <c r="I266" s="462" t="s">
        <v>204</v>
      </c>
      <c r="J266" s="3" t="s">
        <v>148</v>
      </c>
      <c r="K266" s="148">
        <v>43060</v>
      </c>
      <c r="L266" s="15">
        <v>44095</v>
      </c>
      <c r="M266" s="5">
        <f t="shared" si="260"/>
        <v>83.983862836233868</v>
      </c>
      <c r="N266" s="6" t="s">
        <v>152</v>
      </c>
      <c r="O266" s="6" t="s">
        <v>153</v>
      </c>
      <c r="P266" s="6" t="s">
        <v>153</v>
      </c>
      <c r="Q266" s="9" t="s">
        <v>154</v>
      </c>
      <c r="R266" s="6" t="s">
        <v>36</v>
      </c>
      <c r="S266" s="55">
        <f t="shared" si="262"/>
        <v>3950537.5</v>
      </c>
      <c r="T266" s="234">
        <v>3185764.3</v>
      </c>
      <c r="U266" s="234">
        <v>764773.2</v>
      </c>
      <c r="V266" s="55">
        <f t="shared" si="261"/>
        <v>0</v>
      </c>
      <c r="W266" s="234">
        <v>0</v>
      </c>
      <c r="X266" s="234">
        <v>0</v>
      </c>
      <c r="Y266" s="55">
        <f t="shared" si="263"/>
        <v>753387</v>
      </c>
      <c r="Z266" s="234">
        <v>562193.69999999995</v>
      </c>
      <c r="AA266" s="234">
        <v>191193.3</v>
      </c>
      <c r="AB266" s="55">
        <f t="shared" si="264"/>
        <v>0</v>
      </c>
      <c r="AC266" s="234"/>
      <c r="AD266" s="234"/>
      <c r="AE266" s="63">
        <f t="shared" si="265"/>
        <v>4703924.5</v>
      </c>
      <c r="AF266" s="55"/>
      <c r="AG266" s="55">
        <f t="shared" si="266"/>
        <v>4703924.5</v>
      </c>
      <c r="AH266" s="60" t="s">
        <v>607</v>
      </c>
      <c r="AI266" s="61" t="s">
        <v>1643</v>
      </c>
      <c r="AJ266" s="62">
        <f>143481.84+21902.16+29844.51</f>
        <v>195228.51</v>
      </c>
      <c r="AK266" s="62">
        <v>0</v>
      </c>
    </row>
    <row r="267" spans="1:37" ht="220.5" x14ac:dyDescent="0.25">
      <c r="A267" s="345" t="s">
        <v>2011</v>
      </c>
      <c r="B267" s="271">
        <v>119741</v>
      </c>
      <c r="C267" s="268">
        <v>63</v>
      </c>
      <c r="D267" s="235" t="s">
        <v>166</v>
      </c>
      <c r="E267" s="260" t="s">
        <v>163</v>
      </c>
      <c r="F267" s="439" t="s">
        <v>145</v>
      </c>
      <c r="G267" s="37" t="s">
        <v>150</v>
      </c>
      <c r="H267" s="11" t="s">
        <v>149</v>
      </c>
      <c r="I267" s="235" t="s">
        <v>181</v>
      </c>
      <c r="J267" s="3" t="s">
        <v>151</v>
      </c>
      <c r="K267" s="148">
        <v>43063</v>
      </c>
      <c r="L267" s="15">
        <v>43975</v>
      </c>
      <c r="M267" s="5">
        <f t="shared" si="260"/>
        <v>83.983862837339956</v>
      </c>
      <c r="N267" s="6" t="s">
        <v>152</v>
      </c>
      <c r="O267" s="6" t="s">
        <v>153</v>
      </c>
      <c r="P267" s="6" t="s">
        <v>153</v>
      </c>
      <c r="Q267" s="9" t="s">
        <v>154</v>
      </c>
      <c r="R267" s="6" t="s">
        <v>36</v>
      </c>
      <c r="S267" s="55">
        <f t="shared" si="262"/>
        <v>2267315.5699999998</v>
      </c>
      <c r="T267" s="234">
        <v>1828392.47</v>
      </c>
      <c r="U267" s="234">
        <v>438923.1</v>
      </c>
      <c r="V267" s="55">
        <f t="shared" si="261"/>
        <v>0</v>
      </c>
      <c r="W267" s="234">
        <v>0</v>
      </c>
      <c r="X267" s="234">
        <v>0</v>
      </c>
      <c r="Y267" s="55">
        <f t="shared" si="263"/>
        <v>432388.27</v>
      </c>
      <c r="Z267" s="234">
        <v>322657.49</v>
      </c>
      <c r="AA267" s="234">
        <v>109730.78</v>
      </c>
      <c r="AB267" s="55">
        <f t="shared" si="264"/>
        <v>0</v>
      </c>
      <c r="AC267" s="234"/>
      <c r="AD267" s="234"/>
      <c r="AE267" s="63">
        <f t="shared" si="265"/>
        <v>2699703.84</v>
      </c>
      <c r="AF267" s="55">
        <v>0</v>
      </c>
      <c r="AG267" s="55">
        <f t="shared" si="266"/>
        <v>2699703.84</v>
      </c>
      <c r="AH267" s="60" t="s">
        <v>607</v>
      </c>
      <c r="AI267" s="74" t="s">
        <v>1727</v>
      </c>
      <c r="AJ267" s="62">
        <f>29668.14+28646.05+103144.15+31797.13+161543.99</f>
        <v>354799.45999999996</v>
      </c>
      <c r="AK267" s="62">
        <v>0</v>
      </c>
    </row>
    <row r="268" spans="1:37" ht="126" x14ac:dyDescent="0.25">
      <c r="A268" s="345" t="s">
        <v>2012</v>
      </c>
      <c r="B268" s="271">
        <v>122485</v>
      </c>
      <c r="C268" s="268">
        <v>38</v>
      </c>
      <c r="D268" s="235" t="s">
        <v>169</v>
      </c>
      <c r="E268" s="439" t="s">
        <v>158</v>
      </c>
      <c r="F268" s="439" t="s">
        <v>25</v>
      </c>
      <c r="G268" s="37" t="s">
        <v>27</v>
      </c>
      <c r="H268" s="11" t="s">
        <v>351</v>
      </c>
      <c r="I268" s="235" t="s">
        <v>181</v>
      </c>
      <c r="J268" s="3" t="s">
        <v>28</v>
      </c>
      <c r="K268" s="148">
        <v>42488</v>
      </c>
      <c r="L268" s="15">
        <v>45288</v>
      </c>
      <c r="M268" s="5">
        <f t="shared" si="260"/>
        <v>84.695097599999997</v>
      </c>
      <c r="N268" s="6" t="s">
        <v>152</v>
      </c>
      <c r="O268" s="6" t="s">
        <v>153</v>
      </c>
      <c r="P268" s="6" t="s">
        <v>153</v>
      </c>
      <c r="Q268" s="9" t="s">
        <v>154</v>
      </c>
      <c r="R268" s="2" t="s">
        <v>26</v>
      </c>
      <c r="S268" s="55">
        <f t="shared" si="262"/>
        <v>16939019.52</v>
      </c>
      <c r="T268" s="234">
        <v>15963331.810000001</v>
      </c>
      <c r="U268" s="234">
        <v>975687.71</v>
      </c>
      <c r="V268" s="55">
        <f t="shared" si="261"/>
        <v>0</v>
      </c>
      <c r="W268" s="234">
        <v>0</v>
      </c>
      <c r="X268" s="234">
        <v>0</v>
      </c>
      <c r="Y268" s="55">
        <f t="shared" si="263"/>
        <v>3060980.48</v>
      </c>
      <c r="Z268" s="234">
        <v>2817058.55</v>
      </c>
      <c r="AA268" s="234">
        <v>243921.93</v>
      </c>
      <c r="AB268" s="55">
        <f t="shared" si="264"/>
        <v>0</v>
      </c>
      <c r="AC268" s="234"/>
      <c r="AD268" s="234"/>
      <c r="AE268" s="63">
        <f t="shared" si="265"/>
        <v>20000000</v>
      </c>
      <c r="AF268" s="55">
        <v>200000</v>
      </c>
      <c r="AG268" s="55">
        <f t="shared" si="266"/>
        <v>20200000</v>
      </c>
      <c r="AH268" s="60" t="s">
        <v>607</v>
      </c>
      <c r="AI268" s="61" t="s">
        <v>1086</v>
      </c>
      <c r="AJ268" s="79">
        <f>367086.52+3723.41+1413.34+18873.79+125767.27</f>
        <v>516864.33</v>
      </c>
      <c r="AK268" s="80">
        <v>0</v>
      </c>
    </row>
    <row r="269" spans="1:37" ht="78.75" x14ac:dyDescent="0.25">
      <c r="A269" s="345" t="s">
        <v>2013</v>
      </c>
      <c r="B269" s="271">
        <v>122484</v>
      </c>
      <c r="C269" s="268">
        <v>39</v>
      </c>
      <c r="D269" s="235" t="s">
        <v>169</v>
      </c>
      <c r="E269" s="439" t="s">
        <v>157</v>
      </c>
      <c r="F269" s="439" t="s">
        <v>25</v>
      </c>
      <c r="G269" s="37" t="s">
        <v>30</v>
      </c>
      <c r="H269" s="11" t="s">
        <v>351</v>
      </c>
      <c r="I269" s="235" t="s">
        <v>181</v>
      </c>
      <c r="J269" s="3" t="s">
        <v>31</v>
      </c>
      <c r="K269" s="148">
        <v>42488</v>
      </c>
      <c r="L269" s="15">
        <v>45288</v>
      </c>
      <c r="M269" s="5">
        <f t="shared" si="260"/>
        <v>84.695097596566526</v>
      </c>
      <c r="N269" s="6" t="s">
        <v>152</v>
      </c>
      <c r="O269" s="6" t="s">
        <v>153</v>
      </c>
      <c r="P269" s="6" t="s">
        <v>153</v>
      </c>
      <c r="Q269" s="9" t="s">
        <v>154</v>
      </c>
      <c r="R269" s="2" t="s">
        <v>29</v>
      </c>
      <c r="S269" s="55">
        <f t="shared" si="262"/>
        <v>59201873.219999999</v>
      </c>
      <c r="T269" s="234">
        <v>55791844.670000002</v>
      </c>
      <c r="U269" s="234">
        <v>3410028.55</v>
      </c>
      <c r="V269" s="55">
        <f t="shared" si="261"/>
        <v>0</v>
      </c>
      <c r="W269" s="234">
        <v>0</v>
      </c>
      <c r="X269" s="234">
        <v>0</v>
      </c>
      <c r="Y269" s="55">
        <f t="shared" si="263"/>
        <v>10698126.780000001</v>
      </c>
      <c r="Z269" s="234">
        <v>9845619.6400000006</v>
      </c>
      <c r="AA269" s="234">
        <v>852507.14</v>
      </c>
      <c r="AB269" s="55">
        <f t="shared" si="264"/>
        <v>0</v>
      </c>
      <c r="AC269" s="234"/>
      <c r="AD269" s="234"/>
      <c r="AE269" s="63">
        <f t="shared" si="265"/>
        <v>69900000</v>
      </c>
      <c r="AF269" s="55">
        <v>600000</v>
      </c>
      <c r="AG269" s="55">
        <f t="shared" si="266"/>
        <v>70500000</v>
      </c>
      <c r="AH269" s="60" t="s">
        <v>607</v>
      </c>
      <c r="AI269" s="61" t="s">
        <v>1087</v>
      </c>
      <c r="AJ269" s="62">
        <f>1614958.09+116790.02+175736.29+210865.38+813289.51+430129.67+188786.97</f>
        <v>3550555.93</v>
      </c>
      <c r="AK269" s="67">
        <v>0</v>
      </c>
    </row>
    <row r="270" spans="1:37" ht="63" x14ac:dyDescent="0.25">
      <c r="A270" s="345" t="s">
        <v>2014</v>
      </c>
      <c r="B270" s="271">
        <v>112483</v>
      </c>
      <c r="C270" s="268">
        <v>40</v>
      </c>
      <c r="D270" s="235" t="s">
        <v>169</v>
      </c>
      <c r="E270" s="439" t="s">
        <v>157</v>
      </c>
      <c r="F270" s="439" t="s">
        <v>25</v>
      </c>
      <c r="G270" s="37" t="s">
        <v>33</v>
      </c>
      <c r="H270" s="11" t="s">
        <v>351</v>
      </c>
      <c r="I270" s="235" t="s">
        <v>181</v>
      </c>
      <c r="J270" s="3" t="s">
        <v>34</v>
      </c>
      <c r="K270" s="148">
        <v>42488</v>
      </c>
      <c r="L270" s="15">
        <v>44314</v>
      </c>
      <c r="M270" s="5">
        <f t="shared" si="260"/>
        <v>84.695097599999997</v>
      </c>
      <c r="N270" s="6" t="s">
        <v>152</v>
      </c>
      <c r="O270" s="6" t="s">
        <v>153</v>
      </c>
      <c r="P270" s="6" t="s">
        <v>153</v>
      </c>
      <c r="Q270" s="9" t="s">
        <v>154</v>
      </c>
      <c r="R270" s="2" t="s">
        <v>32</v>
      </c>
      <c r="S270" s="55">
        <f t="shared" si="262"/>
        <v>50817058.560000002</v>
      </c>
      <c r="T270" s="234">
        <v>47889995.43</v>
      </c>
      <c r="U270" s="234">
        <v>2927063.13</v>
      </c>
      <c r="V270" s="55">
        <f t="shared" si="261"/>
        <v>0</v>
      </c>
      <c r="W270" s="234">
        <v>0</v>
      </c>
      <c r="X270" s="234">
        <v>0</v>
      </c>
      <c r="Y270" s="55">
        <f t="shared" si="263"/>
        <v>9182941.4399999995</v>
      </c>
      <c r="Z270" s="234">
        <v>8451175.6600000001</v>
      </c>
      <c r="AA270" s="234">
        <v>731765.78</v>
      </c>
      <c r="AB270" s="55">
        <f t="shared" si="264"/>
        <v>0</v>
      </c>
      <c r="AC270" s="234"/>
      <c r="AD270" s="234"/>
      <c r="AE270" s="63">
        <f t="shared" si="265"/>
        <v>60000000</v>
      </c>
      <c r="AF270" s="55">
        <v>1936000</v>
      </c>
      <c r="AG270" s="55">
        <f t="shared" si="266"/>
        <v>61936000</v>
      </c>
      <c r="AH270" s="60" t="s">
        <v>607</v>
      </c>
      <c r="AI270" s="61" t="s">
        <v>207</v>
      </c>
      <c r="AJ270" s="62">
        <f>18028067.88+2522724.79+2940219.11+5150825.51+1054081.31+2107332.6+2141049.72+3309298.32</f>
        <v>37253599.240000002</v>
      </c>
      <c r="AK270" s="67">
        <v>0</v>
      </c>
    </row>
    <row r="271" spans="1:37" ht="409.5" x14ac:dyDescent="0.25">
      <c r="A271" s="345" t="s">
        <v>2015</v>
      </c>
      <c r="B271" s="271">
        <v>109937</v>
      </c>
      <c r="C271" s="268">
        <v>162</v>
      </c>
      <c r="D271" s="235" t="s">
        <v>1093</v>
      </c>
      <c r="E271" s="260" t="s">
        <v>161</v>
      </c>
      <c r="F271" s="419" t="s">
        <v>345</v>
      </c>
      <c r="G271" s="37" t="s">
        <v>542</v>
      </c>
      <c r="H271" s="11" t="s">
        <v>346</v>
      </c>
      <c r="I271" s="235" t="s">
        <v>181</v>
      </c>
      <c r="J271" s="35" t="s">
        <v>543</v>
      </c>
      <c r="K271" s="148">
        <v>43173</v>
      </c>
      <c r="L271" s="15">
        <v>43660</v>
      </c>
      <c r="M271" s="5">
        <f t="shared" si="260"/>
        <v>82.304184778160604</v>
      </c>
      <c r="N271" s="6" t="s">
        <v>347</v>
      </c>
      <c r="O271" s="6" t="s">
        <v>335</v>
      </c>
      <c r="P271" s="6" t="s">
        <v>348</v>
      </c>
      <c r="Q271" s="10" t="s">
        <v>349</v>
      </c>
      <c r="R271" s="6" t="s">
        <v>36</v>
      </c>
      <c r="S271" s="55">
        <f t="shared" si="262"/>
        <v>762655.8600000001</v>
      </c>
      <c r="T271" s="234">
        <v>147617.44</v>
      </c>
      <c r="U271" s="234">
        <v>615038.42000000004</v>
      </c>
      <c r="V271" s="55">
        <f t="shared" si="261"/>
        <v>145442.25</v>
      </c>
      <c r="W271" s="234">
        <v>36906.06</v>
      </c>
      <c r="X271" s="234">
        <v>108536.19</v>
      </c>
      <c r="Y271" s="55">
        <f t="shared" si="263"/>
        <v>0</v>
      </c>
      <c r="Z271" s="234"/>
      <c r="AA271" s="234"/>
      <c r="AB271" s="55">
        <f t="shared" si="264"/>
        <v>18532.61</v>
      </c>
      <c r="AC271" s="234">
        <v>3765.78</v>
      </c>
      <c r="AD271" s="234">
        <v>14766.83</v>
      </c>
      <c r="AE271" s="63">
        <f t="shared" si="265"/>
        <v>926630.72000000009</v>
      </c>
      <c r="AF271" s="55">
        <v>0</v>
      </c>
      <c r="AG271" s="55">
        <f t="shared" si="266"/>
        <v>926630.72000000009</v>
      </c>
      <c r="AH271" s="60" t="s">
        <v>1534</v>
      </c>
      <c r="AI271" s="61"/>
      <c r="AJ271" s="198">
        <f>340951.1+52774.1+61862.22+16616.16+1069.94+8813.14+48351.34+107449.24-8088.73+50503.68+13263.31</f>
        <v>693565.5</v>
      </c>
      <c r="AK271" s="198">
        <f>47349.74+21861.72+3168.79+9424.88+1680.7+20491.06+8088.73+2529.39</f>
        <v>114595.00999999998</v>
      </c>
    </row>
    <row r="272" spans="1:37" ht="330.75" x14ac:dyDescent="0.25">
      <c r="A272" s="345" t="s">
        <v>2016</v>
      </c>
      <c r="B272" s="271">
        <v>112093</v>
      </c>
      <c r="C272" s="268">
        <v>344</v>
      </c>
      <c r="D272" s="235" t="s">
        <v>1334</v>
      </c>
      <c r="E272" s="260" t="s">
        <v>161</v>
      </c>
      <c r="F272" s="426" t="s">
        <v>345</v>
      </c>
      <c r="G272" s="37" t="s">
        <v>384</v>
      </c>
      <c r="H272" s="37" t="s">
        <v>385</v>
      </c>
      <c r="I272" s="260" t="s">
        <v>372</v>
      </c>
      <c r="J272" s="23" t="s">
        <v>544</v>
      </c>
      <c r="K272" s="148">
        <v>43188</v>
      </c>
      <c r="L272" s="15">
        <v>43553</v>
      </c>
      <c r="M272" s="5">
        <f t="shared" si="260"/>
        <v>82.304184346141142</v>
      </c>
      <c r="N272" s="6" t="s">
        <v>347</v>
      </c>
      <c r="O272" s="6" t="s">
        <v>386</v>
      </c>
      <c r="P272" s="6" t="s">
        <v>386</v>
      </c>
      <c r="Q272" s="10" t="s">
        <v>349</v>
      </c>
      <c r="R272" s="8" t="s">
        <v>36</v>
      </c>
      <c r="S272" s="55">
        <f t="shared" si="262"/>
        <v>624137.28</v>
      </c>
      <c r="T272" s="234">
        <v>503312.34</v>
      </c>
      <c r="U272" s="234">
        <v>120824.94</v>
      </c>
      <c r="V272" s="55">
        <f t="shared" si="261"/>
        <v>119026.06000000001</v>
      </c>
      <c r="W272" s="234">
        <v>88819.82</v>
      </c>
      <c r="X272" s="234">
        <v>30206.240000000002</v>
      </c>
      <c r="Y272" s="55">
        <f t="shared" si="263"/>
        <v>0</v>
      </c>
      <c r="Z272" s="234"/>
      <c r="AA272" s="234"/>
      <c r="AB272" s="55">
        <f t="shared" si="264"/>
        <v>15166.61</v>
      </c>
      <c r="AC272" s="234">
        <v>12084.34</v>
      </c>
      <c r="AD272" s="234">
        <v>3082.27</v>
      </c>
      <c r="AE272" s="63">
        <f t="shared" si="265"/>
        <v>758329.95000000007</v>
      </c>
      <c r="AF272" s="55">
        <v>0</v>
      </c>
      <c r="AG272" s="55">
        <f t="shared" si="266"/>
        <v>758329.95000000007</v>
      </c>
      <c r="AH272" s="60" t="s">
        <v>1092</v>
      </c>
      <c r="AI272" s="61" t="s">
        <v>376</v>
      </c>
      <c r="AJ272" s="198">
        <f>281863.03+67706.32-7048.99+70335.64+92451.16+65330.18-30787.09</f>
        <v>539850.25000000012</v>
      </c>
      <c r="AK272" s="198">
        <f>53450.47+7048.99+3931.35+17630.9+12458.8+8431.63</f>
        <v>102952.14</v>
      </c>
    </row>
    <row r="273" spans="1:37" ht="252" x14ac:dyDescent="0.25">
      <c r="A273" s="345" t="s">
        <v>2017</v>
      </c>
      <c r="B273" s="271">
        <v>110829</v>
      </c>
      <c r="C273" s="268">
        <v>345</v>
      </c>
      <c r="D273" s="235" t="s">
        <v>171</v>
      </c>
      <c r="E273" s="260" t="s">
        <v>161</v>
      </c>
      <c r="F273" s="426" t="s">
        <v>345</v>
      </c>
      <c r="G273" s="37" t="s">
        <v>387</v>
      </c>
      <c r="H273" s="37" t="s">
        <v>388</v>
      </c>
      <c r="I273" s="260" t="s">
        <v>181</v>
      </c>
      <c r="J273" s="23" t="s">
        <v>389</v>
      </c>
      <c r="K273" s="148">
        <v>43188</v>
      </c>
      <c r="L273" s="15">
        <v>43737</v>
      </c>
      <c r="M273" s="5">
        <f t="shared" si="260"/>
        <v>82.304186026137842</v>
      </c>
      <c r="N273" s="6" t="s">
        <v>347</v>
      </c>
      <c r="O273" s="6" t="s">
        <v>386</v>
      </c>
      <c r="P273" s="6" t="s">
        <v>386</v>
      </c>
      <c r="Q273" s="10" t="s">
        <v>349</v>
      </c>
      <c r="R273" s="8" t="s">
        <v>36</v>
      </c>
      <c r="S273" s="55">
        <f t="shared" si="262"/>
        <v>757586.23</v>
      </c>
      <c r="T273" s="234">
        <v>610927.28</v>
      </c>
      <c r="U273" s="234">
        <v>146658.95000000001</v>
      </c>
      <c r="V273" s="55">
        <f t="shared" si="261"/>
        <v>144475.43</v>
      </c>
      <c r="W273" s="234">
        <v>107810.7</v>
      </c>
      <c r="X273" s="234">
        <v>36664.730000000003</v>
      </c>
      <c r="Y273" s="55">
        <f t="shared" si="263"/>
        <v>0</v>
      </c>
      <c r="Z273" s="234"/>
      <c r="AA273" s="234"/>
      <c r="AB273" s="55">
        <f t="shared" si="264"/>
        <v>18409.420000000002</v>
      </c>
      <c r="AC273" s="234">
        <v>14668.12</v>
      </c>
      <c r="AD273" s="234">
        <v>3741.3</v>
      </c>
      <c r="AE273" s="63">
        <f t="shared" si="265"/>
        <v>920471.08</v>
      </c>
      <c r="AF273" s="55">
        <v>0</v>
      </c>
      <c r="AG273" s="55">
        <f t="shared" si="266"/>
        <v>920471.08</v>
      </c>
      <c r="AH273" s="60" t="s">
        <v>607</v>
      </c>
      <c r="AI273" s="61" t="s">
        <v>376</v>
      </c>
      <c r="AJ273" s="198">
        <f>89285.71-11964.69+140134-555.33+108178.82+21252.58+36085.35+107586.93+34575.24+28193.27</f>
        <v>552771.88</v>
      </c>
      <c r="AK273" s="198">
        <f>11964.69+11960.22+17298.63+11541.66+4052.98+14039.69+5043.38+6593.66+21646.1</f>
        <v>104141.01000000001</v>
      </c>
    </row>
    <row r="274" spans="1:37" ht="189" x14ac:dyDescent="0.25">
      <c r="A274" s="345" t="s">
        <v>2018</v>
      </c>
      <c r="B274" s="271">
        <v>111077</v>
      </c>
      <c r="C274" s="268">
        <v>352</v>
      </c>
      <c r="D274" s="235" t="s">
        <v>1334</v>
      </c>
      <c r="E274" s="260" t="s">
        <v>161</v>
      </c>
      <c r="F274" s="426" t="s">
        <v>345</v>
      </c>
      <c r="G274" s="37" t="s">
        <v>390</v>
      </c>
      <c r="H274" s="37" t="s">
        <v>391</v>
      </c>
      <c r="I274" s="260" t="s">
        <v>181</v>
      </c>
      <c r="J274" s="23" t="s">
        <v>392</v>
      </c>
      <c r="K274" s="148">
        <v>43188</v>
      </c>
      <c r="L274" s="15">
        <v>43672</v>
      </c>
      <c r="M274" s="5">
        <f t="shared" si="260"/>
        <v>82.304186243592014</v>
      </c>
      <c r="N274" s="6" t="s">
        <v>347</v>
      </c>
      <c r="O274" s="6" t="s">
        <v>386</v>
      </c>
      <c r="P274" s="6" t="s">
        <v>386</v>
      </c>
      <c r="Q274" s="10" t="s">
        <v>349</v>
      </c>
      <c r="R274" s="8" t="s">
        <v>36</v>
      </c>
      <c r="S274" s="55">
        <f t="shared" si="262"/>
        <v>704316.51</v>
      </c>
      <c r="T274" s="234">
        <v>567969.9</v>
      </c>
      <c r="U274" s="234">
        <v>136346.60999999999</v>
      </c>
      <c r="V274" s="55">
        <f t="shared" si="261"/>
        <v>134316.63</v>
      </c>
      <c r="W274" s="254">
        <v>100229.98</v>
      </c>
      <c r="X274" s="254">
        <v>34086.65</v>
      </c>
      <c r="Y274" s="55">
        <f t="shared" si="263"/>
        <v>0</v>
      </c>
      <c r="Z274" s="234"/>
      <c r="AA274" s="234"/>
      <c r="AB274" s="55">
        <f t="shared" si="264"/>
        <v>17114.96</v>
      </c>
      <c r="AC274" s="234">
        <v>13636.73</v>
      </c>
      <c r="AD274" s="234">
        <v>3478.23</v>
      </c>
      <c r="AE274" s="63">
        <f t="shared" si="265"/>
        <v>855748.1</v>
      </c>
      <c r="AF274" s="55"/>
      <c r="AG274" s="55">
        <f t="shared" si="266"/>
        <v>855748.1</v>
      </c>
      <c r="AH274" s="60" t="s">
        <v>1534</v>
      </c>
      <c r="AI274" s="61" t="s">
        <v>376</v>
      </c>
      <c r="AJ274" s="198">
        <f>85000+43282.16-11040.21+106472.55+153782.22-13315.84+83140.14+113279.69+50909.88</f>
        <v>611510.59</v>
      </c>
      <c r="AK274" s="198">
        <f>8254.12+14104.5+20304.84+13117.11+13315.84+21603+25918.68</f>
        <v>116618.09</v>
      </c>
    </row>
    <row r="275" spans="1:37" ht="252" x14ac:dyDescent="0.25">
      <c r="A275" s="345" t="s">
        <v>2019</v>
      </c>
      <c r="B275" s="271">
        <v>111631</v>
      </c>
      <c r="C275" s="268">
        <v>170</v>
      </c>
      <c r="D275" s="235" t="s">
        <v>167</v>
      </c>
      <c r="E275" s="260" t="s">
        <v>161</v>
      </c>
      <c r="F275" s="426" t="s">
        <v>345</v>
      </c>
      <c r="G275" s="37" t="s">
        <v>393</v>
      </c>
      <c r="H275" s="37" t="s">
        <v>394</v>
      </c>
      <c r="I275" s="463" t="s">
        <v>395</v>
      </c>
      <c r="J275" s="23" t="s">
        <v>1630</v>
      </c>
      <c r="K275" s="148">
        <v>43189</v>
      </c>
      <c r="L275" s="15">
        <v>43676</v>
      </c>
      <c r="M275" s="5">
        <f t="shared" si="260"/>
        <v>82.304185177297953</v>
      </c>
      <c r="N275" s="6" t="s">
        <v>347</v>
      </c>
      <c r="O275" s="6" t="s">
        <v>386</v>
      </c>
      <c r="P275" s="6" t="s">
        <v>386</v>
      </c>
      <c r="Q275" s="10" t="s">
        <v>349</v>
      </c>
      <c r="R275" s="8" t="s">
        <v>36</v>
      </c>
      <c r="S275" s="55">
        <f t="shared" si="262"/>
        <v>822209.74</v>
      </c>
      <c r="T275" s="234">
        <v>663040.52</v>
      </c>
      <c r="U275" s="234">
        <v>159169.22</v>
      </c>
      <c r="V275" s="55">
        <f t="shared" si="261"/>
        <v>156799.45000000001</v>
      </c>
      <c r="W275" s="234">
        <v>117007.15</v>
      </c>
      <c r="X275" s="234">
        <v>39792.300000000003</v>
      </c>
      <c r="Y275" s="55">
        <f t="shared" si="263"/>
        <v>0</v>
      </c>
      <c r="Z275" s="234"/>
      <c r="AA275" s="234"/>
      <c r="AB275" s="55">
        <f t="shared" si="264"/>
        <v>19979.79</v>
      </c>
      <c r="AC275" s="234">
        <v>15919.35</v>
      </c>
      <c r="AD275" s="234">
        <v>4060.44</v>
      </c>
      <c r="AE275" s="63">
        <f t="shared" si="265"/>
        <v>998988.98</v>
      </c>
      <c r="AF275" s="55"/>
      <c r="AG275" s="55">
        <f t="shared" si="266"/>
        <v>998988.98</v>
      </c>
      <c r="AH275" s="60" t="s">
        <v>1092</v>
      </c>
      <c r="AI275" s="61" t="s">
        <v>376</v>
      </c>
      <c r="AJ275" s="198">
        <f>99898.9+20257.44+82739.46+65227.91+122865.84+26629.39+183749.63+32157.06+25755.53+12712.7+82484.1</f>
        <v>754477.96</v>
      </c>
      <c r="AK275" s="198">
        <f>3863.19+15778.83+29070.82+6799.58+5078.36+35041.94+6132.52+4911.69+2424.38+19247</f>
        <v>128348.31000000001</v>
      </c>
    </row>
    <row r="276" spans="1:37" ht="157.5" x14ac:dyDescent="0.25">
      <c r="A276" s="345" t="s">
        <v>2020</v>
      </c>
      <c r="B276" s="271">
        <v>112405</v>
      </c>
      <c r="C276" s="268">
        <v>171</v>
      </c>
      <c r="D276" s="235" t="s">
        <v>167</v>
      </c>
      <c r="E276" s="260" t="s">
        <v>161</v>
      </c>
      <c r="F276" s="426" t="s">
        <v>345</v>
      </c>
      <c r="G276" s="37" t="s">
        <v>396</v>
      </c>
      <c r="H276" s="37" t="s">
        <v>397</v>
      </c>
      <c r="I276" s="463" t="s">
        <v>398</v>
      </c>
      <c r="J276" s="28" t="s">
        <v>1631</v>
      </c>
      <c r="K276" s="148">
        <v>43186</v>
      </c>
      <c r="L276" s="15">
        <v>43673</v>
      </c>
      <c r="M276" s="5">
        <f t="shared" si="260"/>
        <v>82.304185365731513</v>
      </c>
      <c r="N276" s="6" t="s">
        <v>347</v>
      </c>
      <c r="O276" s="6" t="s">
        <v>386</v>
      </c>
      <c r="P276" s="6" t="s">
        <v>386</v>
      </c>
      <c r="Q276" s="10" t="s">
        <v>349</v>
      </c>
      <c r="R276" s="8" t="s">
        <v>36</v>
      </c>
      <c r="S276" s="55">
        <f t="shared" si="262"/>
        <v>723131.98</v>
      </c>
      <c r="T276" s="234">
        <v>583142.93999999994</v>
      </c>
      <c r="U276" s="234">
        <v>139989.04</v>
      </c>
      <c r="V276" s="55">
        <f t="shared" si="261"/>
        <v>137904.84</v>
      </c>
      <c r="W276" s="234">
        <v>102907.58</v>
      </c>
      <c r="X276" s="234">
        <v>34997.26</v>
      </c>
      <c r="Y276" s="55">
        <f t="shared" si="263"/>
        <v>0</v>
      </c>
      <c r="Z276" s="234"/>
      <c r="AA276" s="234"/>
      <c r="AB276" s="55">
        <f t="shared" si="264"/>
        <v>17572.18</v>
      </c>
      <c r="AC276" s="234">
        <v>14001.03</v>
      </c>
      <c r="AD276" s="234">
        <v>3571.15</v>
      </c>
      <c r="AE276" s="63">
        <f t="shared" si="265"/>
        <v>878609</v>
      </c>
      <c r="AF276" s="55"/>
      <c r="AG276" s="55">
        <f t="shared" si="266"/>
        <v>878609</v>
      </c>
      <c r="AH276" s="60" t="s">
        <v>1092</v>
      </c>
      <c r="AI276" s="61"/>
      <c r="AJ276" s="198">
        <f>208329.69+72239-12893.42+110533+33743.88+27302.86+184981.92+10195.84</f>
        <v>634432.77</v>
      </c>
      <c r="AK276" s="198">
        <f>36750.34+12893.42+5726.93+6435.14+21177.89+19305.83+1944.4</f>
        <v>104233.95</v>
      </c>
    </row>
    <row r="277" spans="1:37" ht="141.75" x14ac:dyDescent="0.25">
      <c r="A277" s="345" t="s">
        <v>2021</v>
      </c>
      <c r="B277" s="271">
        <v>109810</v>
      </c>
      <c r="C277" s="268">
        <v>257</v>
      </c>
      <c r="D277" s="235" t="s">
        <v>1334</v>
      </c>
      <c r="E277" s="260" t="s">
        <v>161</v>
      </c>
      <c r="F277" s="426" t="s">
        <v>345</v>
      </c>
      <c r="G277" s="37" t="s">
        <v>399</v>
      </c>
      <c r="H277" s="37" t="s">
        <v>400</v>
      </c>
      <c r="I277" s="260" t="s">
        <v>181</v>
      </c>
      <c r="J277" s="23" t="s">
        <v>407</v>
      </c>
      <c r="K277" s="148">
        <v>43192</v>
      </c>
      <c r="L277" s="15">
        <v>43679</v>
      </c>
      <c r="M277" s="5">
        <f t="shared" si="260"/>
        <v>82.304188283311021</v>
      </c>
      <c r="N277" s="6" t="s">
        <v>347</v>
      </c>
      <c r="O277" s="6" t="s">
        <v>386</v>
      </c>
      <c r="P277" s="6" t="s">
        <v>386</v>
      </c>
      <c r="Q277" s="10" t="s">
        <v>349</v>
      </c>
      <c r="R277" s="8" t="s">
        <v>36</v>
      </c>
      <c r="S277" s="55">
        <f t="shared" si="262"/>
        <v>821139.01</v>
      </c>
      <c r="T277" s="254">
        <v>662177.06999999995</v>
      </c>
      <c r="U277" s="254">
        <v>158961.94</v>
      </c>
      <c r="V277" s="55">
        <f t="shared" si="261"/>
        <v>156595.26</v>
      </c>
      <c r="W277" s="254">
        <v>116854.78</v>
      </c>
      <c r="X277" s="254">
        <v>39740.480000000003</v>
      </c>
      <c r="Y277" s="55">
        <f t="shared" si="263"/>
        <v>0</v>
      </c>
      <c r="Z277" s="234"/>
      <c r="AA277" s="234"/>
      <c r="AB277" s="55">
        <f t="shared" si="264"/>
        <v>19953.73</v>
      </c>
      <c r="AC277" s="234">
        <v>15898.58</v>
      </c>
      <c r="AD277" s="234">
        <v>4055.15</v>
      </c>
      <c r="AE277" s="63">
        <f t="shared" si="265"/>
        <v>997688</v>
      </c>
      <c r="AF277" s="55"/>
      <c r="AG277" s="55">
        <f t="shared" si="266"/>
        <v>997688</v>
      </c>
      <c r="AH277" s="60" t="s">
        <v>1534</v>
      </c>
      <c r="AI277" s="61"/>
      <c r="AJ277" s="198">
        <f>311274.3+94352.8-8733.69+71724.61+102413.3+20161.59+85316+25210.31+6032.12-14966.85</f>
        <v>692784.49</v>
      </c>
      <c r="AK277" s="198">
        <f>40335.29+17993.54+8733.69+3278.99+19530.72+3844.92+16270.21+4807.73+1150.35+14966.85</f>
        <v>130912.29000000002</v>
      </c>
    </row>
    <row r="278" spans="1:37" ht="141.75" x14ac:dyDescent="0.25">
      <c r="A278" s="345" t="s">
        <v>2022</v>
      </c>
      <c r="B278" s="271">
        <v>112956</v>
      </c>
      <c r="C278" s="268">
        <v>273</v>
      </c>
      <c r="D278" s="235" t="s">
        <v>171</v>
      </c>
      <c r="E278" s="260" t="s">
        <v>161</v>
      </c>
      <c r="F278" s="426" t="s">
        <v>345</v>
      </c>
      <c r="G278" s="37" t="s">
        <v>401</v>
      </c>
      <c r="H278" s="52" t="s">
        <v>402</v>
      </c>
      <c r="I278" s="463" t="s">
        <v>403</v>
      </c>
      <c r="J278" s="23" t="s">
        <v>545</v>
      </c>
      <c r="K278" s="148">
        <v>43192</v>
      </c>
      <c r="L278" s="15">
        <v>43679</v>
      </c>
      <c r="M278" s="5">
        <f t="shared" si="260"/>
        <v>82.3041866136534</v>
      </c>
      <c r="N278" s="6" t="s">
        <v>347</v>
      </c>
      <c r="O278" s="6" t="s">
        <v>386</v>
      </c>
      <c r="P278" s="6" t="s">
        <v>386</v>
      </c>
      <c r="Q278" s="10" t="s">
        <v>349</v>
      </c>
      <c r="R278" s="8" t="s">
        <v>36</v>
      </c>
      <c r="S278" s="55">
        <f t="shared" si="262"/>
        <v>710350.48</v>
      </c>
      <c r="T278" s="234">
        <v>572835.77</v>
      </c>
      <c r="U278" s="234">
        <v>137514.71</v>
      </c>
      <c r="V278" s="55">
        <f t="shared" si="261"/>
        <v>135467.34</v>
      </c>
      <c r="W278" s="234">
        <v>101088.67</v>
      </c>
      <c r="X278" s="234">
        <v>34378.67</v>
      </c>
      <c r="Y278" s="55">
        <f t="shared" si="263"/>
        <v>0</v>
      </c>
      <c r="Z278" s="234">
        <v>0</v>
      </c>
      <c r="AA278" s="234">
        <v>0</v>
      </c>
      <c r="AB278" s="55">
        <f t="shared" si="264"/>
        <v>17261.579999999998</v>
      </c>
      <c r="AC278" s="234">
        <v>13753.55</v>
      </c>
      <c r="AD278" s="234">
        <v>3508.03</v>
      </c>
      <c r="AE278" s="63">
        <f t="shared" si="265"/>
        <v>863079.39999999991</v>
      </c>
      <c r="AF278" s="55"/>
      <c r="AG278" s="55">
        <f t="shared" si="266"/>
        <v>863079.39999999991</v>
      </c>
      <c r="AH278" s="60" t="s">
        <v>1534</v>
      </c>
      <c r="AI278" s="61" t="s">
        <v>181</v>
      </c>
      <c r="AJ278" s="198">
        <f>184670.36-1719.64+59823.53+78024.86+71396.89-5943.21+95904.43+18163.66+60511.58</f>
        <v>560832.46</v>
      </c>
      <c r="AK278" s="198">
        <f>18758.18+11080.69+14879.72+13615.74+5943.21+14676.76+11539.85</f>
        <v>90494.150000000009</v>
      </c>
    </row>
    <row r="279" spans="1:37" ht="220.5" x14ac:dyDescent="0.25">
      <c r="A279" s="345" t="s">
        <v>2023</v>
      </c>
      <c r="B279" s="271">
        <v>112066</v>
      </c>
      <c r="C279" s="268">
        <v>262</v>
      </c>
      <c r="D279" s="235" t="s">
        <v>171</v>
      </c>
      <c r="E279" s="260" t="s">
        <v>161</v>
      </c>
      <c r="F279" s="426" t="s">
        <v>345</v>
      </c>
      <c r="G279" s="39" t="s">
        <v>404</v>
      </c>
      <c r="H279" s="37" t="s">
        <v>405</v>
      </c>
      <c r="I279" s="463" t="s">
        <v>406</v>
      </c>
      <c r="J279" s="23" t="s">
        <v>546</v>
      </c>
      <c r="K279" s="148">
        <v>43193</v>
      </c>
      <c r="L279" s="15">
        <v>43680</v>
      </c>
      <c r="M279" s="5">
        <f t="shared" si="260"/>
        <v>82.304184459884823</v>
      </c>
      <c r="N279" s="6" t="s">
        <v>347</v>
      </c>
      <c r="O279" s="6" t="s">
        <v>386</v>
      </c>
      <c r="P279" s="6" t="s">
        <v>386</v>
      </c>
      <c r="Q279" s="10" t="s">
        <v>349</v>
      </c>
      <c r="R279" s="8" t="s">
        <v>36</v>
      </c>
      <c r="S279" s="55">
        <f t="shared" si="262"/>
        <v>822673.27</v>
      </c>
      <c r="T279" s="234">
        <v>663414.31999999995</v>
      </c>
      <c r="U279" s="234">
        <v>159258.95000000001</v>
      </c>
      <c r="V279" s="55">
        <f t="shared" si="261"/>
        <v>156887.87</v>
      </c>
      <c r="W279" s="234">
        <v>117073.13</v>
      </c>
      <c r="X279" s="234">
        <v>39814.74</v>
      </c>
      <c r="Y279" s="55">
        <f t="shared" si="263"/>
        <v>0</v>
      </c>
      <c r="Z279" s="234"/>
      <c r="AA279" s="234"/>
      <c r="AB279" s="55">
        <f t="shared" si="264"/>
        <v>19991.04</v>
      </c>
      <c r="AC279" s="234">
        <v>15928.31</v>
      </c>
      <c r="AD279" s="234">
        <v>4062.73</v>
      </c>
      <c r="AE279" s="63">
        <f t="shared" si="265"/>
        <v>999552.18</v>
      </c>
      <c r="AF279" s="55"/>
      <c r="AG279" s="55">
        <f t="shared" si="266"/>
        <v>999552.18</v>
      </c>
      <c r="AH279" s="60" t="s">
        <v>1534</v>
      </c>
      <c r="AI279" s="61" t="s">
        <v>181</v>
      </c>
      <c r="AJ279" s="198">
        <f>148819.34+46038+153649.09+7836.15+91741.83+53917+30387.67</f>
        <v>532389.08000000007</v>
      </c>
      <c r="AK279" s="198">
        <f>28380.59+38081.31+1494.39+17308.68+16264.22</f>
        <v>101529.19</v>
      </c>
    </row>
    <row r="280" spans="1:37" ht="236.25" x14ac:dyDescent="0.25">
      <c r="A280" s="345" t="s">
        <v>2024</v>
      </c>
      <c r="B280" s="271">
        <v>121460</v>
      </c>
      <c r="C280" s="268">
        <v>59</v>
      </c>
      <c r="D280" s="235" t="s">
        <v>168</v>
      </c>
      <c r="E280" s="260" t="s">
        <v>161</v>
      </c>
      <c r="F280" s="426" t="s">
        <v>125</v>
      </c>
      <c r="G280" s="34" t="s">
        <v>422</v>
      </c>
      <c r="H280" s="37" t="s">
        <v>424</v>
      </c>
      <c r="I280" s="260" t="s">
        <v>372</v>
      </c>
      <c r="J280" s="23" t="s">
        <v>423</v>
      </c>
      <c r="K280" s="148">
        <v>43207</v>
      </c>
      <c r="L280" s="15">
        <v>44302</v>
      </c>
      <c r="M280" s="5">
        <f t="shared" si="260"/>
        <v>83.983863089546503</v>
      </c>
      <c r="N280" s="2" t="s">
        <v>347</v>
      </c>
      <c r="O280" s="6" t="s">
        <v>386</v>
      </c>
      <c r="P280" s="6" t="s">
        <v>386</v>
      </c>
      <c r="Q280" s="10" t="s">
        <v>154</v>
      </c>
      <c r="R280" s="6" t="s">
        <v>36</v>
      </c>
      <c r="S280" s="55">
        <f t="shared" si="262"/>
        <v>6975407.2700000005</v>
      </c>
      <c r="T280" s="234">
        <v>5625058.2300000004</v>
      </c>
      <c r="U280" s="234">
        <v>1350349.04</v>
      </c>
      <c r="V280" s="55">
        <f t="shared" si="261"/>
        <v>0</v>
      </c>
      <c r="W280" s="234">
        <v>0</v>
      </c>
      <c r="X280" s="234">
        <v>0</v>
      </c>
      <c r="Y280" s="55">
        <f t="shared" si="263"/>
        <v>1330244.57</v>
      </c>
      <c r="Z280" s="254">
        <v>992657.31</v>
      </c>
      <c r="AA280" s="234">
        <v>337587.26</v>
      </c>
      <c r="AB280" s="55">
        <f t="shared" si="264"/>
        <v>0</v>
      </c>
      <c r="AC280" s="234">
        <v>0</v>
      </c>
      <c r="AD280" s="234">
        <v>0</v>
      </c>
      <c r="AE280" s="63">
        <f t="shared" si="265"/>
        <v>8305651.8400000008</v>
      </c>
      <c r="AF280" s="55">
        <v>0</v>
      </c>
      <c r="AG280" s="55">
        <f t="shared" si="266"/>
        <v>8305651.8400000008</v>
      </c>
      <c r="AH280" s="60" t="s">
        <v>607</v>
      </c>
      <c r="AI280" s="61" t="s">
        <v>1397</v>
      </c>
      <c r="AJ280" s="62">
        <f>59335.44+64701.17+90758.49+56070.66+295173.58</f>
        <v>566039.34000000008</v>
      </c>
      <c r="AK280" s="62">
        <v>0</v>
      </c>
    </row>
    <row r="281" spans="1:37" ht="173.25" x14ac:dyDescent="0.25">
      <c r="A281" s="345" t="s">
        <v>2025</v>
      </c>
      <c r="B281" s="271">
        <v>109749</v>
      </c>
      <c r="C281" s="268">
        <v>253</v>
      </c>
      <c r="D281" s="235" t="s">
        <v>1334</v>
      </c>
      <c r="E281" s="260" t="s">
        <v>161</v>
      </c>
      <c r="F281" s="426" t="s">
        <v>345</v>
      </c>
      <c r="G281" s="34" t="s">
        <v>411</v>
      </c>
      <c r="H281" s="40" t="s">
        <v>412</v>
      </c>
      <c r="I281" s="260" t="s">
        <v>181</v>
      </c>
      <c r="J281" s="23" t="s">
        <v>547</v>
      </c>
      <c r="K281" s="148">
        <v>43208</v>
      </c>
      <c r="L281" s="15">
        <v>43695</v>
      </c>
      <c r="M281" s="5">
        <f t="shared" si="260"/>
        <v>82.304185790916577</v>
      </c>
      <c r="N281" s="2" t="s">
        <v>347</v>
      </c>
      <c r="O281" s="2" t="s">
        <v>432</v>
      </c>
      <c r="P281" s="2" t="s">
        <v>432</v>
      </c>
      <c r="Q281" s="41" t="s">
        <v>349</v>
      </c>
      <c r="R281" s="26" t="s">
        <v>36</v>
      </c>
      <c r="S281" s="55">
        <f t="shared" si="262"/>
        <v>808649.72</v>
      </c>
      <c r="T281" s="254">
        <v>652105.54</v>
      </c>
      <c r="U281" s="254">
        <v>156544.18</v>
      </c>
      <c r="V281" s="55">
        <f t="shared" si="261"/>
        <v>154213.49</v>
      </c>
      <c r="W281" s="254">
        <v>115077.45</v>
      </c>
      <c r="X281" s="254">
        <v>39136.04</v>
      </c>
      <c r="Y281" s="55">
        <f t="shared" si="263"/>
        <v>0</v>
      </c>
      <c r="Z281" s="234">
        <v>0</v>
      </c>
      <c r="AA281" s="234">
        <v>0</v>
      </c>
      <c r="AB281" s="55">
        <f t="shared" si="264"/>
        <v>19650.27</v>
      </c>
      <c r="AC281" s="234">
        <v>15656.8</v>
      </c>
      <c r="AD281" s="234">
        <v>3993.47</v>
      </c>
      <c r="AE281" s="63">
        <f t="shared" si="265"/>
        <v>982513.48</v>
      </c>
      <c r="AF281" s="55"/>
      <c r="AG281" s="55">
        <f t="shared" si="266"/>
        <v>982513.48</v>
      </c>
      <c r="AH281" s="60" t="s">
        <v>1534</v>
      </c>
      <c r="AI281" s="61"/>
      <c r="AJ281" s="198">
        <f>320855.76+13409.42+153292.16+833.72+98250+85029.68+131034.25</f>
        <v>802704.99</v>
      </c>
      <c r="AK281" s="198">
        <f>63706.03+10496.81+18895.75+16215.58+24988.88</f>
        <v>134303.04999999999</v>
      </c>
    </row>
    <row r="282" spans="1:37" ht="220.5" x14ac:dyDescent="0.25">
      <c r="A282" s="345" t="s">
        <v>2026</v>
      </c>
      <c r="B282" s="271">
        <v>109967</v>
      </c>
      <c r="C282" s="268">
        <v>177</v>
      </c>
      <c r="D282" s="235" t="s">
        <v>167</v>
      </c>
      <c r="E282" s="260" t="s">
        <v>161</v>
      </c>
      <c r="F282" s="426" t="s">
        <v>345</v>
      </c>
      <c r="G282" s="34" t="s">
        <v>417</v>
      </c>
      <c r="H282" s="37" t="s">
        <v>418</v>
      </c>
      <c r="I282" s="260" t="s">
        <v>181</v>
      </c>
      <c r="J282" s="23" t="s">
        <v>548</v>
      </c>
      <c r="K282" s="148">
        <v>43208</v>
      </c>
      <c r="L282" s="15">
        <v>43695</v>
      </c>
      <c r="M282" s="5">
        <f t="shared" si="260"/>
        <v>82.304184597190911</v>
      </c>
      <c r="N282" s="6" t="s">
        <v>347</v>
      </c>
      <c r="O282" s="6" t="s">
        <v>386</v>
      </c>
      <c r="P282" s="6" t="s">
        <v>386</v>
      </c>
      <c r="Q282" s="10" t="s">
        <v>349</v>
      </c>
      <c r="R282" s="8" t="s">
        <v>36</v>
      </c>
      <c r="S282" s="55">
        <f t="shared" si="262"/>
        <v>804452.45</v>
      </c>
      <c r="T282" s="234">
        <v>648720.82999999996</v>
      </c>
      <c r="U282" s="234">
        <v>155731.62</v>
      </c>
      <c r="V282" s="55">
        <f t="shared" si="261"/>
        <v>153413.06</v>
      </c>
      <c r="W282" s="234">
        <v>114480.15</v>
      </c>
      <c r="X282" s="234">
        <v>38932.910000000003</v>
      </c>
      <c r="Y282" s="55">
        <f t="shared" si="263"/>
        <v>0</v>
      </c>
      <c r="Z282" s="396"/>
      <c r="AA282" s="396"/>
      <c r="AB282" s="55">
        <f t="shared" si="264"/>
        <v>19548.28</v>
      </c>
      <c r="AC282" s="234">
        <v>15575.51</v>
      </c>
      <c r="AD282" s="234">
        <v>3972.77</v>
      </c>
      <c r="AE282" s="63">
        <f t="shared" si="265"/>
        <v>977413.79</v>
      </c>
      <c r="AF282" s="55"/>
      <c r="AG282" s="55">
        <f t="shared" si="266"/>
        <v>977413.79</v>
      </c>
      <c r="AH282" s="60" t="s">
        <v>1092</v>
      </c>
      <c r="AI282" s="61" t="s">
        <v>1391</v>
      </c>
      <c r="AJ282" s="198">
        <f>312590.47-8868.28+88856.3+55475.75+73233.76+50351.94+43692.49-8964.67+55972.79-7971.42</f>
        <v>654369.12999999989</v>
      </c>
      <c r="AK282" s="198">
        <f>40972.78+16948.54+8885.07+13966.04+9602.34+8332.37+8964.67+7971.42</f>
        <v>115643.22999999998</v>
      </c>
    </row>
    <row r="283" spans="1:37" ht="204.75" x14ac:dyDescent="0.25">
      <c r="A283" s="345" t="s">
        <v>2027</v>
      </c>
      <c r="B283" s="271">
        <v>112811</v>
      </c>
      <c r="C283" s="260">
        <v>196</v>
      </c>
      <c r="D283" s="235" t="s">
        <v>167</v>
      </c>
      <c r="E283" s="260" t="s">
        <v>161</v>
      </c>
      <c r="F283" s="426" t="s">
        <v>345</v>
      </c>
      <c r="G283" s="34" t="s">
        <v>419</v>
      </c>
      <c r="H283" s="37" t="s">
        <v>420</v>
      </c>
      <c r="I283" s="260" t="s">
        <v>181</v>
      </c>
      <c r="J283" s="23" t="s">
        <v>421</v>
      </c>
      <c r="K283" s="148">
        <v>43208</v>
      </c>
      <c r="L283" s="15">
        <v>43573</v>
      </c>
      <c r="M283" s="5">
        <f t="shared" si="260"/>
        <v>82.304184666338784</v>
      </c>
      <c r="N283" s="6" t="s">
        <v>347</v>
      </c>
      <c r="O283" s="6" t="s">
        <v>386</v>
      </c>
      <c r="P283" s="6" t="s">
        <v>386</v>
      </c>
      <c r="Q283" s="10" t="s">
        <v>349</v>
      </c>
      <c r="R283" s="6" t="s">
        <v>36</v>
      </c>
      <c r="S283" s="55">
        <f t="shared" si="262"/>
        <v>760931.29</v>
      </c>
      <c r="T283" s="234">
        <v>613624.79</v>
      </c>
      <c r="U283" s="234">
        <v>147306.5</v>
      </c>
      <c r="V283" s="55">
        <f t="shared" si="261"/>
        <v>145113.35999999999</v>
      </c>
      <c r="W283" s="234">
        <v>108286.73</v>
      </c>
      <c r="X283" s="234">
        <v>36826.629999999997</v>
      </c>
      <c r="Y283" s="55">
        <f t="shared" si="263"/>
        <v>0</v>
      </c>
      <c r="Z283" s="234">
        <v>0</v>
      </c>
      <c r="AA283" s="234">
        <v>0</v>
      </c>
      <c r="AB283" s="55">
        <f t="shared" si="264"/>
        <v>18490.71</v>
      </c>
      <c r="AC283" s="234">
        <v>14732.89</v>
      </c>
      <c r="AD283" s="234">
        <v>3757.82</v>
      </c>
      <c r="AE283" s="63">
        <f t="shared" si="265"/>
        <v>924535.36</v>
      </c>
      <c r="AF283" s="55"/>
      <c r="AG283" s="55">
        <f t="shared" si="266"/>
        <v>924535.36</v>
      </c>
      <c r="AH283" s="60" t="s">
        <v>1092</v>
      </c>
      <c r="AI283" s="61"/>
      <c r="AJ283" s="198">
        <f>91800+75057.16+74073.77+121742.1-7175.16+205568.39+83432.56-15293.57</f>
        <v>629205.25000000012</v>
      </c>
      <c r="AK283" s="198">
        <f>14189.24+14126.23+23216.82+16262.9+21571.65+15911+14714.69</f>
        <v>119992.53</v>
      </c>
    </row>
    <row r="284" spans="1:37" ht="409.5" x14ac:dyDescent="0.25">
      <c r="A284" s="345" t="s">
        <v>2028</v>
      </c>
      <c r="B284" s="271">
        <v>112080</v>
      </c>
      <c r="C284" s="268">
        <v>354</v>
      </c>
      <c r="D284" s="235" t="s">
        <v>1334</v>
      </c>
      <c r="E284" s="260" t="s">
        <v>161</v>
      </c>
      <c r="F284" s="426" t="s">
        <v>345</v>
      </c>
      <c r="G284" s="34" t="s">
        <v>431</v>
      </c>
      <c r="H284" s="34" t="s">
        <v>430</v>
      </c>
      <c r="I284" s="260" t="s">
        <v>181</v>
      </c>
      <c r="J284" s="23" t="s">
        <v>549</v>
      </c>
      <c r="K284" s="148">
        <v>43214</v>
      </c>
      <c r="L284" s="15">
        <v>43793</v>
      </c>
      <c r="M284" s="5">
        <f t="shared" ref="M284:M347" si="267">S284/AE284*100</f>
        <v>82.304185109241828</v>
      </c>
      <c r="N284" s="6" t="s">
        <v>347</v>
      </c>
      <c r="O284" s="6" t="s">
        <v>386</v>
      </c>
      <c r="P284" s="6" t="s">
        <v>386</v>
      </c>
      <c r="Q284" s="10" t="s">
        <v>349</v>
      </c>
      <c r="R284" s="8" t="s">
        <v>36</v>
      </c>
      <c r="S284" s="55">
        <f t="shared" si="262"/>
        <v>570578.29</v>
      </c>
      <c r="T284" s="234">
        <v>460121.68</v>
      </c>
      <c r="U284" s="234">
        <v>110456.61</v>
      </c>
      <c r="V284" s="55">
        <f t="shared" ref="V284:V315" si="268">W284+X284</f>
        <v>108812.1</v>
      </c>
      <c r="W284" s="234">
        <v>81197.94</v>
      </c>
      <c r="X284" s="234">
        <v>27614.16</v>
      </c>
      <c r="Y284" s="55">
        <f t="shared" si="263"/>
        <v>0</v>
      </c>
      <c r="Z284" s="234">
        <v>0</v>
      </c>
      <c r="AA284" s="234">
        <v>0</v>
      </c>
      <c r="AB284" s="55">
        <f t="shared" ref="AB284:AB297" si="269">AC284+AD284</f>
        <v>13865.11</v>
      </c>
      <c r="AC284" s="234">
        <v>11047.34</v>
      </c>
      <c r="AD284" s="234">
        <v>2817.77</v>
      </c>
      <c r="AE284" s="63">
        <f t="shared" si="265"/>
        <v>693255.5</v>
      </c>
      <c r="AF284" s="55">
        <v>0</v>
      </c>
      <c r="AG284" s="55">
        <f t="shared" si="266"/>
        <v>693255.5</v>
      </c>
      <c r="AH284" s="60" t="s">
        <v>607</v>
      </c>
      <c r="AI284" s="61" t="s">
        <v>1598</v>
      </c>
      <c r="AJ284" s="198">
        <f>105536.1+45768.53+51356.28+43663.9-6908.51+43134.7-7385.61</f>
        <v>275165.39</v>
      </c>
      <c r="AK284" s="198">
        <f>6905.53+8728.29+18120.82+6908.51+7385.61</f>
        <v>48048.76</v>
      </c>
    </row>
    <row r="285" spans="1:37" ht="299.25" x14ac:dyDescent="0.25">
      <c r="A285" s="345" t="s">
        <v>2029</v>
      </c>
      <c r="B285" s="271">
        <v>111113</v>
      </c>
      <c r="C285" s="268">
        <v>252</v>
      </c>
      <c r="D285" s="235" t="s">
        <v>1334</v>
      </c>
      <c r="E285" s="260" t="s">
        <v>161</v>
      </c>
      <c r="F285" s="426" t="s">
        <v>345</v>
      </c>
      <c r="G285" s="34" t="s">
        <v>433</v>
      </c>
      <c r="H285" s="34" t="s">
        <v>1243</v>
      </c>
      <c r="I285" s="260" t="s">
        <v>460</v>
      </c>
      <c r="J285" s="23" t="s">
        <v>435</v>
      </c>
      <c r="K285" s="148">
        <v>43214</v>
      </c>
      <c r="L285" s="15">
        <v>43578</v>
      </c>
      <c r="M285" s="5">
        <f t="shared" si="267"/>
        <v>82.304185972255567</v>
      </c>
      <c r="N285" s="2" t="s">
        <v>347</v>
      </c>
      <c r="O285" s="2" t="s">
        <v>382</v>
      </c>
      <c r="P285" s="2" t="s">
        <v>434</v>
      </c>
      <c r="Q285" s="41" t="s">
        <v>349</v>
      </c>
      <c r="R285" s="26" t="s">
        <v>36</v>
      </c>
      <c r="S285" s="55">
        <f t="shared" ref="S285:S315" si="270">T285+U285</f>
        <v>793396.18</v>
      </c>
      <c r="T285" s="234">
        <v>639804.9</v>
      </c>
      <c r="U285" s="234">
        <v>153591.28</v>
      </c>
      <c r="V285" s="55">
        <f t="shared" si="268"/>
        <v>151304.57</v>
      </c>
      <c r="W285" s="234">
        <v>112906.75</v>
      </c>
      <c r="X285" s="234">
        <v>38397.82</v>
      </c>
      <c r="Y285" s="55">
        <f t="shared" ref="Y285:Y315" si="271">Z285+AA285</f>
        <v>0</v>
      </c>
      <c r="Z285" s="234">
        <v>0</v>
      </c>
      <c r="AA285" s="234">
        <v>0</v>
      </c>
      <c r="AB285" s="55">
        <f t="shared" si="269"/>
        <v>19279.599999999999</v>
      </c>
      <c r="AC285" s="234">
        <v>15361.46</v>
      </c>
      <c r="AD285" s="234">
        <v>3918.14</v>
      </c>
      <c r="AE285" s="63">
        <f t="shared" si="265"/>
        <v>963980.35</v>
      </c>
      <c r="AF285" s="55">
        <v>0</v>
      </c>
      <c r="AG285" s="55">
        <f t="shared" si="266"/>
        <v>963980.35</v>
      </c>
      <c r="AH285" s="60" t="s">
        <v>1092</v>
      </c>
      <c r="AI285" s="61" t="s">
        <v>181</v>
      </c>
      <c r="AJ285" s="198">
        <f>360374.76+80428.02+85558.08+11319.22+96397+20389.47+84094.42</f>
        <v>738560.97</v>
      </c>
      <c r="AK285" s="198">
        <f>36349.9+31943.22+13703.1+20542.02+22271.75+16037.23</f>
        <v>140847.22</v>
      </c>
    </row>
    <row r="286" spans="1:37" ht="362.25" x14ac:dyDescent="0.25">
      <c r="A286" s="345" t="s">
        <v>2030</v>
      </c>
      <c r="B286" s="271">
        <v>109880</v>
      </c>
      <c r="C286" s="268">
        <v>261</v>
      </c>
      <c r="D286" s="235" t="s">
        <v>171</v>
      </c>
      <c r="E286" s="260" t="s">
        <v>161</v>
      </c>
      <c r="F286" s="426" t="s">
        <v>345</v>
      </c>
      <c r="G286" s="34" t="s">
        <v>442</v>
      </c>
      <c r="H286" s="38" t="s">
        <v>440</v>
      </c>
      <c r="I286" s="456" t="s">
        <v>441</v>
      </c>
      <c r="J286" s="23" t="s">
        <v>550</v>
      </c>
      <c r="K286" s="148">
        <v>43214</v>
      </c>
      <c r="L286" s="15">
        <v>43640</v>
      </c>
      <c r="M286" s="5">
        <f t="shared" si="267"/>
        <v>82.304184374786118</v>
      </c>
      <c r="N286" s="6" t="s">
        <v>347</v>
      </c>
      <c r="O286" s="6" t="s">
        <v>286</v>
      </c>
      <c r="P286" s="6" t="s">
        <v>443</v>
      </c>
      <c r="Q286" s="10" t="s">
        <v>349</v>
      </c>
      <c r="R286" s="26" t="s">
        <v>36</v>
      </c>
      <c r="S286" s="55">
        <f t="shared" si="270"/>
        <v>782828.76</v>
      </c>
      <c r="T286" s="234">
        <v>631283.18999999994</v>
      </c>
      <c r="U286" s="234">
        <v>151545.57</v>
      </c>
      <c r="V286" s="55">
        <f t="shared" si="268"/>
        <v>149289.32</v>
      </c>
      <c r="W286" s="234">
        <v>111402.93</v>
      </c>
      <c r="X286" s="234">
        <v>37886.39</v>
      </c>
      <c r="Y286" s="55">
        <f t="shared" si="271"/>
        <v>0</v>
      </c>
      <c r="Z286" s="234"/>
      <c r="AA286" s="234"/>
      <c r="AB286" s="55">
        <f t="shared" si="269"/>
        <v>19022.82</v>
      </c>
      <c r="AC286" s="234">
        <v>15156.86</v>
      </c>
      <c r="AD286" s="234">
        <v>3865.96</v>
      </c>
      <c r="AE286" s="63">
        <f t="shared" si="265"/>
        <v>951140.9</v>
      </c>
      <c r="AF286" s="55"/>
      <c r="AG286" s="55">
        <f t="shared" si="266"/>
        <v>951140.9</v>
      </c>
      <c r="AH286" s="60" t="s">
        <v>1092</v>
      </c>
      <c r="AI286" s="61" t="s">
        <v>444</v>
      </c>
      <c r="AJ286" s="198">
        <f>158718.42+71720.08+35094.89+253530.72</f>
        <v>519064.11</v>
      </c>
      <c r="AK286" s="198">
        <f>13036.61+13677.37+23924.58+31117.83</f>
        <v>81756.390000000014</v>
      </c>
    </row>
    <row r="287" spans="1:37" ht="236.25" x14ac:dyDescent="0.25">
      <c r="A287" s="345" t="s">
        <v>2031</v>
      </c>
      <c r="B287" s="271">
        <v>110309</v>
      </c>
      <c r="C287" s="268">
        <v>304</v>
      </c>
      <c r="D287" s="235" t="s">
        <v>1093</v>
      </c>
      <c r="E287" s="260" t="s">
        <v>161</v>
      </c>
      <c r="F287" s="426" t="s">
        <v>345</v>
      </c>
      <c r="G287" s="11" t="s">
        <v>477</v>
      </c>
      <c r="H287" s="37" t="s">
        <v>478</v>
      </c>
      <c r="I287" s="260" t="s">
        <v>181</v>
      </c>
      <c r="J287" s="23" t="s">
        <v>479</v>
      </c>
      <c r="K287" s="148">
        <v>43217</v>
      </c>
      <c r="L287" s="15">
        <v>43826</v>
      </c>
      <c r="M287" s="5">
        <f t="shared" si="267"/>
        <v>82.304189246721677</v>
      </c>
      <c r="N287" s="2" t="s">
        <v>347</v>
      </c>
      <c r="O287" s="6" t="s">
        <v>447</v>
      </c>
      <c r="P287" s="6" t="s">
        <v>447</v>
      </c>
      <c r="Q287" s="10" t="s">
        <v>349</v>
      </c>
      <c r="R287" s="26" t="s">
        <v>36</v>
      </c>
      <c r="S287" s="55">
        <f t="shared" si="270"/>
        <v>822248.62</v>
      </c>
      <c r="T287" s="234">
        <v>663071.87</v>
      </c>
      <c r="U287" s="234">
        <v>159176.75</v>
      </c>
      <c r="V287" s="55">
        <f t="shared" si="268"/>
        <v>156806.83000000002</v>
      </c>
      <c r="W287" s="234">
        <v>117012.66</v>
      </c>
      <c r="X287" s="234">
        <v>39794.17</v>
      </c>
      <c r="Y287" s="55">
        <f t="shared" si="271"/>
        <v>0</v>
      </c>
      <c r="Z287" s="234">
        <v>0</v>
      </c>
      <c r="AA287" s="234">
        <v>0</v>
      </c>
      <c r="AB287" s="55">
        <f t="shared" si="269"/>
        <v>19980.72</v>
      </c>
      <c r="AC287" s="234">
        <v>15920.08</v>
      </c>
      <c r="AD287" s="234">
        <v>4060.64</v>
      </c>
      <c r="AE287" s="63">
        <f t="shared" si="265"/>
        <v>999036.16999999993</v>
      </c>
      <c r="AF287" s="55">
        <v>0</v>
      </c>
      <c r="AG287" s="55">
        <f t="shared" si="266"/>
        <v>999036.16999999993</v>
      </c>
      <c r="AH287" s="60" t="s">
        <v>607</v>
      </c>
      <c r="AI287" s="61" t="s">
        <v>1689</v>
      </c>
      <c r="AJ287" s="198">
        <f>83798.27+102389.01-8104.35+153466.67+9508.15</f>
        <v>341057.75</v>
      </c>
      <c r="AK287" s="198">
        <f>11201.73+6188.13+8104.35+19616.99+19930.21</f>
        <v>65041.409999999996</v>
      </c>
    </row>
    <row r="288" spans="1:37" ht="141.75" x14ac:dyDescent="0.25">
      <c r="A288" s="345" t="s">
        <v>2032</v>
      </c>
      <c r="B288" s="271">
        <v>112122</v>
      </c>
      <c r="C288" s="268">
        <v>172</v>
      </c>
      <c r="D288" s="235" t="s">
        <v>167</v>
      </c>
      <c r="E288" s="260" t="s">
        <v>161</v>
      </c>
      <c r="F288" s="426" t="s">
        <v>345</v>
      </c>
      <c r="G288" s="42" t="s">
        <v>445</v>
      </c>
      <c r="H288" s="37" t="s">
        <v>446</v>
      </c>
      <c r="I288" s="260" t="s">
        <v>181</v>
      </c>
      <c r="J288" s="23" t="s">
        <v>1637</v>
      </c>
      <c r="K288" s="148">
        <v>43217</v>
      </c>
      <c r="L288" s="15">
        <v>43796</v>
      </c>
      <c r="M288" s="5">
        <f t="shared" si="267"/>
        <v>82.30418763248349</v>
      </c>
      <c r="N288" s="2" t="s">
        <v>347</v>
      </c>
      <c r="O288" s="2" t="s">
        <v>286</v>
      </c>
      <c r="P288" s="2" t="s">
        <v>443</v>
      </c>
      <c r="Q288" s="41" t="s">
        <v>349</v>
      </c>
      <c r="R288" s="26" t="s">
        <v>36</v>
      </c>
      <c r="S288" s="55">
        <f t="shared" si="270"/>
        <v>773010.27999999991</v>
      </c>
      <c r="T288" s="234">
        <v>623365.43999999994</v>
      </c>
      <c r="U288" s="234">
        <v>149644.84</v>
      </c>
      <c r="V288" s="55">
        <f t="shared" si="268"/>
        <v>147416.85999999999</v>
      </c>
      <c r="W288" s="234">
        <v>110005.65</v>
      </c>
      <c r="X288" s="234">
        <v>37411.21</v>
      </c>
      <c r="Y288" s="55">
        <f t="shared" si="271"/>
        <v>0</v>
      </c>
      <c r="Z288" s="234">
        <v>0</v>
      </c>
      <c r="AA288" s="234">
        <v>0</v>
      </c>
      <c r="AB288" s="55">
        <f t="shared" si="269"/>
        <v>18784.22</v>
      </c>
      <c r="AC288" s="234">
        <v>14966.74</v>
      </c>
      <c r="AD288" s="234">
        <v>3817.48</v>
      </c>
      <c r="AE288" s="63">
        <f t="shared" si="265"/>
        <v>939211.35999999987</v>
      </c>
      <c r="AF288" s="55">
        <v>0</v>
      </c>
      <c r="AG288" s="55">
        <f t="shared" si="266"/>
        <v>939211.35999999987</v>
      </c>
      <c r="AH288" s="60" t="s">
        <v>607</v>
      </c>
      <c r="AI288" s="61" t="s">
        <v>1628</v>
      </c>
      <c r="AJ288" s="198">
        <f>203464.35+52738-9972.73+62266+18526.35+82225+36211.55+59667.9+91356.19</f>
        <v>596482.61</v>
      </c>
      <c r="AK288" s="198">
        <f>20890.44+10057.4+9972.73+19214.05+7939.81+11378.95+31555.62</f>
        <v>111008.99999999999</v>
      </c>
    </row>
    <row r="289" spans="1:37" ht="267.75" x14ac:dyDescent="0.25">
      <c r="A289" s="345" t="s">
        <v>2033</v>
      </c>
      <c r="B289" s="271">
        <v>111683</v>
      </c>
      <c r="C289" s="268">
        <v>339</v>
      </c>
      <c r="D289" s="235" t="s">
        <v>1093</v>
      </c>
      <c r="E289" s="260" t="s">
        <v>161</v>
      </c>
      <c r="F289" s="426" t="s">
        <v>345</v>
      </c>
      <c r="G289" s="11" t="s">
        <v>461</v>
      </c>
      <c r="H289" s="11" t="s">
        <v>462</v>
      </c>
      <c r="I289" s="260" t="s">
        <v>181</v>
      </c>
      <c r="J289" s="23" t="s">
        <v>551</v>
      </c>
      <c r="K289" s="148">
        <v>43227</v>
      </c>
      <c r="L289" s="15">
        <v>43837</v>
      </c>
      <c r="M289" s="5">
        <f t="shared" si="267"/>
        <v>82.304181640652189</v>
      </c>
      <c r="N289" s="2" t="s">
        <v>347</v>
      </c>
      <c r="O289" s="2" t="s">
        <v>335</v>
      </c>
      <c r="P289" s="2" t="s">
        <v>335</v>
      </c>
      <c r="Q289" s="41" t="s">
        <v>349</v>
      </c>
      <c r="R289" s="26" t="s">
        <v>36</v>
      </c>
      <c r="S289" s="55">
        <f t="shared" si="270"/>
        <v>791387.4800000001</v>
      </c>
      <c r="T289" s="234">
        <v>638185.06000000006</v>
      </c>
      <c r="U289" s="377">
        <v>153202.42000000001</v>
      </c>
      <c r="V289" s="55">
        <f t="shared" si="268"/>
        <v>150921.54999999999</v>
      </c>
      <c r="W289" s="386">
        <v>112620.91</v>
      </c>
      <c r="X289" s="234">
        <v>38300.639999999999</v>
      </c>
      <c r="Y289" s="55">
        <f t="shared" si="271"/>
        <v>0</v>
      </c>
      <c r="Z289" s="234">
        <v>0</v>
      </c>
      <c r="AA289" s="234">
        <v>0</v>
      </c>
      <c r="AB289" s="55">
        <f t="shared" si="269"/>
        <v>19230.79</v>
      </c>
      <c r="AC289" s="234">
        <v>15322.58</v>
      </c>
      <c r="AD289" s="234">
        <v>3908.21</v>
      </c>
      <c r="AE289" s="63">
        <f t="shared" si="265"/>
        <v>961539.82000000007</v>
      </c>
      <c r="AF289" s="55"/>
      <c r="AG289" s="55">
        <f t="shared" si="266"/>
        <v>961539.82000000007</v>
      </c>
      <c r="AH289" s="60" t="s">
        <v>607</v>
      </c>
      <c r="AI289" s="61" t="s">
        <v>1688</v>
      </c>
      <c r="AJ289" s="198">
        <f>96153.98-3298.47-11810.23+94334.22-8651.37</f>
        <v>166728.13</v>
      </c>
      <c r="AK289" s="198">
        <f>3298.47+11810.23+8651.37</f>
        <v>23760.07</v>
      </c>
    </row>
    <row r="290" spans="1:37" ht="409.5" x14ac:dyDescent="0.25">
      <c r="A290" s="345" t="s">
        <v>2034</v>
      </c>
      <c r="B290" s="271">
        <v>112332</v>
      </c>
      <c r="C290" s="268">
        <v>351</v>
      </c>
      <c r="D290" s="235" t="s">
        <v>1334</v>
      </c>
      <c r="E290" s="260" t="s">
        <v>161</v>
      </c>
      <c r="F290" s="426" t="s">
        <v>345</v>
      </c>
      <c r="G290" s="82" t="s">
        <v>463</v>
      </c>
      <c r="H290" s="83" t="s">
        <v>464</v>
      </c>
      <c r="I290" s="464" t="s">
        <v>465</v>
      </c>
      <c r="J290" s="23" t="s">
        <v>466</v>
      </c>
      <c r="K290" s="148">
        <v>43227</v>
      </c>
      <c r="L290" s="15">
        <v>43715</v>
      </c>
      <c r="M290" s="5">
        <f t="shared" si="267"/>
        <v>82.803274080218131</v>
      </c>
      <c r="N290" s="2" t="s">
        <v>347</v>
      </c>
      <c r="O290" s="6" t="s">
        <v>1014</v>
      </c>
      <c r="P290" s="6" t="s">
        <v>1015</v>
      </c>
      <c r="Q290" s="41" t="s">
        <v>349</v>
      </c>
      <c r="R290" s="26" t="s">
        <v>36</v>
      </c>
      <c r="S290" s="55">
        <f>T290+U290</f>
        <v>789905.57000000007</v>
      </c>
      <c r="T290" s="234">
        <v>636990.03</v>
      </c>
      <c r="U290" s="234">
        <v>152915.54</v>
      </c>
      <c r="V290" s="55">
        <f t="shared" si="268"/>
        <v>144969.853</v>
      </c>
      <c r="W290" s="234">
        <v>107893.05</v>
      </c>
      <c r="X290" s="234">
        <v>37076.803</v>
      </c>
      <c r="Y290" s="55">
        <f t="shared" si="271"/>
        <v>0</v>
      </c>
      <c r="Z290" s="234">
        <v>0</v>
      </c>
      <c r="AA290" s="234">
        <v>0</v>
      </c>
      <c r="AB290" s="55">
        <f t="shared" si="269"/>
        <v>19079.09</v>
      </c>
      <c r="AC290" s="234">
        <v>15201.708000000001</v>
      </c>
      <c r="AD290" s="234">
        <v>3877.3820000000001</v>
      </c>
      <c r="AE290" s="63">
        <f t="shared" si="265"/>
        <v>953954.51300000004</v>
      </c>
      <c r="AF290" s="55">
        <v>0</v>
      </c>
      <c r="AG290" s="55">
        <f t="shared" si="266"/>
        <v>953954.51300000004</v>
      </c>
      <c r="AH290" s="60" t="s">
        <v>607</v>
      </c>
      <c r="AI290" s="61" t="s">
        <v>181</v>
      </c>
      <c r="AJ290" s="198">
        <f>103189.19-10344.17+64585.92+101525.85+67050.25+55900.12</f>
        <v>381907.16000000003</v>
      </c>
      <c r="AK290" s="198">
        <f>6891.88+10344.17+32148.26+10660.44</f>
        <v>60044.75</v>
      </c>
    </row>
    <row r="291" spans="1:37" ht="220.5" x14ac:dyDescent="0.25">
      <c r="A291" s="345" t="s">
        <v>2035</v>
      </c>
      <c r="B291" s="271">
        <v>115657</v>
      </c>
      <c r="C291" s="268">
        <v>390</v>
      </c>
      <c r="D291" s="235" t="s">
        <v>169</v>
      </c>
      <c r="E291" s="260" t="s">
        <v>161</v>
      </c>
      <c r="F291" s="419" t="s">
        <v>468</v>
      </c>
      <c r="G291" s="11" t="s">
        <v>467</v>
      </c>
      <c r="H291" s="11" t="s">
        <v>42</v>
      </c>
      <c r="I291" s="235" t="s">
        <v>469</v>
      </c>
      <c r="J291" s="23" t="s">
        <v>470</v>
      </c>
      <c r="K291" s="148">
        <v>43223</v>
      </c>
      <c r="L291" s="15">
        <v>44015</v>
      </c>
      <c r="M291" s="5">
        <f t="shared" si="267"/>
        <v>83.983862800906138</v>
      </c>
      <c r="N291" s="6" t="s">
        <v>347</v>
      </c>
      <c r="O291" s="6" t="s">
        <v>386</v>
      </c>
      <c r="P291" s="6" t="s">
        <v>386</v>
      </c>
      <c r="Q291" s="10" t="s">
        <v>154</v>
      </c>
      <c r="R291" s="8" t="s">
        <v>36</v>
      </c>
      <c r="S291" s="55">
        <f t="shared" si="270"/>
        <v>5309367.55</v>
      </c>
      <c r="T291" s="234">
        <v>4281542.3499999996</v>
      </c>
      <c r="U291" s="234">
        <v>1027825.2</v>
      </c>
      <c r="V291" s="55">
        <f t="shared" si="268"/>
        <v>0</v>
      </c>
      <c r="W291" s="234">
        <v>0</v>
      </c>
      <c r="X291" s="234">
        <v>0</v>
      </c>
      <c r="Y291" s="55">
        <f t="shared" si="271"/>
        <v>1012522.6000000001</v>
      </c>
      <c r="Z291" s="234">
        <v>755566.3</v>
      </c>
      <c r="AA291" s="234">
        <v>256956.3</v>
      </c>
      <c r="AB291" s="55">
        <f t="shared" si="269"/>
        <v>0</v>
      </c>
      <c r="AC291" s="234">
        <v>0</v>
      </c>
      <c r="AD291" s="234">
        <v>0</v>
      </c>
      <c r="AE291" s="63">
        <f t="shared" si="265"/>
        <v>6321890.1500000004</v>
      </c>
      <c r="AF291" s="55">
        <v>0</v>
      </c>
      <c r="AG291" s="55">
        <f t="shared" si="266"/>
        <v>6321890.1500000004</v>
      </c>
      <c r="AH291" s="60" t="s">
        <v>607</v>
      </c>
      <c r="AI291" s="61" t="s">
        <v>1059</v>
      </c>
      <c r="AJ291" s="62">
        <f>353113.65+235442.42+97604.52</f>
        <v>686160.59000000008</v>
      </c>
      <c r="AK291" s="62">
        <v>0</v>
      </c>
    </row>
    <row r="292" spans="1:37" ht="189" x14ac:dyDescent="0.25">
      <c r="A292" s="345" t="s">
        <v>2036</v>
      </c>
      <c r="B292" s="271">
        <v>121858</v>
      </c>
      <c r="C292" s="268">
        <v>50</v>
      </c>
      <c r="D292" s="235" t="s">
        <v>166</v>
      </c>
      <c r="E292" s="260" t="s">
        <v>161</v>
      </c>
      <c r="F292" s="426" t="s">
        <v>125</v>
      </c>
      <c r="G292" s="37" t="s">
        <v>471</v>
      </c>
      <c r="H292" s="37" t="s">
        <v>476</v>
      </c>
      <c r="I292" s="260" t="s">
        <v>372</v>
      </c>
      <c r="J292" s="23" t="s">
        <v>472</v>
      </c>
      <c r="K292" s="148">
        <v>43229</v>
      </c>
      <c r="L292" s="15">
        <v>44144</v>
      </c>
      <c r="M292" s="5">
        <f t="shared" si="267"/>
        <v>83.983862841119134</v>
      </c>
      <c r="N292" s="2" t="s">
        <v>347</v>
      </c>
      <c r="O292" s="6" t="s">
        <v>386</v>
      </c>
      <c r="P292" s="6" t="s">
        <v>386</v>
      </c>
      <c r="Q292" s="10" t="s">
        <v>154</v>
      </c>
      <c r="R292" s="6" t="s">
        <v>36</v>
      </c>
      <c r="S292" s="55">
        <f t="shared" si="270"/>
        <v>9905083.2300000004</v>
      </c>
      <c r="T292" s="234">
        <v>7987586.6500000004</v>
      </c>
      <c r="U292" s="234">
        <v>1917496.58</v>
      </c>
      <c r="V292" s="55">
        <f t="shared" si="268"/>
        <v>0</v>
      </c>
      <c r="W292" s="234">
        <v>0</v>
      </c>
      <c r="X292" s="234">
        <v>0</v>
      </c>
      <c r="Y292" s="55">
        <f t="shared" si="271"/>
        <v>1888948.2600000002</v>
      </c>
      <c r="Z292" s="254">
        <v>1409574.12</v>
      </c>
      <c r="AA292" s="234">
        <v>479374.14</v>
      </c>
      <c r="AB292" s="55">
        <f t="shared" si="269"/>
        <v>0</v>
      </c>
      <c r="AC292" s="234">
        <v>0</v>
      </c>
      <c r="AD292" s="234">
        <v>0</v>
      </c>
      <c r="AE292" s="63">
        <f t="shared" ref="AE292:AE293" si="272">S292+V292+Y292+AB292</f>
        <v>11794031.49</v>
      </c>
      <c r="AF292" s="55">
        <v>0</v>
      </c>
      <c r="AG292" s="55">
        <f t="shared" ref="AG292" si="273">AE292+AF292</f>
        <v>11794031.49</v>
      </c>
      <c r="AH292" s="60" t="s">
        <v>607</v>
      </c>
      <c r="AI292" s="61" t="s">
        <v>181</v>
      </c>
      <c r="AJ292" s="62">
        <f>46758.01+81807.84+85847.46+78522.48+122424.18+27564.35</f>
        <v>442924.31999999995</v>
      </c>
      <c r="AK292" s="62">
        <v>0</v>
      </c>
    </row>
    <row r="293" spans="1:37" ht="409.5" x14ac:dyDescent="0.25">
      <c r="A293" s="345" t="s">
        <v>2037</v>
      </c>
      <c r="B293" s="271">
        <v>116172</v>
      </c>
      <c r="C293" s="268">
        <v>391</v>
      </c>
      <c r="D293" s="235" t="s">
        <v>166</v>
      </c>
      <c r="E293" s="260" t="s">
        <v>161</v>
      </c>
      <c r="F293" s="419" t="s">
        <v>468</v>
      </c>
      <c r="G293" s="34" t="s">
        <v>481</v>
      </c>
      <c r="H293" s="37" t="s">
        <v>482</v>
      </c>
      <c r="I293" s="465" t="s">
        <v>483</v>
      </c>
      <c r="J293" s="28" t="s">
        <v>552</v>
      </c>
      <c r="K293" s="148">
        <v>43230</v>
      </c>
      <c r="L293" s="15">
        <v>44022</v>
      </c>
      <c r="M293" s="5">
        <f t="shared" si="267"/>
        <v>83.983862781809307</v>
      </c>
      <c r="N293" s="2" t="s">
        <v>347</v>
      </c>
      <c r="O293" s="6" t="s">
        <v>386</v>
      </c>
      <c r="P293" s="6" t="s">
        <v>386</v>
      </c>
      <c r="Q293" s="10" t="s">
        <v>154</v>
      </c>
      <c r="R293" s="6" t="s">
        <v>36</v>
      </c>
      <c r="S293" s="55">
        <f>T293+U293</f>
        <v>6564977.1999999993</v>
      </c>
      <c r="T293" s="234">
        <v>5294082.1399999997</v>
      </c>
      <c r="U293" s="234">
        <v>1270895.06</v>
      </c>
      <c r="V293" s="55">
        <f t="shared" si="268"/>
        <v>0</v>
      </c>
      <c r="W293" s="234">
        <v>0</v>
      </c>
      <c r="X293" s="234">
        <v>0</v>
      </c>
      <c r="Y293" s="55">
        <f t="shared" si="271"/>
        <v>1251973.56</v>
      </c>
      <c r="Z293" s="234">
        <v>934249.79</v>
      </c>
      <c r="AA293" s="234">
        <v>317723.77</v>
      </c>
      <c r="AB293" s="55">
        <f t="shared" si="269"/>
        <v>0</v>
      </c>
      <c r="AC293" s="234">
        <v>0</v>
      </c>
      <c r="AD293" s="234"/>
      <c r="AE293" s="63">
        <f t="shared" si="272"/>
        <v>7816950.7599999998</v>
      </c>
      <c r="AF293" s="55">
        <v>0</v>
      </c>
      <c r="AG293" s="55">
        <f t="shared" si="266"/>
        <v>7816950.7599999998</v>
      </c>
      <c r="AH293" s="60" t="s">
        <v>607</v>
      </c>
      <c r="AI293" s="61" t="s">
        <v>181</v>
      </c>
      <c r="AJ293" s="62">
        <f>25605.84+62835.23+42330.38+54457.66</f>
        <v>185229.11000000002</v>
      </c>
      <c r="AK293" s="62">
        <v>0</v>
      </c>
    </row>
    <row r="294" spans="1:37" ht="204.75" x14ac:dyDescent="0.25">
      <c r="A294" s="345" t="s">
        <v>2038</v>
      </c>
      <c r="B294" s="271">
        <v>111701</v>
      </c>
      <c r="C294" s="268">
        <v>251</v>
      </c>
      <c r="D294" s="235" t="s">
        <v>1334</v>
      </c>
      <c r="E294" s="260" t="s">
        <v>161</v>
      </c>
      <c r="F294" s="426" t="s">
        <v>345</v>
      </c>
      <c r="G294" s="82" t="s">
        <v>484</v>
      </c>
      <c r="H294" s="180" t="s">
        <v>485</v>
      </c>
      <c r="I294" s="466" t="s">
        <v>486</v>
      </c>
      <c r="J294" s="181" t="s">
        <v>553</v>
      </c>
      <c r="K294" s="148">
        <v>43231</v>
      </c>
      <c r="L294" s="15">
        <v>43780</v>
      </c>
      <c r="M294" s="5">
        <f t="shared" si="267"/>
        <v>82.304186618855496</v>
      </c>
      <c r="N294" s="2" t="s">
        <v>347</v>
      </c>
      <c r="O294" s="6" t="s">
        <v>293</v>
      </c>
      <c r="P294" s="6" t="s">
        <v>293</v>
      </c>
      <c r="Q294" s="41" t="s">
        <v>349</v>
      </c>
      <c r="R294" s="26" t="s">
        <v>36</v>
      </c>
      <c r="S294" s="55">
        <f t="shared" ref="S294" si="274">T294+U294</f>
        <v>643463.74</v>
      </c>
      <c r="T294" s="234">
        <v>518897.45</v>
      </c>
      <c r="U294" s="234">
        <v>124566.29</v>
      </c>
      <c r="V294" s="55">
        <f t="shared" ref="V294" si="275">W294+X294</f>
        <v>122711.72899999999</v>
      </c>
      <c r="W294" s="234">
        <v>91570.15</v>
      </c>
      <c r="X294" s="234">
        <v>31141.579000000002</v>
      </c>
      <c r="Y294" s="55">
        <f>Z294+AA294</f>
        <v>0</v>
      </c>
      <c r="Z294" s="234"/>
      <c r="AA294" s="234"/>
      <c r="AB294" s="55">
        <f>AC294+AD294</f>
        <v>15636.206</v>
      </c>
      <c r="AC294" s="234">
        <v>12458.49</v>
      </c>
      <c r="AD294" s="234">
        <v>3177.7159999999999</v>
      </c>
      <c r="AE294" s="63">
        <f>S294+V294+Y294+AB294</f>
        <v>781811.67500000005</v>
      </c>
      <c r="AF294" s="55">
        <v>4162.62</v>
      </c>
      <c r="AG294" s="55">
        <f t="shared" ref="AG294" si="276">AE294+AF294</f>
        <v>785974.29500000004</v>
      </c>
      <c r="AH294" s="60" t="s">
        <v>607</v>
      </c>
      <c r="AI294" s="61" t="s">
        <v>1600</v>
      </c>
      <c r="AJ294" s="198">
        <f>95051.96+39484.25+23955.55-8000+211432.19</f>
        <v>361923.95</v>
      </c>
      <c r="AK294" s="198">
        <f>15075.6+9055.47+4568.44+40321.17</f>
        <v>69020.679999999993</v>
      </c>
    </row>
    <row r="295" spans="1:37" ht="270" x14ac:dyDescent="0.25">
      <c r="A295" s="345" t="s">
        <v>2039</v>
      </c>
      <c r="B295" s="271">
        <v>111284</v>
      </c>
      <c r="C295" s="268">
        <v>182</v>
      </c>
      <c r="D295" s="235" t="s">
        <v>167</v>
      </c>
      <c r="E295" s="260" t="s">
        <v>161</v>
      </c>
      <c r="F295" s="426" t="s">
        <v>345</v>
      </c>
      <c r="G295" s="82" t="s">
        <v>491</v>
      </c>
      <c r="H295" s="2" t="s">
        <v>492</v>
      </c>
      <c r="I295" s="467"/>
      <c r="J295" s="35" t="s">
        <v>554</v>
      </c>
      <c r="K295" s="148">
        <v>43236</v>
      </c>
      <c r="L295" s="15">
        <v>43724</v>
      </c>
      <c r="M295" s="5">
        <f t="shared" si="267"/>
        <v>82.304186150868873</v>
      </c>
      <c r="N295" s="6" t="s">
        <v>347</v>
      </c>
      <c r="O295" s="6" t="s">
        <v>218</v>
      </c>
      <c r="P295" s="6" t="s">
        <v>493</v>
      </c>
      <c r="Q295" s="10" t="s">
        <v>349</v>
      </c>
      <c r="R295" s="26" t="s">
        <v>36</v>
      </c>
      <c r="S295" s="55">
        <f t="shared" si="270"/>
        <v>820224.26</v>
      </c>
      <c r="T295" s="234">
        <v>661439.4</v>
      </c>
      <c r="U295" s="234">
        <v>158784.85999999999</v>
      </c>
      <c r="V295" s="55">
        <f t="shared" si="268"/>
        <v>156420.81</v>
      </c>
      <c r="W295" s="234">
        <v>116724.6</v>
      </c>
      <c r="X295" s="234">
        <v>39696.21</v>
      </c>
      <c r="Y295" s="55">
        <f t="shared" si="271"/>
        <v>0</v>
      </c>
      <c r="Z295" s="234"/>
      <c r="AA295" s="234"/>
      <c r="AB295" s="55">
        <f t="shared" si="269"/>
        <v>19931.53</v>
      </c>
      <c r="AC295" s="234">
        <v>15880.9</v>
      </c>
      <c r="AD295" s="234">
        <v>4050.63</v>
      </c>
      <c r="AE295" s="63">
        <f t="shared" si="265"/>
        <v>996576.60000000009</v>
      </c>
      <c r="AF295" s="55"/>
      <c r="AG295" s="55">
        <f t="shared" si="266"/>
        <v>996576.60000000009</v>
      </c>
      <c r="AH295" s="60" t="s">
        <v>607</v>
      </c>
      <c r="AI295" s="61" t="s">
        <v>181</v>
      </c>
      <c r="AJ295" s="198">
        <f>89946.09+50286.21+28089.49+78330.42+133065.34+69728.09</f>
        <v>449445.6399999999</v>
      </c>
      <c r="AK295" s="198">
        <f>8053.91+20294.8+25376.22+13297.51</f>
        <v>67022.44</v>
      </c>
    </row>
    <row r="296" spans="1:37" ht="180" x14ac:dyDescent="0.25">
      <c r="A296" s="345" t="s">
        <v>2040</v>
      </c>
      <c r="B296" s="271">
        <v>116994</v>
      </c>
      <c r="C296" s="268">
        <v>399</v>
      </c>
      <c r="D296" s="235" t="s">
        <v>166</v>
      </c>
      <c r="E296" s="260" t="s">
        <v>161</v>
      </c>
      <c r="F296" s="419" t="s">
        <v>468</v>
      </c>
      <c r="G296" s="82" t="s">
        <v>494</v>
      </c>
      <c r="H296" s="11" t="s">
        <v>86</v>
      </c>
      <c r="I296" s="457" t="s">
        <v>372</v>
      </c>
      <c r="J296" s="35" t="s">
        <v>555</v>
      </c>
      <c r="K296" s="148">
        <v>43236</v>
      </c>
      <c r="L296" s="15">
        <v>44028</v>
      </c>
      <c r="M296" s="5">
        <f t="shared" si="267"/>
        <v>83.983862868396045</v>
      </c>
      <c r="N296" s="2" t="s">
        <v>347</v>
      </c>
      <c r="O296" s="2" t="s">
        <v>153</v>
      </c>
      <c r="P296" s="2" t="s">
        <v>153</v>
      </c>
      <c r="Q296" s="41" t="s">
        <v>154</v>
      </c>
      <c r="R296" s="26" t="s">
        <v>36</v>
      </c>
      <c r="S296" s="55">
        <f>T296+U296</f>
        <v>6570135.6299999999</v>
      </c>
      <c r="T296" s="234">
        <v>5298241.96</v>
      </c>
      <c r="U296" s="234">
        <v>1271893.67</v>
      </c>
      <c r="V296" s="55">
        <f>W296+X296</f>
        <v>0</v>
      </c>
      <c r="W296" s="234">
        <v>0</v>
      </c>
      <c r="X296" s="234">
        <v>0</v>
      </c>
      <c r="Y296" s="55">
        <f>Z296+AA296</f>
        <v>1252957.29</v>
      </c>
      <c r="Z296" s="234">
        <v>934983.88</v>
      </c>
      <c r="AA296" s="234">
        <v>317973.40999999997</v>
      </c>
      <c r="AB296" s="55">
        <f t="shared" si="269"/>
        <v>0</v>
      </c>
      <c r="AC296" s="234">
        <v>0</v>
      </c>
      <c r="AD296" s="234">
        <v>0</v>
      </c>
      <c r="AE296" s="63">
        <f t="shared" si="265"/>
        <v>7823092.9199999999</v>
      </c>
      <c r="AF296" s="55">
        <v>0</v>
      </c>
      <c r="AG296" s="55">
        <f t="shared" si="266"/>
        <v>7823092.9199999999</v>
      </c>
      <c r="AH296" s="60" t="s">
        <v>607</v>
      </c>
      <c r="AI296" s="61"/>
      <c r="AJ296" s="62">
        <f>4248.74+31166.22+89220.52+57381.15</f>
        <v>182016.63</v>
      </c>
      <c r="AK296" s="62">
        <v>0</v>
      </c>
    </row>
    <row r="297" spans="1:37" ht="210" x14ac:dyDescent="0.25">
      <c r="A297" s="345" t="s">
        <v>2041</v>
      </c>
      <c r="B297" s="271">
        <v>112921</v>
      </c>
      <c r="C297" s="268">
        <v>288</v>
      </c>
      <c r="D297" s="235" t="s">
        <v>1093</v>
      </c>
      <c r="E297" s="260" t="s">
        <v>161</v>
      </c>
      <c r="F297" s="419" t="s">
        <v>345</v>
      </c>
      <c r="G297" s="34" t="s">
        <v>496</v>
      </c>
      <c r="H297" s="11" t="s">
        <v>495</v>
      </c>
      <c r="I297" s="260" t="s">
        <v>497</v>
      </c>
      <c r="J297" s="35" t="s">
        <v>498</v>
      </c>
      <c r="K297" s="148">
        <v>43236</v>
      </c>
      <c r="L297" s="15">
        <v>43724</v>
      </c>
      <c r="M297" s="5">
        <f t="shared" si="267"/>
        <v>82.304184477468439</v>
      </c>
      <c r="N297" s="6" t="s">
        <v>347</v>
      </c>
      <c r="O297" s="6" t="s">
        <v>766</v>
      </c>
      <c r="P297" s="6" t="s">
        <v>766</v>
      </c>
      <c r="Q297" s="10" t="s">
        <v>349</v>
      </c>
      <c r="R297" s="26" t="s">
        <v>36</v>
      </c>
      <c r="S297" s="55">
        <f>T297+U297</f>
        <v>692528.19000000006</v>
      </c>
      <c r="T297" s="234">
        <v>558463.68000000005</v>
      </c>
      <c r="U297" s="234">
        <v>134064.51</v>
      </c>
      <c r="V297" s="55">
        <f>W297+X297</f>
        <v>132068.54999999999</v>
      </c>
      <c r="W297" s="234">
        <v>98552.39</v>
      </c>
      <c r="X297" s="234">
        <v>33516.160000000003</v>
      </c>
      <c r="Y297" s="55">
        <f>Z297+AA297</f>
        <v>0</v>
      </c>
      <c r="Z297" s="234">
        <v>0</v>
      </c>
      <c r="AA297" s="234">
        <v>0</v>
      </c>
      <c r="AB297" s="55">
        <f t="shared" si="269"/>
        <v>16828.509999999998</v>
      </c>
      <c r="AC297" s="234">
        <v>13408.49</v>
      </c>
      <c r="AD297" s="234">
        <v>3420.02</v>
      </c>
      <c r="AE297" s="63">
        <f t="shared" ref="AE297:AE315" si="277">S297+V297+Y297+AB297</f>
        <v>841425.25</v>
      </c>
      <c r="AF297" s="55">
        <v>0</v>
      </c>
      <c r="AG297" s="55">
        <f t="shared" si="266"/>
        <v>841425.25</v>
      </c>
      <c r="AH297" s="60" t="s">
        <v>607</v>
      </c>
      <c r="AI297" s="61" t="s">
        <v>1446</v>
      </c>
      <c r="AJ297" s="198">
        <f>59000+45054.47-7168.82+43487.54+82400+27588.29+82400+83329.15+139789.65</f>
        <v>555880.28</v>
      </c>
      <c r="AK297" s="198">
        <f>15760.94+11008.93+20975.3+31605.35+26658.52</f>
        <v>106009.04</v>
      </c>
    </row>
    <row r="298" spans="1:37" ht="141.75" x14ac:dyDescent="0.25">
      <c r="A298" s="345" t="s">
        <v>2042</v>
      </c>
      <c r="B298" s="271">
        <v>122235</v>
      </c>
      <c r="C298" s="268">
        <v>60</v>
      </c>
      <c r="D298" s="235" t="s">
        <v>164</v>
      </c>
      <c r="E298" s="260" t="s">
        <v>165</v>
      </c>
      <c r="F298" s="419" t="s">
        <v>139</v>
      </c>
      <c r="G298" s="34" t="s">
        <v>499</v>
      </c>
      <c r="H298" s="2" t="s">
        <v>500</v>
      </c>
      <c r="I298" s="260" t="s">
        <v>181</v>
      </c>
      <c r="J298" s="35" t="s">
        <v>501</v>
      </c>
      <c r="K298" s="148">
        <v>43236</v>
      </c>
      <c r="L298" s="15">
        <v>44302</v>
      </c>
      <c r="M298" s="5">
        <f t="shared" si="267"/>
        <v>83.983862861012312</v>
      </c>
      <c r="N298" s="6" t="s">
        <v>347</v>
      </c>
      <c r="O298" s="6" t="s">
        <v>335</v>
      </c>
      <c r="P298" s="6" t="s">
        <v>335</v>
      </c>
      <c r="Q298" s="10" t="s">
        <v>154</v>
      </c>
      <c r="R298" s="2" t="s">
        <v>36</v>
      </c>
      <c r="S298" s="55">
        <f>T298+U298</f>
        <v>9422880.1500000004</v>
      </c>
      <c r="T298" s="234">
        <v>7598731.8700000001</v>
      </c>
      <c r="U298" s="234">
        <v>1824148.28</v>
      </c>
      <c r="V298" s="55">
        <f t="shared" si="268"/>
        <v>0</v>
      </c>
      <c r="W298" s="234"/>
      <c r="X298" s="234"/>
      <c r="Y298" s="55">
        <f t="shared" si="271"/>
        <v>1796989.75</v>
      </c>
      <c r="Z298" s="234">
        <v>1340952.68</v>
      </c>
      <c r="AA298" s="234">
        <v>456037.07</v>
      </c>
      <c r="AB298" s="55">
        <f>AC298+AD298</f>
        <v>0</v>
      </c>
      <c r="AC298" s="234"/>
      <c r="AD298" s="234"/>
      <c r="AE298" s="63">
        <f t="shared" si="277"/>
        <v>11219869.9</v>
      </c>
      <c r="AF298" s="55">
        <v>0</v>
      </c>
      <c r="AG298" s="55">
        <f>AE298+AF298</f>
        <v>11219869.9</v>
      </c>
      <c r="AH298" s="60" t="s">
        <v>607</v>
      </c>
      <c r="AI298" s="61" t="s">
        <v>181</v>
      </c>
      <c r="AJ298" s="62">
        <f>177000+30000-137868.19+11251.1+63755.9</f>
        <v>144138.81</v>
      </c>
      <c r="AK298" s="62">
        <v>0</v>
      </c>
    </row>
    <row r="299" spans="1:37" ht="165" x14ac:dyDescent="0.25">
      <c r="A299" s="345" t="s">
        <v>2043</v>
      </c>
      <c r="B299" s="271">
        <v>113205</v>
      </c>
      <c r="C299" s="268">
        <v>286</v>
      </c>
      <c r="D299" s="235" t="s">
        <v>1093</v>
      </c>
      <c r="E299" s="260" t="s">
        <v>161</v>
      </c>
      <c r="F299" s="419" t="s">
        <v>345</v>
      </c>
      <c r="G299" s="34" t="s">
        <v>502</v>
      </c>
      <c r="H299" s="2" t="s">
        <v>503</v>
      </c>
      <c r="I299" s="260" t="s">
        <v>504</v>
      </c>
      <c r="J299" s="35" t="s">
        <v>556</v>
      </c>
      <c r="K299" s="148">
        <v>43243</v>
      </c>
      <c r="L299" s="15">
        <v>43700</v>
      </c>
      <c r="M299" s="5">
        <f t="shared" si="267"/>
        <v>82.304187102769717</v>
      </c>
      <c r="N299" s="6" t="s">
        <v>347</v>
      </c>
      <c r="O299" s="6" t="s">
        <v>335</v>
      </c>
      <c r="P299" s="6" t="s">
        <v>335</v>
      </c>
      <c r="Q299" s="10" t="s">
        <v>154</v>
      </c>
      <c r="R299" s="2" t="s">
        <v>36</v>
      </c>
      <c r="S299" s="55">
        <f t="shared" si="270"/>
        <v>750653.75</v>
      </c>
      <c r="T299" s="234">
        <v>605336.84</v>
      </c>
      <c r="U299" s="234">
        <v>145316.91</v>
      </c>
      <c r="V299" s="55">
        <f t="shared" si="268"/>
        <v>143153.36000000002</v>
      </c>
      <c r="W299" s="234">
        <v>106824.13</v>
      </c>
      <c r="X299" s="234">
        <v>36329.230000000003</v>
      </c>
      <c r="Y299" s="55">
        <f t="shared" si="271"/>
        <v>0</v>
      </c>
      <c r="Z299" s="234">
        <v>0</v>
      </c>
      <c r="AA299" s="234">
        <v>0</v>
      </c>
      <c r="AB299" s="55">
        <f t="shared" ref="AB299:AB315" si="278">AC299+AD299</f>
        <v>18240.96</v>
      </c>
      <c r="AC299" s="234">
        <v>14533.91</v>
      </c>
      <c r="AD299" s="234">
        <v>3707.05</v>
      </c>
      <c r="AE299" s="63">
        <f t="shared" si="277"/>
        <v>912048.07</v>
      </c>
      <c r="AF299" s="55">
        <v>0</v>
      </c>
      <c r="AG299" s="55">
        <f t="shared" si="266"/>
        <v>912048.07</v>
      </c>
      <c r="AH299" s="60" t="s">
        <v>1534</v>
      </c>
      <c r="AI299" s="61"/>
      <c r="AJ299" s="62">
        <f>80989.07+73791.77+71604.65-11418.94+71296.47+10538.9+120276.34+289691.6</f>
        <v>706769.86</v>
      </c>
      <c r="AK299" s="62">
        <f>12124.41+13655.35+11418.94+6176.71+18770.39+55245.61</f>
        <v>117391.41</v>
      </c>
    </row>
    <row r="300" spans="1:37" ht="409.5" x14ac:dyDescent="0.25">
      <c r="A300" s="345" t="s">
        <v>2044</v>
      </c>
      <c r="B300" s="271">
        <v>111084</v>
      </c>
      <c r="C300" s="268">
        <v>343</v>
      </c>
      <c r="D300" s="235" t="s">
        <v>1093</v>
      </c>
      <c r="E300" s="260" t="s">
        <v>161</v>
      </c>
      <c r="F300" s="419" t="s">
        <v>345</v>
      </c>
      <c r="G300" s="88" t="s">
        <v>505</v>
      </c>
      <c r="H300" s="89" t="s">
        <v>506</v>
      </c>
      <c r="I300" s="260" t="s">
        <v>505</v>
      </c>
      <c r="J300" s="35" t="s">
        <v>557</v>
      </c>
      <c r="K300" s="148">
        <v>43243</v>
      </c>
      <c r="L300" s="15">
        <v>43731</v>
      </c>
      <c r="M300" s="5">
        <f t="shared" si="267"/>
        <v>82.304185103544512</v>
      </c>
      <c r="N300" s="6" t="s">
        <v>347</v>
      </c>
      <c r="O300" s="6" t="s">
        <v>153</v>
      </c>
      <c r="P300" s="6" t="s">
        <v>153</v>
      </c>
      <c r="Q300" s="10" t="s">
        <v>349</v>
      </c>
      <c r="R300" s="2" t="s">
        <v>36</v>
      </c>
      <c r="S300" s="55">
        <f t="shared" si="270"/>
        <v>698744.26</v>
      </c>
      <c r="T300" s="378">
        <v>563476.37</v>
      </c>
      <c r="U300" s="378">
        <v>135267.89000000001</v>
      </c>
      <c r="V300" s="55">
        <f t="shared" si="268"/>
        <v>133253.97999999998</v>
      </c>
      <c r="W300" s="378">
        <v>99437.01</v>
      </c>
      <c r="X300" s="387">
        <v>33816.97</v>
      </c>
      <c r="Y300" s="55">
        <f t="shared" si="271"/>
        <v>0</v>
      </c>
      <c r="Z300" s="234"/>
      <c r="AA300" s="234"/>
      <c r="AB300" s="55">
        <f t="shared" si="278"/>
        <v>16979.560000000001</v>
      </c>
      <c r="AC300" s="378">
        <v>13528.85</v>
      </c>
      <c r="AD300" s="405">
        <v>3450.71</v>
      </c>
      <c r="AE300" s="63">
        <f t="shared" si="277"/>
        <v>848977.8</v>
      </c>
      <c r="AF300" s="55">
        <v>0</v>
      </c>
      <c r="AG300" s="55">
        <f t="shared" si="266"/>
        <v>848977.8</v>
      </c>
      <c r="AH300" s="60" t="s">
        <v>607</v>
      </c>
      <c r="AI300" s="61"/>
      <c r="AJ300" s="198">
        <f>81482.69+89509.54+12342.66+79890.06+56608.82+7767.51</f>
        <v>327601.27999999997</v>
      </c>
      <c r="AK300" s="198">
        <f>12927.23+3853.32+17589.26+10795.58+17309.82</f>
        <v>62475.21</v>
      </c>
    </row>
    <row r="301" spans="1:37" ht="409.5" x14ac:dyDescent="0.25">
      <c r="A301" s="345" t="s">
        <v>2045</v>
      </c>
      <c r="B301" s="271">
        <v>110679</v>
      </c>
      <c r="C301" s="268">
        <v>197</v>
      </c>
      <c r="D301" s="235" t="s">
        <v>167</v>
      </c>
      <c r="E301" s="260" t="s">
        <v>161</v>
      </c>
      <c r="F301" s="419" t="s">
        <v>345</v>
      </c>
      <c r="G301" s="85" t="s">
        <v>507</v>
      </c>
      <c r="H301" s="37" t="s">
        <v>510</v>
      </c>
      <c r="I301" s="260" t="s">
        <v>181</v>
      </c>
      <c r="J301" s="23" t="s">
        <v>558</v>
      </c>
      <c r="K301" s="148">
        <v>43243</v>
      </c>
      <c r="L301" s="15">
        <v>43731</v>
      </c>
      <c r="M301" s="5">
        <f t="shared" si="267"/>
        <v>82.304183634873581</v>
      </c>
      <c r="N301" s="6" t="s">
        <v>347</v>
      </c>
      <c r="O301" s="6" t="s">
        <v>508</v>
      </c>
      <c r="P301" s="6" t="s">
        <v>509</v>
      </c>
      <c r="Q301" s="10" t="s">
        <v>349</v>
      </c>
      <c r="R301" s="2" t="s">
        <v>36</v>
      </c>
      <c r="S301" s="55">
        <f t="shared" si="270"/>
        <v>763944.7</v>
      </c>
      <c r="T301" s="234">
        <v>616054.81999999995</v>
      </c>
      <c r="U301" s="234">
        <v>147889.88</v>
      </c>
      <c r="V301" s="55">
        <f t="shared" si="268"/>
        <v>145688.04999999999</v>
      </c>
      <c r="W301" s="234">
        <v>108715.59</v>
      </c>
      <c r="X301" s="234">
        <v>36972.46</v>
      </c>
      <c r="Y301" s="55">
        <f t="shared" si="271"/>
        <v>0</v>
      </c>
      <c r="Z301" s="234"/>
      <c r="AA301" s="234"/>
      <c r="AB301" s="55">
        <f t="shared" si="278"/>
        <v>18563.93</v>
      </c>
      <c r="AC301" s="234">
        <v>14791.24</v>
      </c>
      <c r="AD301" s="234">
        <v>3772.69</v>
      </c>
      <c r="AE301" s="63">
        <f t="shared" si="277"/>
        <v>928196.68</v>
      </c>
      <c r="AF301" s="55">
        <v>0</v>
      </c>
      <c r="AG301" s="55">
        <f t="shared" si="266"/>
        <v>928196.68</v>
      </c>
      <c r="AH301" s="60" t="s">
        <v>607</v>
      </c>
      <c r="AI301" s="61" t="s">
        <v>1735</v>
      </c>
      <c r="AJ301" s="198">
        <f>155523.41+47135.61-8611.45+92000+71209.41-4305.28+178901.43</f>
        <v>531853.12999999989</v>
      </c>
      <c r="AK301" s="198">
        <f>11958.04+8988.99+16058.8+13579.97+16723.79+16667.86</f>
        <v>83977.45</v>
      </c>
    </row>
    <row r="302" spans="1:37" ht="189" x14ac:dyDescent="0.25">
      <c r="A302" s="345" t="s">
        <v>2046</v>
      </c>
      <c r="B302" s="271">
        <v>112787</v>
      </c>
      <c r="C302" s="268">
        <v>276</v>
      </c>
      <c r="D302" s="235" t="s">
        <v>1093</v>
      </c>
      <c r="E302" s="260" t="s">
        <v>161</v>
      </c>
      <c r="F302" s="419" t="s">
        <v>345</v>
      </c>
      <c r="G302" s="87" t="s">
        <v>511</v>
      </c>
      <c r="H302" s="87" t="s">
        <v>512</v>
      </c>
      <c r="I302" s="260" t="s">
        <v>514</v>
      </c>
      <c r="J302" s="284" t="s">
        <v>515</v>
      </c>
      <c r="K302" s="285">
        <v>43243</v>
      </c>
      <c r="L302" s="286">
        <v>43791</v>
      </c>
      <c r="M302" s="287">
        <f t="shared" si="267"/>
        <v>82.304187377441963</v>
      </c>
      <c r="N302" s="288" t="s">
        <v>347</v>
      </c>
      <c r="O302" s="288" t="s">
        <v>513</v>
      </c>
      <c r="P302" s="288" t="s">
        <v>513</v>
      </c>
      <c r="Q302" s="289" t="s">
        <v>349</v>
      </c>
      <c r="R302" s="288" t="s">
        <v>36</v>
      </c>
      <c r="S302" s="55">
        <f t="shared" si="270"/>
        <v>813947.08000000007</v>
      </c>
      <c r="T302" s="234">
        <v>656377.4</v>
      </c>
      <c r="U302" s="234">
        <v>157569.68</v>
      </c>
      <c r="V302" s="55">
        <f t="shared" si="268"/>
        <v>155223.71000000002</v>
      </c>
      <c r="W302" s="234">
        <v>115831.3</v>
      </c>
      <c r="X302" s="234">
        <v>39392.410000000003</v>
      </c>
      <c r="Y302" s="55">
        <f t="shared" si="271"/>
        <v>0</v>
      </c>
      <c r="Z302" s="234"/>
      <c r="AA302" s="234"/>
      <c r="AB302" s="55">
        <f t="shared" si="278"/>
        <v>19778.990000000002</v>
      </c>
      <c r="AC302" s="234">
        <v>15759.36</v>
      </c>
      <c r="AD302" s="234">
        <v>4019.63</v>
      </c>
      <c r="AE302" s="63">
        <f t="shared" si="277"/>
        <v>988949.78</v>
      </c>
      <c r="AF302" s="55">
        <v>0</v>
      </c>
      <c r="AG302" s="55">
        <f t="shared" si="266"/>
        <v>988949.78</v>
      </c>
      <c r="AH302" s="60" t="s">
        <v>607</v>
      </c>
      <c r="AI302" s="61" t="s">
        <v>1724</v>
      </c>
      <c r="AJ302" s="198">
        <f>188133.51-12724.93+92979.94+80602.08+76904.04</f>
        <v>425894.64</v>
      </c>
      <c r="AK302" s="198">
        <f>20686.62+12745.2+880.06+15371.21+4436.91+9586.41</f>
        <v>63706.41</v>
      </c>
    </row>
    <row r="303" spans="1:37" ht="157.5" x14ac:dyDescent="0.25">
      <c r="A303" s="345" t="s">
        <v>2047</v>
      </c>
      <c r="B303" s="271">
        <v>110998</v>
      </c>
      <c r="C303" s="268">
        <v>333</v>
      </c>
      <c r="D303" s="235" t="s">
        <v>166</v>
      </c>
      <c r="E303" s="260" t="s">
        <v>161</v>
      </c>
      <c r="F303" s="419" t="s">
        <v>345</v>
      </c>
      <c r="G303" s="87" t="s">
        <v>516</v>
      </c>
      <c r="H303" s="87" t="s">
        <v>517</v>
      </c>
      <c r="I303" s="260" t="s">
        <v>181</v>
      </c>
      <c r="J303" s="23" t="s">
        <v>559</v>
      </c>
      <c r="K303" s="148">
        <v>43244</v>
      </c>
      <c r="L303" s="15">
        <v>43732</v>
      </c>
      <c r="M303" s="5">
        <f t="shared" si="267"/>
        <v>82.304188852060562</v>
      </c>
      <c r="N303" s="6" t="s">
        <v>347</v>
      </c>
      <c r="O303" s="6" t="s">
        <v>153</v>
      </c>
      <c r="P303" s="6" t="s">
        <v>153</v>
      </c>
      <c r="Q303" s="10" t="s">
        <v>349</v>
      </c>
      <c r="R303" s="2" t="s">
        <v>36</v>
      </c>
      <c r="S303" s="55">
        <f t="shared" si="270"/>
        <v>802303.2</v>
      </c>
      <c r="T303" s="234">
        <v>646987.61</v>
      </c>
      <c r="U303" s="234">
        <v>155315.59</v>
      </c>
      <c r="V303" s="55">
        <f t="shared" si="268"/>
        <v>153003.15</v>
      </c>
      <c r="W303" s="234">
        <v>114174.29</v>
      </c>
      <c r="X303" s="234">
        <v>38828.86</v>
      </c>
      <c r="Y303" s="55">
        <f t="shared" si="271"/>
        <v>0</v>
      </c>
      <c r="Z303" s="397"/>
      <c r="AA303" s="397"/>
      <c r="AB303" s="55">
        <f t="shared" si="278"/>
        <v>19496.04</v>
      </c>
      <c r="AC303" s="234">
        <v>15533.9</v>
      </c>
      <c r="AD303" s="234">
        <v>3962.14</v>
      </c>
      <c r="AE303" s="63">
        <f t="shared" si="277"/>
        <v>974802.39</v>
      </c>
      <c r="AF303" s="55">
        <v>0</v>
      </c>
      <c r="AG303" s="55">
        <f t="shared" si="266"/>
        <v>974802.39</v>
      </c>
      <c r="AH303" s="60" t="s">
        <v>607</v>
      </c>
      <c r="AI303" s="61" t="s">
        <v>1725</v>
      </c>
      <c r="AJ303" s="198">
        <f>140575.46+6566.7+79837.6+71604.41+17465.12+79837.6+185219.98</f>
        <v>581106.87</v>
      </c>
      <c r="AK303" s="198">
        <f>11583.01+16477.73+13655.31+18556.11+35322.41</f>
        <v>95594.57</v>
      </c>
    </row>
    <row r="304" spans="1:37" ht="141.75" x14ac:dyDescent="0.25">
      <c r="A304" s="345" t="s">
        <v>2048</v>
      </c>
      <c r="B304" s="271">
        <v>115539</v>
      </c>
      <c r="C304" s="268">
        <v>396</v>
      </c>
      <c r="D304" s="235" t="s">
        <v>166</v>
      </c>
      <c r="E304" s="260" t="s">
        <v>161</v>
      </c>
      <c r="F304" s="419" t="s">
        <v>468</v>
      </c>
      <c r="G304" s="11" t="s">
        <v>523</v>
      </c>
      <c r="H304" s="11" t="s">
        <v>524</v>
      </c>
      <c r="I304" s="260" t="s">
        <v>525</v>
      </c>
      <c r="J304" s="23" t="s">
        <v>560</v>
      </c>
      <c r="K304" s="148">
        <v>43249</v>
      </c>
      <c r="L304" s="15">
        <v>44041</v>
      </c>
      <c r="M304" s="5">
        <f t="shared" si="267"/>
        <v>83.983861240799271</v>
      </c>
      <c r="N304" s="6" t="s">
        <v>347</v>
      </c>
      <c r="O304" s="6" t="s">
        <v>153</v>
      </c>
      <c r="P304" s="6" t="s">
        <v>153</v>
      </c>
      <c r="Q304" s="10" t="s">
        <v>154</v>
      </c>
      <c r="R304" s="2" t="s">
        <v>36</v>
      </c>
      <c r="S304" s="55">
        <f t="shared" si="270"/>
        <v>2264152.09</v>
      </c>
      <c r="T304" s="234">
        <v>1825841.4</v>
      </c>
      <c r="U304" s="234">
        <v>438310.69</v>
      </c>
      <c r="V304" s="55">
        <f t="shared" si="268"/>
        <v>159763.60999999999</v>
      </c>
      <c r="W304" s="234">
        <v>118066.66</v>
      </c>
      <c r="X304" s="234">
        <v>41696.949999999997</v>
      </c>
      <c r="Y304" s="55">
        <f t="shared" si="271"/>
        <v>272021.42</v>
      </c>
      <c r="Z304" s="234">
        <v>204140.68</v>
      </c>
      <c r="AA304" s="234">
        <v>67880.740000000005</v>
      </c>
      <c r="AB304" s="55">
        <f t="shared" si="278"/>
        <v>0</v>
      </c>
      <c r="AC304" s="234">
        <v>0</v>
      </c>
      <c r="AD304" s="234">
        <v>0</v>
      </c>
      <c r="AE304" s="63">
        <f t="shared" si="277"/>
        <v>2695937.1199999996</v>
      </c>
      <c r="AF304" s="55">
        <v>0</v>
      </c>
      <c r="AG304" s="55">
        <f t="shared" si="266"/>
        <v>2695937.1199999996</v>
      </c>
      <c r="AH304" s="60" t="s">
        <v>607</v>
      </c>
      <c r="AI304" s="61"/>
      <c r="AJ304" s="62">
        <f>96923.08+40161.87+113985.46+26301.23</f>
        <v>277371.64</v>
      </c>
      <c r="AK304" s="62">
        <v>0</v>
      </c>
    </row>
    <row r="305" spans="1:37" ht="237" thickBot="1" x14ac:dyDescent="0.3">
      <c r="A305" s="345" t="s">
        <v>2049</v>
      </c>
      <c r="B305" s="271">
        <v>118716</v>
      </c>
      <c r="C305" s="268">
        <v>455</v>
      </c>
      <c r="D305" s="235" t="s">
        <v>167</v>
      </c>
      <c r="E305" s="260" t="s">
        <v>1061</v>
      </c>
      <c r="F305" s="419" t="s">
        <v>528</v>
      </c>
      <c r="G305" s="11" t="s">
        <v>526</v>
      </c>
      <c r="H305" s="87" t="s">
        <v>527</v>
      </c>
      <c r="I305" s="260" t="s">
        <v>181</v>
      </c>
      <c r="J305" s="23" t="s">
        <v>561</v>
      </c>
      <c r="K305" s="148">
        <v>43249</v>
      </c>
      <c r="L305" s="15">
        <v>43980</v>
      </c>
      <c r="M305" s="5">
        <f t="shared" si="267"/>
        <v>83.98386320030896</v>
      </c>
      <c r="N305" s="6" t="s">
        <v>347</v>
      </c>
      <c r="O305" s="6" t="s">
        <v>153</v>
      </c>
      <c r="P305" s="6" t="s">
        <v>153</v>
      </c>
      <c r="Q305" s="10" t="s">
        <v>154</v>
      </c>
      <c r="R305" s="2" t="s">
        <v>36</v>
      </c>
      <c r="S305" s="55">
        <f t="shared" si="270"/>
        <v>2343689.4299999997</v>
      </c>
      <c r="T305" s="234">
        <v>1889981.38</v>
      </c>
      <c r="U305" s="234">
        <v>453708.05</v>
      </c>
      <c r="V305" s="55">
        <f t="shared" si="268"/>
        <v>0</v>
      </c>
      <c r="W305" s="234"/>
      <c r="X305" s="234"/>
      <c r="Y305" s="55">
        <f t="shared" si="271"/>
        <v>446953.13</v>
      </c>
      <c r="Z305" s="234">
        <v>333526.06</v>
      </c>
      <c r="AA305" s="234">
        <v>113427.07</v>
      </c>
      <c r="AB305" s="55">
        <f t="shared" si="278"/>
        <v>0</v>
      </c>
      <c r="AC305" s="234"/>
      <c r="AD305" s="234"/>
      <c r="AE305" s="63">
        <f t="shared" si="277"/>
        <v>2790642.5599999996</v>
      </c>
      <c r="AF305" s="55">
        <v>0</v>
      </c>
      <c r="AG305" s="55">
        <f t="shared" si="266"/>
        <v>2790642.5599999996</v>
      </c>
      <c r="AH305" s="60" t="s">
        <v>607</v>
      </c>
      <c r="AI305" s="61" t="s">
        <v>1533</v>
      </c>
      <c r="AJ305" s="62">
        <f>145011.94+359253.32+95755.51+413834.13</f>
        <v>1013854.9</v>
      </c>
      <c r="AK305" s="62">
        <v>0</v>
      </c>
    </row>
    <row r="306" spans="1:37" ht="375" x14ac:dyDescent="0.25">
      <c r="A306" s="345" t="s">
        <v>2050</v>
      </c>
      <c r="B306" s="271">
        <v>109777</v>
      </c>
      <c r="C306" s="268">
        <v>363</v>
      </c>
      <c r="D306" s="235" t="s">
        <v>1334</v>
      </c>
      <c r="E306" s="260" t="s">
        <v>161</v>
      </c>
      <c r="F306" s="426" t="s">
        <v>345</v>
      </c>
      <c r="G306" s="82" t="s">
        <v>530</v>
      </c>
      <c r="H306" s="90" t="s">
        <v>529</v>
      </c>
      <c r="I306" s="444" t="s">
        <v>181</v>
      </c>
      <c r="J306" s="91" t="s">
        <v>531</v>
      </c>
      <c r="K306" s="15">
        <v>43251</v>
      </c>
      <c r="L306" s="15">
        <v>43738</v>
      </c>
      <c r="M306" s="5">
        <f t="shared" si="267"/>
        <v>82.304185429325983</v>
      </c>
      <c r="N306" s="6" t="s">
        <v>347</v>
      </c>
      <c r="O306" s="6" t="s">
        <v>286</v>
      </c>
      <c r="P306" s="6" t="s">
        <v>443</v>
      </c>
      <c r="Q306" s="10" t="s">
        <v>349</v>
      </c>
      <c r="R306" s="2" t="s">
        <v>36</v>
      </c>
      <c r="S306" s="55">
        <f t="shared" si="270"/>
        <v>809738</v>
      </c>
      <c r="T306" s="234">
        <v>652983.16</v>
      </c>
      <c r="U306" s="234">
        <v>156754.84</v>
      </c>
      <c r="V306" s="55">
        <f t="shared" si="268"/>
        <v>154421.03</v>
      </c>
      <c r="W306" s="234">
        <v>115232.31</v>
      </c>
      <c r="X306" s="234">
        <v>39188.720000000001</v>
      </c>
      <c r="Y306" s="55">
        <f>Z306+AA306</f>
        <v>0</v>
      </c>
      <c r="Z306" s="234">
        <v>0</v>
      </c>
      <c r="AA306" s="234">
        <v>0</v>
      </c>
      <c r="AB306" s="55">
        <f>AC306+AD306</f>
        <v>19676.72</v>
      </c>
      <c r="AC306" s="234">
        <v>15677.86</v>
      </c>
      <c r="AD306" s="234">
        <v>3998.86</v>
      </c>
      <c r="AE306" s="63">
        <f t="shared" si="277"/>
        <v>983835.75</v>
      </c>
      <c r="AF306" s="19">
        <v>0</v>
      </c>
      <c r="AG306" s="55">
        <f t="shared" si="266"/>
        <v>983835.75</v>
      </c>
      <c r="AH306" s="60" t="s">
        <v>607</v>
      </c>
      <c r="AI306" s="61" t="s">
        <v>1664</v>
      </c>
      <c r="AJ306" s="199">
        <f>98383.57+67957.2+131759+61030.49+98383.57-15548.08+97077.59+100688.53-14300.18+89286.06+87658.61</f>
        <v>802376.36</v>
      </c>
      <c r="AK306" s="198">
        <f>12959.77+25127.1+30401.05+15548.08+19201.81+14300.18+16716.91</f>
        <v>134254.9</v>
      </c>
    </row>
    <row r="307" spans="1:37" ht="236.25" x14ac:dyDescent="0.25">
      <c r="A307" s="345" t="s">
        <v>2051</v>
      </c>
      <c r="B307" s="271">
        <v>112263</v>
      </c>
      <c r="C307" s="268">
        <v>212</v>
      </c>
      <c r="D307" s="235" t="s">
        <v>168</v>
      </c>
      <c r="E307" s="260" t="s">
        <v>161</v>
      </c>
      <c r="F307" s="419" t="s">
        <v>345</v>
      </c>
      <c r="G307" s="87" t="s">
        <v>534</v>
      </c>
      <c r="H307" s="87" t="s">
        <v>535</v>
      </c>
      <c r="I307" s="260" t="s">
        <v>181</v>
      </c>
      <c r="J307" s="23" t="s">
        <v>562</v>
      </c>
      <c r="K307" s="148">
        <v>43257</v>
      </c>
      <c r="L307" s="15">
        <v>43744</v>
      </c>
      <c r="M307" s="5">
        <f t="shared" si="267"/>
        <v>82.304186636665435</v>
      </c>
      <c r="N307" s="2" t="s">
        <v>347</v>
      </c>
      <c r="O307" s="2" t="s">
        <v>335</v>
      </c>
      <c r="P307" s="2" t="s">
        <v>563</v>
      </c>
      <c r="Q307" s="41" t="s">
        <v>349</v>
      </c>
      <c r="R307" s="2" t="s">
        <v>36</v>
      </c>
      <c r="S307" s="55">
        <f>T307+U307</f>
        <v>804068.05999999994</v>
      </c>
      <c r="T307" s="234">
        <v>648410.84</v>
      </c>
      <c r="U307" s="234">
        <v>155657.22</v>
      </c>
      <c r="V307" s="55">
        <f>W307+X307</f>
        <v>153339.75</v>
      </c>
      <c r="W307" s="234">
        <v>114425.45</v>
      </c>
      <c r="X307" s="234">
        <v>38914.300000000003</v>
      </c>
      <c r="Y307" s="194">
        <f>Z307+AA307</f>
        <v>0</v>
      </c>
      <c r="Z307" s="234">
        <v>0</v>
      </c>
      <c r="AA307" s="234">
        <v>0</v>
      </c>
      <c r="AB307" s="55">
        <f>AC307+AD307</f>
        <v>19538.919999999998</v>
      </c>
      <c r="AC307" s="234">
        <v>15568.08</v>
      </c>
      <c r="AD307" s="234">
        <v>3970.84</v>
      </c>
      <c r="AE307" s="55">
        <f>S307+V307+Y307+AB307</f>
        <v>976946.73</v>
      </c>
      <c r="AF307" s="55">
        <v>0</v>
      </c>
      <c r="AG307" s="55">
        <f t="shared" si="266"/>
        <v>976946.73</v>
      </c>
      <c r="AH307" s="60" t="s">
        <v>607</v>
      </c>
      <c r="AI307" s="61"/>
      <c r="AJ307" s="198">
        <f>84638.59+81518.25+15437.85+121639.28+42099.38+37504.88+114980.02</f>
        <v>497818.25</v>
      </c>
      <c r="AK307" s="198">
        <f>13056.08+21574.93+4566.35+8028.56+23258.8+5820.82</f>
        <v>76305.540000000008</v>
      </c>
    </row>
    <row r="308" spans="1:37" ht="141.75" x14ac:dyDescent="0.25">
      <c r="A308" s="345" t="s">
        <v>2052</v>
      </c>
      <c r="B308" s="271">
        <v>118978</v>
      </c>
      <c r="C308" s="268">
        <v>453</v>
      </c>
      <c r="D308" s="235" t="s">
        <v>167</v>
      </c>
      <c r="E308" s="260" t="s">
        <v>1061</v>
      </c>
      <c r="F308" s="419" t="s">
        <v>528</v>
      </c>
      <c r="G308" s="87" t="s">
        <v>533</v>
      </c>
      <c r="H308" s="87" t="s">
        <v>532</v>
      </c>
      <c r="I308" s="260" t="s">
        <v>181</v>
      </c>
      <c r="J308" s="23" t="s">
        <v>569</v>
      </c>
      <c r="K308" s="148">
        <v>43257</v>
      </c>
      <c r="L308" s="15">
        <v>44536</v>
      </c>
      <c r="M308" s="5">
        <f t="shared" si="267"/>
        <v>83.983863009633808</v>
      </c>
      <c r="N308" s="6" t="s">
        <v>347</v>
      </c>
      <c r="O308" s="6" t="s">
        <v>153</v>
      </c>
      <c r="P308" s="6" t="s">
        <v>153</v>
      </c>
      <c r="Q308" s="10" t="s">
        <v>154</v>
      </c>
      <c r="R308" s="2" t="s">
        <v>36</v>
      </c>
      <c r="S308" s="55">
        <f t="shared" si="270"/>
        <v>10919953.010000002</v>
      </c>
      <c r="T308" s="234">
        <v>8805990.7100000009</v>
      </c>
      <c r="U308" s="234">
        <v>2113962.2999999998</v>
      </c>
      <c r="V308" s="55">
        <f t="shared" si="268"/>
        <v>0</v>
      </c>
      <c r="W308" s="234">
        <v>0</v>
      </c>
      <c r="X308" s="234">
        <v>0</v>
      </c>
      <c r="Y308" s="55">
        <f t="shared" si="271"/>
        <v>2082488.9100000001</v>
      </c>
      <c r="Z308" s="234">
        <v>1553998.33</v>
      </c>
      <c r="AA308" s="234">
        <v>528490.57999999996</v>
      </c>
      <c r="AB308" s="55">
        <f t="shared" si="278"/>
        <v>0</v>
      </c>
      <c r="AC308" s="234">
        <v>0</v>
      </c>
      <c r="AD308" s="234">
        <v>0</v>
      </c>
      <c r="AE308" s="63">
        <f t="shared" si="277"/>
        <v>13002441.920000002</v>
      </c>
      <c r="AF308" s="55">
        <v>1503920</v>
      </c>
      <c r="AG308" s="55">
        <f t="shared" si="266"/>
        <v>14506361.920000002</v>
      </c>
      <c r="AH308" s="60" t="s">
        <v>607</v>
      </c>
      <c r="AI308" s="61" t="s">
        <v>1264</v>
      </c>
      <c r="AJ308" s="62">
        <f>104375.19+162416.48+52075.09+194641.75+148089.68</f>
        <v>661598.18999999994</v>
      </c>
      <c r="AK308" s="62">
        <v>0</v>
      </c>
    </row>
    <row r="309" spans="1:37" ht="141.75" x14ac:dyDescent="0.25">
      <c r="A309" s="345" t="s">
        <v>2053</v>
      </c>
      <c r="B309" s="271">
        <v>119317</v>
      </c>
      <c r="C309" s="268">
        <v>456</v>
      </c>
      <c r="D309" s="235" t="s">
        <v>167</v>
      </c>
      <c r="E309" s="260" t="s">
        <v>1061</v>
      </c>
      <c r="F309" s="419" t="s">
        <v>528</v>
      </c>
      <c r="G309" s="87" t="s">
        <v>570</v>
      </c>
      <c r="H309" s="87" t="s">
        <v>645</v>
      </c>
      <c r="I309" s="260" t="s">
        <v>181</v>
      </c>
      <c r="J309" s="23" t="s">
        <v>571</v>
      </c>
      <c r="K309" s="148">
        <v>43257</v>
      </c>
      <c r="L309" s="15">
        <v>43988</v>
      </c>
      <c r="M309" s="5">
        <f t="shared" si="267"/>
        <v>83.983862821417162</v>
      </c>
      <c r="N309" s="6" t="s">
        <v>347</v>
      </c>
      <c r="O309" s="6" t="s">
        <v>153</v>
      </c>
      <c r="P309" s="6" t="s">
        <v>153</v>
      </c>
      <c r="Q309" s="10" t="s">
        <v>154</v>
      </c>
      <c r="R309" s="2" t="s">
        <v>36</v>
      </c>
      <c r="S309" s="55">
        <f t="shared" si="270"/>
        <v>26702638.32</v>
      </c>
      <c r="T309" s="234">
        <v>21533351.34</v>
      </c>
      <c r="U309" s="234">
        <v>5169286.9800000004</v>
      </c>
      <c r="V309" s="55">
        <f t="shared" si="268"/>
        <v>0</v>
      </c>
      <c r="W309" s="234"/>
      <c r="X309" s="234"/>
      <c r="Y309" s="55">
        <f t="shared" si="271"/>
        <v>5092324.93</v>
      </c>
      <c r="Z309" s="234">
        <v>3800003.18</v>
      </c>
      <c r="AA309" s="234">
        <v>1292321.75</v>
      </c>
      <c r="AB309" s="55">
        <f t="shared" si="278"/>
        <v>0</v>
      </c>
      <c r="AC309" s="234">
        <v>0</v>
      </c>
      <c r="AD309" s="234">
        <v>0</v>
      </c>
      <c r="AE309" s="63">
        <f t="shared" si="277"/>
        <v>31794963.25</v>
      </c>
      <c r="AF309" s="55">
        <v>0</v>
      </c>
      <c r="AG309" s="55">
        <f t="shared" si="266"/>
        <v>31794963.25</v>
      </c>
      <c r="AH309" s="60" t="s">
        <v>607</v>
      </c>
      <c r="AI309" s="61"/>
      <c r="AJ309" s="62">
        <f>155213.76+241470.09+76680.76+1501.26</f>
        <v>474865.87</v>
      </c>
      <c r="AK309" s="62">
        <v>0</v>
      </c>
    </row>
    <row r="310" spans="1:37" ht="409.5" x14ac:dyDescent="0.25">
      <c r="A310" s="345" t="s">
        <v>2054</v>
      </c>
      <c r="B310" s="271">
        <v>111319</v>
      </c>
      <c r="C310" s="268">
        <v>359</v>
      </c>
      <c r="D310" s="235" t="s">
        <v>1334</v>
      </c>
      <c r="E310" s="260" t="s">
        <v>161</v>
      </c>
      <c r="F310" s="419" t="s">
        <v>345</v>
      </c>
      <c r="G310" s="87" t="s">
        <v>575</v>
      </c>
      <c r="H310" s="87" t="s">
        <v>573</v>
      </c>
      <c r="I310" s="235" t="s">
        <v>576</v>
      </c>
      <c r="J310" s="23" t="s">
        <v>577</v>
      </c>
      <c r="K310" s="148">
        <v>43256</v>
      </c>
      <c r="L310" s="15">
        <v>43743</v>
      </c>
      <c r="M310" s="5">
        <f t="shared" si="267"/>
        <v>82.304189744785745</v>
      </c>
      <c r="N310" s="2" t="s">
        <v>347</v>
      </c>
      <c r="O310" s="2" t="s">
        <v>838</v>
      </c>
      <c r="P310" s="2" t="s">
        <v>838</v>
      </c>
      <c r="Q310" s="41" t="s">
        <v>349</v>
      </c>
      <c r="R310" s="2" t="s">
        <v>36</v>
      </c>
      <c r="S310" s="55">
        <f t="shared" si="270"/>
        <v>822860.82000000007</v>
      </c>
      <c r="T310" s="234">
        <v>663565.56000000006</v>
      </c>
      <c r="U310" s="234">
        <v>159295.26</v>
      </c>
      <c r="V310" s="55">
        <f t="shared" si="268"/>
        <v>156923.62</v>
      </c>
      <c r="W310" s="234">
        <v>117099.8</v>
      </c>
      <c r="X310" s="234">
        <v>39823.82</v>
      </c>
      <c r="Y310" s="55">
        <f t="shared" si="271"/>
        <v>0</v>
      </c>
      <c r="Z310" s="234"/>
      <c r="AA310" s="234"/>
      <c r="AB310" s="55">
        <f t="shared" si="278"/>
        <v>19995.55</v>
      </c>
      <c r="AC310" s="234">
        <v>15931.91</v>
      </c>
      <c r="AD310" s="234">
        <v>4063.64</v>
      </c>
      <c r="AE310" s="63">
        <f t="shared" si="277"/>
        <v>999779.99000000011</v>
      </c>
      <c r="AF310" s="55">
        <v>0</v>
      </c>
      <c r="AG310" s="55">
        <f t="shared" si="266"/>
        <v>999779.99000000011</v>
      </c>
      <c r="AH310" s="60" t="s">
        <v>607</v>
      </c>
      <c r="AI310" s="61" t="s">
        <v>1084</v>
      </c>
      <c r="AJ310" s="198">
        <f>115253.85+83737.14+92702.34+29518.18+84169.97+52077.69+92004.68</f>
        <v>549463.85</v>
      </c>
      <c r="AK310" s="198">
        <f>18935.29+25587.45+13802.72+159.94+27286.8</f>
        <v>85772.200000000012</v>
      </c>
    </row>
    <row r="311" spans="1:37" ht="409.5" x14ac:dyDescent="0.25">
      <c r="A311" s="345" t="s">
        <v>2055</v>
      </c>
      <c r="B311" s="271">
        <v>111320</v>
      </c>
      <c r="C311" s="268">
        <v>132</v>
      </c>
      <c r="D311" s="235" t="s">
        <v>1093</v>
      </c>
      <c r="E311" s="260" t="s">
        <v>161</v>
      </c>
      <c r="F311" s="419" t="s">
        <v>345</v>
      </c>
      <c r="G311" s="87" t="s">
        <v>578</v>
      </c>
      <c r="H311" s="87" t="s">
        <v>579</v>
      </c>
      <c r="I311" s="260" t="s">
        <v>444</v>
      </c>
      <c r="J311" s="23" t="s">
        <v>580</v>
      </c>
      <c r="K311" s="148">
        <v>43258</v>
      </c>
      <c r="L311" s="15">
        <v>43745</v>
      </c>
      <c r="M311" s="5">
        <f t="shared" si="267"/>
        <v>82.304187096462158</v>
      </c>
      <c r="N311" s="2" t="s">
        <v>347</v>
      </c>
      <c r="O311" s="2" t="s">
        <v>335</v>
      </c>
      <c r="P311" s="2" t="s">
        <v>563</v>
      </c>
      <c r="Q311" s="41" t="s">
        <v>349</v>
      </c>
      <c r="R311" s="2" t="s">
        <v>36</v>
      </c>
      <c r="S311" s="55">
        <f t="shared" si="270"/>
        <v>745773.49</v>
      </c>
      <c r="T311" s="234">
        <v>601401.34</v>
      </c>
      <c r="U311" s="234">
        <v>144372.15</v>
      </c>
      <c r="V311" s="55">
        <f t="shared" si="268"/>
        <v>142222.68</v>
      </c>
      <c r="W311" s="234">
        <v>106129.65</v>
      </c>
      <c r="X311" s="234">
        <v>36093.03</v>
      </c>
      <c r="Y311" s="55">
        <f t="shared" si="271"/>
        <v>0</v>
      </c>
      <c r="Z311" s="234"/>
      <c r="AA311" s="234"/>
      <c r="AB311" s="55">
        <f t="shared" si="278"/>
        <v>18122.359700000001</v>
      </c>
      <c r="AC311" s="234">
        <v>14439.398999999999</v>
      </c>
      <c r="AD311" s="234">
        <v>3682.9607000000001</v>
      </c>
      <c r="AE311" s="63">
        <f t="shared" si="277"/>
        <v>906118.52969999996</v>
      </c>
      <c r="AF311" s="55"/>
      <c r="AG311" s="55">
        <f t="shared" si="266"/>
        <v>906118.52969999996</v>
      </c>
      <c r="AH311" s="60" t="s">
        <v>607</v>
      </c>
      <c r="AI311" s="61"/>
      <c r="AJ311" s="198">
        <f>218312.37+90611.85+214.38+90611.85+7774.08+90611.85+3393.1</f>
        <v>501529.48</v>
      </c>
      <c r="AK311" s="198">
        <f>23379.78+18253.47+17321.01+18762.68+17927.2</f>
        <v>95644.14</v>
      </c>
    </row>
    <row r="312" spans="1:37" ht="204.75" x14ac:dyDescent="0.25">
      <c r="A312" s="345" t="s">
        <v>2056</v>
      </c>
      <c r="B312" s="271">
        <v>110527</v>
      </c>
      <c r="C312" s="268">
        <v>353</v>
      </c>
      <c r="D312" s="235" t="s">
        <v>1334</v>
      </c>
      <c r="E312" s="260" t="s">
        <v>161</v>
      </c>
      <c r="F312" s="419" t="s">
        <v>345</v>
      </c>
      <c r="G312" s="87" t="s">
        <v>581</v>
      </c>
      <c r="H312" s="87" t="s">
        <v>582</v>
      </c>
      <c r="I312" s="260" t="s">
        <v>583</v>
      </c>
      <c r="J312" s="23" t="s">
        <v>584</v>
      </c>
      <c r="K312" s="148">
        <v>43258</v>
      </c>
      <c r="L312" s="15">
        <v>43745</v>
      </c>
      <c r="M312" s="5">
        <f t="shared" si="267"/>
        <v>82.304183804307399</v>
      </c>
      <c r="N312" s="2" t="s">
        <v>347</v>
      </c>
      <c r="O312" s="2" t="s">
        <v>335</v>
      </c>
      <c r="P312" s="2" t="s">
        <v>335</v>
      </c>
      <c r="Q312" s="41" t="s">
        <v>349</v>
      </c>
      <c r="R312" s="2" t="s">
        <v>36</v>
      </c>
      <c r="S312" s="55">
        <f t="shared" si="270"/>
        <v>797101.36999999988</v>
      </c>
      <c r="T312" s="234">
        <v>642792.81999999995</v>
      </c>
      <c r="U312" s="234">
        <v>154308.54999999999</v>
      </c>
      <c r="V312" s="55">
        <f t="shared" si="268"/>
        <v>152011.18</v>
      </c>
      <c r="W312" s="234">
        <v>113434.03</v>
      </c>
      <c r="X312" s="234">
        <v>38577.15</v>
      </c>
      <c r="Y312" s="55">
        <f t="shared" si="271"/>
        <v>0</v>
      </c>
      <c r="Z312" s="234"/>
      <c r="AA312" s="234"/>
      <c r="AB312" s="55">
        <f t="shared" si="278"/>
        <v>19369.649999999998</v>
      </c>
      <c r="AC312" s="234">
        <v>15433.21</v>
      </c>
      <c r="AD312" s="234">
        <v>3936.44</v>
      </c>
      <c r="AE312" s="63">
        <f t="shared" si="277"/>
        <v>968482.19999999984</v>
      </c>
      <c r="AF312" s="55"/>
      <c r="AG312" s="55">
        <f t="shared" si="266"/>
        <v>968482.19999999984</v>
      </c>
      <c r="AH312" s="60" t="s">
        <v>607</v>
      </c>
      <c r="AI312" s="61"/>
      <c r="AJ312" s="198">
        <f>151069.39+15306.08+96848.21+24994.02+61062.29+191670.85</f>
        <v>540950.84</v>
      </c>
      <c r="AK312" s="198">
        <f>10340.24+21388.37+4766.48+30114.35+18083.14</f>
        <v>84692.58</v>
      </c>
    </row>
    <row r="313" spans="1:37" ht="204.75" x14ac:dyDescent="0.25">
      <c r="A313" s="345" t="s">
        <v>2057</v>
      </c>
      <c r="B313" s="271">
        <v>112412</v>
      </c>
      <c r="C313" s="268">
        <v>269</v>
      </c>
      <c r="D313" s="235" t="s">
        <v>171</v>
      </c>
      <c r="E313" s="260" t="s">
        <v>161</v>
      </c>
      <c r="F313" s="419" t="s">
        <v>345</v>
      </c>
      <c r="G313" s="87" t="s">
        <v>585</v>
      </c>
      <c r="H313" s="87" t="s">
        <v>586</v>
      </c>
      <c r="I313" s="235" t="s">
        <v>587</v>
      </c>
      <c r="J313" s="23" t="s">
        <v>588</v>
      </c>
      <c r="K313" s="148">
        <v>43259</v>
      </c>
      <c r="L313" s="15">
        <v>43746</v>
      </c>
      <c r="M313" s="5">
        <f t="shared" si="267"/>
        <v>82.304183541065214</v>
      </c>
      <c r="N313" s="2" t="s">
        <v>347</v>
      </c>
      <c r="O313" s="2" t="s">
        <v>335</v>
      </c>
      <c r="P313" s="2" t="s">
        <v>335</v>
      </c>
      <c r="Q313" s="41" t="s">
        <v>349</v>
      </c>
      <c r="R313" s="2" t="s">
        <v>36</v>
      </c>
      <c r="S313" s="55">
        <f t="shared" si="270"/>
        <v>789670.74</v>
      </c>
      <c r="T313" s="234">
        <v>636800.65</v>
      </c>
      <c r="U313" s="234">
        <v>152870.09</v>
      </c>
      <c r="V313" s="55">
        <f t="shared" si="268"/>
        <v>150594.14000000001</v>
      </c>
      <c r="W313" s="234">
        <v>112376.61</v>
      </c>
      <c r="X313" s="234">
        <v>38217.53</v>
      </c>
      <c r="Y313" s="55">
        <f t="shared" si="271"/>
        <v>0</v>
      </c>
      <c r="Z313" s="234"/>
      <c r="AA313" s="234"/>
      <c r="AB313" s="55">
        <f t="shared" si="278"/>
        <v>19189.07</v>
      </c>
      <c r="AC313" s="234">
        <v>15289.33</v>
      </c>
      <c r="AD313" s="234">
        <v>3899.74</v>
      </c>
      <c r="AE313" s="63">
        <f t="shared" si="277"/>
        <v>959453.95</v>
      </c>
      <c r="AF313" s="55"/>
      <c r="AG313" s="55">
        <f t="shared" si="266"/>
        <v>959453.95</v>
      </c>
      <c r="AH313" s="60" t="s">
        <v>607</v>
      </c>
      <c r="AI313" s="61" t="s">
        <v>444</v>
      </c>
      <c r="AJ313" s="198">
        <f>95945.38+5019.44+25010.26+9763.75+114260.12+16124.2+16125.04+203494.65</f>
        <v>485742.83999999997</v>
      </c>
      <c r="AK313" s="198">
        <f>7941.36+4769.59+16667.83+3074.99+3075.12+38807.41</f>
        <v>74336.300000000017</v>
      </c>
    </row>
    <row r="314" spans="1:37" ht="409.5" x14ac:dyDescent="0.25">
      <c r="A314" s="345" t="s">
        <v>2058</v>
      </c>
      <c r="B314" s="271">
        <v>113035</v>
      </c>
      <c r="C314" s="268">
        <v>332</v>
      </c>
      <c r="D314" s="235" t="s">
        <v>166</v>
      </c>
      <c r="E314" s="260" t="s">
        <v>161</v>
      </c>
      <c r="F314" s="419" t="s">
        <v>345</v>
      </c>
      <c r="G314" s="34" t="s">
        <v>589</v>
      </c>
      <c r="H314" s="37" t="s">
        <v>590</v>
      </c>
      <c r="I314" s="260" t="s">
        <v>444</v>
      </c>
      <c r="J314" s="23" t="s">
        <v>591</v>
      </c>
      <c r="K314" s="148">
        <v>43258</v>
      </c>
      <c r="L314" s="15">
        <v>43745</v>
      </c>
      <c r="M314" s="5">
        <f t="shared" si="267"/>
        <v>82.304188758643321</v>
      </c>
      <c r="N314" s="2" t="s">
        <v>347</v>
      </c>
      <c r="O314" s="2" t="s">
        <v>335</v>
      </c>
      <c r="P314" s="2" t="s">
        <v>335</v>
      </c>
      <c r="Q314" s="41" t="s">
        <v>349</v>
      </c>
      <c r="R314" s="2" t="s">
        <v>36</v>
      </c>
      <c r="S314" s="55">
        <f t="shared" si="270"/>
        <v>813615.63</v>
      </c>
      <c r="T314" s="234">
        <v>656110.09</v>
      </c>
      <c r="U314" s="234">
        <v>157505.54</v>
      </c>
      <c r="V314" s="55">
        <f t="shared" si="268"/>
        <v>155160.46</v>
      </c>
      <c r="W314" s="234">
        <v>115784.14</v>
      </c>
      <c r="X314" s="234">
        <v>39376.32</v>
      </c>
      <c r="Y314" s="55">
        <f t="shared" si="271"/>
        <v>0</v>
      </c>
      <c r="Z314" s="234">
        <v>0</v>
      </c>
      <c r="AA314" s="234">
        <v>0</v>
      </c>
      <c r="AB314" s="55">
        <f t="shared" si="278"/>
        <v>19770.96</v>
      </c>
      <c r="AC314" s="234">
        <v>15752.94</v>
      </c>
      <c r="AD314" s="234">
        <v>4018.02</v>
      </c>
      <c r="AE314" s="63">
        <f t="shared" si="277"/>
        <v>988547.04999999993</v>
      </c>
      <c r="AF314" s="55">
        <v>0</v>
      </c>
      <c r="AG314" s="55">
        <f t="shared" si="266"/>
        <v>988547.04999999993</v>
      </c>
      <c r="AH314" s="60" t="s">
        <v>607</v>
      </c>
      <c r="AI314" s="61" t="s">
        <v>1228</v>
      </c>
      <c r="AJ314" s="198">
        <f>239002.19+7716.3+76236.18+77866.17-9062.7+110648.92+47012.15-11264.69+70333.45</f>
        <v>608487.97</v>
      </c>
      <c r="AK314" s="198">
        <f>26726.95+18388.45+12471.15+9062.7+10310.26+8965.45+11264.69</f>
        <v>97189.65</v>
      </c>
    </row>
    <row r="315" spans="1:37" ht="330.75" x14ac:dyDescent="0.25">
      <c r="A315" s="345" t="s">
        <v>2059</v>
      </c>
      <c r="B315" s="271">
        <v>112992</v>
      </c>
      <c r="C315" s="424">
        <v>233</v>
      </c>
      <c r="D315" s="271" t="s">
        <v>166</v>
      </c>
      <c r="E315" s="260" t="s">
        <v>161</v>
      </c>
      <c r="F315" s="419" t="s">
        <v>345</v>
      </c>
      <c r="G315" s="92" t="s">
        <v>592</v>
      </c>
      <c r="H315" s="37" t="s">
        <v>593</v>
      </c>
      <c r="I315" s="260" t="s">
        <v>444</v>
      </c>
      <c r="J315" s="28" t="s">
        <v>594</v>
      </c>
      <c r="K315" s="148">
        <v>43259</v>
      </c>
      <c r="L315" s="15">
        <v>43746</v>
      </c>
      <c r="M315" s="5">
        <f t="shared" si="267"/>
        <v>82.304185804634827</v>
      </c>
      <c r="N315" s="2" t="s">
        <v>347</v>
      </c>
      <c r="O315" s="2" t="s">
        <v>335</v>
      </c>
      <c r="P315" s="2" t="s">
        <v>335</v>
      </c>
      <c r="Q315" s="41" t="s">
        <v>349</v>
      </c>
      <c r="R315" s="2" t="s">
        <v>36</v>
      </c>
      <c r="S315" s="55">
        <f t="shared" si="270"/>
        <v>413202.42000000004</v>
      </c>
      <c r="T315" s="234">
        <v>333211.76</v>
      </c>
      <c r="U315" s="234">
        <v>79990.66</v>
      </c>
      <c r="V315" s="55">
        <f t="shared" si="268"/>
        <v>78799.740000000005</v>
      </c>
      <c r="W315" s="234">
        <v>58802.080000000002</v>
      </c>
      <c r="X315" s="234">
        <v>19997.66</v>
      </c>
      <c r="Y315" s="55">
        <f t="shared" si="271"/>
        <v>0</v>
      </c>
      <c r="Z315" s="234"/>
      <c r="AA315" s="234"/>
      <c r="AB315" s="55">
        <f t="shared" si="278"/>
        <v>10040.86</v>
      </c>
      <c r="AC315" s="234">
        <v>8000.27</v>
      </c>
      <c r="AD315" s="234">
        <v>2040.59</v>
      </c>
      <c r="AE315" s="63">
        <f t="shared" si="277"/>
        <v>502043.02</v>
      </c>
      <c r="AF315" s="55">
        <v>96.29</v>
      </c>
      <c r="AG315" s="55">
        <f t="shared" si="266"/>
        <v>502139.31</v>
      </c>
      <c r="AH315" s="60" t="s">
        <v>607</v>
      </c>
      <c r="AI315" s="61" t="s">
        <v>444</v>
      </c>
      <c r="AJ315" s="198">
        <f>86645.8-7709.4+41322.63-2793.73+353.36+111180.69</f>
        <v>228999.35</v>
      </c>
      <c r="AK315" s="198">
        <f>6949.62+7709.4+2793.73+5015.84+11628.57</f>
        <v>34097.160000000003</v>
      </c>
    </row>
    <row r="316" spans="1:37" ht="252" x14ac:dyDescent="0.25">
      <c r="A316" s="345" t="s">
        <v>2060</v>
      </c>
      <c r="B316" s="271">
        <v>109834</v>
      </c>
      <c r="C316" s="424">
        <v>202</v>
      </c>
      <c r="D316" s="271" t="s">
        <v>168</v>
      </c>
      <c r="E316" s="260" t="s">
        <v>161</v>
      </c>
      <c r="F316" s="419" t="s">
        <v>345</v>
      </c>
      <c r="G316" s="92" t="s">
        <v>599</v>
      </c>
      <c r="H316" s="37" t="s">
        <v>600</v>
      </c>
      <c r="I316" s="260" t="s">
        <v>444</v>
      </c>
      <c r="J316" s="28" t="s">
        <v>601</v>
      </c>
      <c r="K316" s="148">
        <v>43264</v>
      </c>
      <c r="L316" s="15">
        <v>43751</v>
      </c>
      <c r="M316" s="5">
        <f t="shared" si="267"/>
        <v>82.304183375849476</v>
      </c>
      <c r="N316" s="2" t="s">
        <v>347</v>
      </c>
      <c r="O316" s="2" t="s">
        <v>335</v>
      </c>
      <c r="P316" s="2" t="s">
        <v>335</v>
      </c>
      <c r="Q316" s="41" t="s">
        <v>349</v>
      </c>
      <c r="R316" s="2" t="s">
        <v>36</v>
      </c>
      <c r="S316" s="55">
        <f>T316+U316</f>
        <v>756907.55</v>
      </c>
      <c r="T316" s="234">
        <v>610380.03</v>
      </c>
      <c r="U316" s="234">
        <v>146527.51999999999</v>
      </c>
      <c r="V316" s="55">
        <f>W316+X316</f>
        <v>144346.04</v>
      </c>
      <c r="W316" s="234">
        <v>107714.13</v>
      </c>
      <c r="X316" s="234">
        <v>36631.910000000003</v>
      </c>
      <c r="Y316" s="55">
        <f>Z316+AA316</f>
        <v>0</v>
      </c>
      <c r="Z316" s="234"/>
      <c r="AA316" s="234"/>
      <c r="AB316" s="55">
        <f>AC316+AD316</f>
        <v>18392.919999999998</v>
      </c>
      <c r="AC316" s="234">
        <v>14654.96</v>
      </c>
      <c r="AD316" s="234">
        <v>3737.96</v>
      </c>
      <c r="AE316" s="63">
        <f>S316+V316+Y316+AB316</f>
        <v>919646.51000000013</v>
      </c>
      <c r="AF316" s="55">
        <v>0</v>
      </c>
      <c r="AG316" s="55">
        <f>AE316+AF316</f>
        <v>919646.51000000013</v>
      </c>
      <c r="AH316" s="60" t="s">
        <v>607</v>
      </c>
      <c r="AI316" s="61" t="s">
        <v>1743</v>
      </c>
      <c r="AJ316" s="198">
        <f>213672.38+10844.44+40106.9-4967.47+69008.21+10185.97-7830.59+48891.76-12923.76+80692.09+101719.75</f>
        <v>549399.67999999993</v>
      </c>
      <c r="AK316" s="198">
        <f>23567.39+2068.09+7666.13+12212.88+1942.51+7830.59+12923.76+19398.45</f>
        <v>87609.799999999988</v>
      </c>
    </row>
    <row r="317" spans="1:37" ht="315" x14ac:dyDescent="0.25">
      <c r="A317" s="345" t="s">
        <v>2061</v>
      </c>
      <c r="B317" s="271">
        <v>111613</v>
      </c>
      <c r="C317" s="424">
        <v>289</v>
      </c>
      <c r="D317" s="271" t="s">
        <v>1334</v>
      </c>
      <c r="E317" s="260" t="s">
        <v>161</v>
      </c>
      <c r="F317" s="419" t="s">
        <v>345</v>
      </c>
      <c r="G317" s="92" t="s">
        <v>602</v>
      </c>
      <c r="H317" s="37" t="s">
        <v>603</v>
      </c>
      <c r="I317" s="260" t="s">
        <v>604</v>
      </c>
      <c r="J317" s="28" t="s">
        <v>605</v>
      </c>
      <c r="K317" s="148">
        <v>43264</v>
      </c>
      <c r="L317" s="15">
        <v>43751</v>
      </c>
      <c r="M317" s="5">
        <f t="shared" si="267"/>
        <v>82.304185024184278</v>
      </c>
      <c r="N317" s="2" t="s">
        <v>347</v>
      </c>
      <c r="O317" s="2" t="s">
        <v>606</v>
      </c>
      <c r="P317" s="2" t="s">
        <v>606</v>
      </c>
      <c r="Q317" s="41" t="s">
        <v>349</v>
      </c>
      <c r="R317" s="2" t="s">
        <v>36</v>
      </c>
      <c r="S317" s="55">
        <f>T317+U317</f>
        <v>790560.66</v>
      </c>
      <c r="T317" s="234">
        <v>637518.30000000005</v>
      </c>
      <c r="U317" s="234">
        <v>153042.35999999999</v>
      </c>
      <c r="V317" s="55">
        <f>W317+X317</f>
        <v>150763.83000000002</v>
      </c>
      <c r="W317" s="234">
        <v>112503.22</v>
      </c>
      <c r="X317" s="234">
        <v>38260.61</v>
      </c>
      <c r="Y317" s="55">
        <v>0</v>
      </c>
      <c r="Z317" s="234"/>
      <c r="AA317" s="234"/>
      <c r="AB317" s="55">
        <f>AC317+AD317</f>
        <v>19210.7</v>
      </c>
      <c r="AC317" s="234">
        <v>15306.57</v>
      </c>
      <c r="AD317" s="234">
        <v>3904.13</v>
      </c>
      <c r="AE317" s="63">
        <f>S317+V317+Y317+AB317</f>
        <v>960535.19</v>
      </c>
      <c r="AF317" s="55">
        <v>67830</v>
      </c>
      <c r="AG317" s="55">
        <f>AE317+AF317</f>
        <v>1028365.19</v>
      </c>
      <c r="AH317" s="60" t="s">
        <v>607</v>
      </c>
      <c r="AI317" s="61" t="s">
        <v>444</v>
      </c>
      <c r="AJ317" s="198">
        <f>151237.06+59857.57+64477.1+31001.93+68841.22+91071.02</f>
        <v>466485.9</v>
      </c>
      <c r="AK317" s="198">
        <f>10523.78+11415.13+12296.1+5912.22+30496.07</f>
        <v>70643.3</v>
      </c>
    </row>
    <row r="318" spans="1:37" ht="220.5" x14ac:dyDescent="0.25">
      <c r="A318" s="345" t="s">
        <v>2062</v>
      </c>
      <c r="B318" s="271">
        <v>112219</v>
      </c>
      <c r="C318" s="424">
        <v>274</v>
      </c>
      <c r="D318" s="271" t="s">
        <v>171</v>
      </c>
      <c r="E318" s="260" t="s">
        <v>161</v>
      </c>
      <c r="F318" s="419" t="s">
        <v>345</v>
      </c>
      <c r="G318" s="87" t="s">
        <v>612</v>
      </c>
      <c r="H318" s="37" t="s">
        <v>613</v>
      </c>
      <c r="I318" s="260" t="s">
        <v>614</v>
      </c>
      <c r="J318" s="28" t="s">
        <v>617</v>
      </c>
      <c r="K318" s="148">
        <v>43262</v>
      </c>
      <c r="L318" s="15">
        <v>43749</v>
      </c>
      <c r="M318" s="5">
        <f t="shared" si="267"/>
        <v>82.304178634774601</v>
      </c>
      <c r="N318" s="2" t="s">
        <v>347</v>
      </c>
      <c r="O318" s="2" t="s">
        <v>615</v>
      </c>
      <c r="P318" s="2" t="s">
        <v>616</v>
      </c>
      <c r="Q318" s="41" t="s">
        <v>349</v>
      </c>
      <c r="R318" s="2" t="s">
        <v>36</v>
      </c>
      <c r="S318" s="55">
        <f t="shared" ref="S318:S384" si="279">T318+U318</f>
        <v>796959.23</v>
      </c>
      <c r="T318" s="234">
        <v>642678.19999999995</v>
      </c>
      <c r="U318" s="234">
        <v>154281.03</v>
      </c>
      <c r="V318" s="55">
        <f t="shared" ref="V318:V384" si="280">W318+X318</f>
        <v>151984.13</v>
      </c>
      <c r="W318" s="234">
        <v>113413.84</v>
      </c>
      <c r="X318" s="234">
        <v>38570.29</v>
      </c>
      <c r="Y318" s="55">
        <f t="shared" ref="Y318" si="281">Z318+AA318</f>
        <v>0</v>
      </c>
      <c r="Z318" s="234"/>
      <c r="AA318" s="234"/>
      <c r="AB318" s="55">
        <f t="shared" ref="AB318:AB319" si="282">AC318+AD318</f>
        <v>19366.2</v>
      </c>
      <c r="AC318" s="234">
        <v>15430.45</v>
      </c>
      <c r="AD318" s="234">
        <v>3935.75</v>
      </c>
      <c r="AE318" s="63">
        <f t="shared" ref="AE318:AE384" si="283">S318+V318+Y318+AB318</f>
        <v>968309.55999999994</v>
      </c>
      <c r="AF318" s="55"/>
      <c r="AG318" s="55">
        <f t="shared" ref="AG318:AG384" si="284">AE318+AF318</f>
        <v>968309.55999999994</v>
      </c>
      <c r="AH318" s="60" t="s">
        <v>607</v>
      </c>
      <c r="AI318" s="61" t="s">
        <v>444</v>
      </c>
      <c r="AJ318" s="198">
        <f>191558.95+82810.85-11941.24+189135.5-9602.09+179531.24</f>
        <v>621493.21</v>
      </c>
      <c r="AK318" s="198">
        <f>18065.03+15792.44+11941.24+3307.22+18543.36+15614.11+16792.23</f>
        <v>100055.63</v>
      </c>
    </row>
    <row r="319" spans="1:37" ht="141.75" x14ac:dyDescent="0.25">
      <c r="A319" s="345" t="s">
        <v>2063</v>
      </c>
      <c r="B319" s="271">
        <v>111981</v>
      </c>
      <c r="C319" s="424">
        <v>264</v>
      </c>
      <c r="D319" s="271" t="s">
        <v>171</v>
      </c>
      <c r="E319" s="260" t="s">
        <v>161</v>
      </c>
      <c r="F319" s="419" t="s">
        <v>345</v>
      </c>
      <c r="G319" s="87" t="s">
        <v>618</v>
      </c>
      <c r="H319" s="37" t="s">
        <v>619</v>
      </c>
      <c r="I319" s="260" t="s">
        <v>620</v>
      </c>
      <c r="J319" s="28" t="s">
        <v>622</v>
      </c>
      <c r="K319" s="148">
        <v>43264</v>
      </c>
      <c r="L319" s="15">
        <v>43751</v>
      </c>
      <c r="M319" s="5">
        <f t="shared" si="267"/>
        <v>82.304187524210803</v>
      </c>
      <c r="N319" s="2" t="s">
        <v>347</v>
      </c>
      <c r="O319" s="2" t="s">
        <v>621</v>
      </c>
      <c r="P319" s="2" t="s">
        <v>443</v>
      </c>
      <c r="Q319" s="41" t="s">
        <v>349</v>
      </c>
      <c r="R319" s="2" t="s">
        <v>36</v>
      </c>
      <c r="S319" s="55">
        <f t="shared" si="279"/>
        <v>771066.18</v>
      </c>
      <c r="T319" s="234">
        <v>621797.65</v>
      </c>
      <c r="U319" s="234">
        <v>149268.53</v>
      </c>
      <c r="V319" s="55">
        <f t="shared" si="280"/>
        <v>147046.1</v>
      </c>
      <c r="W319" s="234">
        <v>109729</v>
      </c>
      <c r="X319" s="234">
        <v>37317.1</v>
      </c>
      <c r="Y319" s="55">
        <f t="shared" ref="Y319:Y384" si="285">Z319+AA319</f>
        <v>0</v>
      </c>
      <c r="Z319" s="234"/>
      <c r="AA319" s="234"/>
      <c r="AB319" s="55">
        <f t="shared" si="282"/>
        <v>18736.989999999998</v>
      </c>
      <c r="AC319" s="234">
        <v>14929.14</v>
      </c>
      <c r="AD319" s="234">
        <v>3807.85</v>
      </c>
      <c r="AE319" s="63">
        <f t="shared" si="283"/>
        <v>936849.27</v>
      </c>
      <c r="AF319" s="55"/>
      <c r="AG319" s="55">
        <f t="shared" si="284"/>
        <v>936849.27</v>
      </c>
      <c r="AH319" s="60" t="s">
        <v>607</v>
      </c>
      <c r="AI319" s="61" t="s">
        <v>444</v>
      </c>
      <c r="AJ319" s="198">
        <f>90931+53329.56+57210.46+106559.17+87755.66-53.91+41459.09+61861.47-12420</f>
        <v>486632.5</v>
      </c>
      <c r="AK319" s="198">
        <f>10170.21+10910.32+23029.37+14027.44+53.91+7906.45+11797.29+12727.42</f>
        <v>90622.409999999989</v>
      </c>
    </row>
    <row r="320" spans="1:37" ht="299.25" x14ac:dyDescent="0.25">
      <c r="A320" s="345" t="s">
        <v>2064</v>
      </c>
      <c r="B320" s="271">
        <v>113037</v>
      </c>
      <c r="C320" s="424">
        <v>280</v>
      </c>
      <c r="D320" s="271" t="s">
        <v>1093</v>
      </c>
      <c r="E320" s="260" t="s">
        <v>161</v>
      </c>
      <c r="F320" s="419" t="s">
        <v>345</v>
      </c>
      <c r="G320" s="87" t="s">
        <v>636</v>
      </c>
      <c r="H320" s="37" t="s">
        <v>634</v>
      </c>
      <c r="I320" s="260" t="s">
        <v>635</v>
      </c>
      <c r="J320" s="28" t="s">
        <v>637</v>
      </c>
      <c r="K320" s="148">
        <v>43269</v>
      </c>
      <c r="L320" s="15">
        <v>43756</v>
      </c>
      <c r="M320" s="5">
        <f t="shared" si="267"/>
        <v>82.304185659324261</v>
      </c>
      <c r="N320" s="2" t="s">
        <v>347</v>
      </c>
      <c r="O320" s="2" t="s">
        <v>153</v>
      </c>
      <c r="P320" s="2" t="s">
        <v>153</v>
      </c>
      <c r="Q320" s="41" t="s">
        <v>349</v>
      </c>
      <c r="R320" s="2" t="s">
        <v>36</v>
      </c>
      <c r="S320" s="55">
        <f t="shared" si="279"/>
        <v>812766.5</v>
      </c>
      <c r="T320" s="234">
        <v>655425.36</v>
      </c>
      <c r="U320" s="234">
        <v>157341.14000000001</v>
      </c>
      <c r="V320" s="55">
        <f t="shared" si="280"/>
        <v>154998.59</v>
      </c>
      <c r="W320" s="234">
        <v>115663.31</v>
      </c>
      <c r="X320" s="234">
        <v>39335.279999999999</v>
      </c>
      <c r="Y320" s="55">
        <f t="shared" si="285"/>
        <v>0</v>
      </c>
      <c r="Z320" s="234"/>
      <c r="AA320" s="234"/>
      <c r="AB320" s="55">
        <f t="shared" ref="AB320:AB384" si="286">AC320+AD320</f>
        <v>19750.3</v>
      </c>
      <c r="AC320" s="234">
        <v>15736.51</v>
      </c>
      <c r="AD320" s="234">
        <v>4013.79</v>
      </c>
      <c r="AE320" s="63">
        <f t="shared" si="283"/>
        <v>987515.39</v>
      </c>
      <c r="AF320" s="55"/>
      <c r="AG320" s="55">
        <f t="shared" si="284"/>
        <v>987515.39</v>
      </c>
      <c r="AH320" s="60" t="s">
        <v>607</v>
      </c>
      <c r="AI320" s="61" t="s">
        <v>444</v>
      </c>
      <c r="AJ320" s="198">
        <f>98751.53+76285.17-2339.65+174517.47+7723.5</f>
        <v>354938.02</v>
      </c>
      <c r="AK320" s="198">
        <f>14547.96+18386.23+14448.94+20305.31</f>
        <v>67688.44</v>
      </c>
    </row>
    <row r="321" spans="1:37" ht="141.75" x14ac:dyDescent="0.25">
      <c r="A321" s="345" t="s">
        <v>2065</v>
      </c>
      <c r="B321" s="271">
        <v>111983</v>
      </c>
      <c r="C321" s="424">
        <v>238</v>
      </c>
      <c r="D321" s="271" t="s">
        <v>166</v>
      </c>
      <c r="E321" s="260" t="s">
        <v>161</v>
      </c>
      <c r="F321" s="419" t="s">
        <v>345</v>
      </c>
      <c r="G321" s="87" t="s">
        <v>638</v>
      </c>
      <c r="H321" s="37" t="s">
        <v>639</v>
      </c>
      <c r="I321" s="260" t="s">
        <v>444</v>
      </c>
      <c r="J321" s="28" t="s">
        <v>640</v>
      </c>
      <c r="K321" s="148">
        <v>43270</v>
      </c>
      <c r="L321" s="15">
        <v>43818</v>
      </c>
      <c r="M321" s="5">
        <f t="shared" si="267"/>
        <v>82.304184684756876</v>
      </c>
      <c r="N321" s="2" t="s">
        <v>347</v>
      </c>
      <c r="O321" s="2" t="s">
        <v>153</v>
      </c>
      <c r="P321" s="2" t="s">
        <v>153</v>
      </c>
      <c r="Q321" s="41" t="s">
        <v>349</v>
      </c>
      <c r="R321" s="2" t="s">
        <v>36</v>
      </c>
      <c r="S321" s="55">
        <f t="shared" si="279"/>
        <v>768299.49</v>
      </c>
      <c r="T321" s="234">
        <v>619566.6</v>
      </c>
      <c r="U321" s="234">
        <v>148732.89000000001</v>
      </c>
      <c r="V321" s="55">
        <f t="shared" si="280"/>
        <v>146518.51</v>
      </c>
      <c r="W321" s="234">
        <v>109335.29</v>
      </c>
      <c r="X321" s="234">
        <v>37183.22</v>
      </c>
      <c r="Y321" s="55">
        <f t="shared" si="285"/>
        <v>0</v>
      </c>
      <c r="Z321" s="234"/>
      <c r="AA321" s="234"/>
      <c r="AB321" s="55">
        <f t="shared" si="286"/>
        <v>18669.759999999998</v>
      </c>
      <c r="AC321" s="234">
        <v>14875.55</v>
      </c>
      <c r="AD321" s="234">
        <v>3794.21</v>
      </c>
      <c r="AE321" s="63">
        <f t="shared" si="283"/>
        <v>933487.76</v>
      </c>
      <c r="AF321" s="55">
        <v>0</v>
      </c>
      <c r="AG321" s="55">
        <f t="shared" si="284"/>
        <v>933487.76</v>
      </c>
      <c r="AH321" s="60" t="s">
        <v>607</v>
      </c>
      <c r="AI321" s="61" t="s">
        <v>1696</v>
      </c>
      <c r="AJ321" s="198">
        <f>81982.44+68790.33-12682.51+93000-3589.63+93000-1200.51</f>
        <v>319300.12</v>
      </c>
      <c r="AK321" s="198">
        <f>11017.56+15316.94+17051+17506.62</f>
        <v>60892.119999999995</v>
      </c>
    </row>
    <row r="322" spans="1:37" ht="252" x14ac:dyDescent="0.25">
      <c r="A322" s="345" t="s">
        <v>2066</v>
      </c>
      <c r="B322" s="440">
        <v>115759</v>
      </c>
      <c r="C322" s="441">
        <v>400</v>
      </c>
      <c r="D322" s="440" t="s">
        <v>166</v>
      </c>
      <c r="E322" s="442" t="s">
        <v>161</v>
      </c>
      <c r="F322" s="443" t="s">
        <v>468</v>
      </c>
      <c r="G322" s="101" t="s">
        <v>641</v>
      </c>
      <c r="H322" s="100" t="s">
        <v>642</v>
      </c>
      <c r="I322" s="442" t="s">
        <v>643</v>
      </c>
      <c r="J322" s="99" t="s">
        <v>644</v>
      </c>
      <c r="K322" s="152">
        <v>43270</v>
      </c>
      <c r="L322" s="15">
        <v>44062</v>
      </c>
      <c r="M322" s="5">
        <f t="shared" si="267"/>
        <v>83.983862602445981</v>
      </c>
      <c r="N322" s="97" t="s">
        <v>347</v>
      </c>
      <c r="O322" s="97" t="s">
        <v>153</v>
      </c>
      <c r="P322" s="97" t="s">
        <v>153</v>
      </c>
      <c r="Q322" s="98" t="s">
        <v>154</v>
      </c>
      <c r="R322" s="96" t="s">
        <v>36</v>
      </c>
      <c r="S322" s="55">
        <f t="shared" si="279"/>
        <v>8270959.1999999993</v>
      </c>
      <c r="T322" s="234">
        <v>6669808.0599999996</v>
      </c>
      <c r="U322" s="234">
        <v>1601151.14</v>
      </c>
      <c r="V322" s="55">
        <f t="shared" si="280"/>
        <v>0</v>
      </c>
      <c r="W322" s="234">
        <v>0</v>
      </c>
      <c r="X322" s="234">
        <v>0</v>
      </c>
      <c r="Y322" s="55">
        <f t="shared" si="285"/>
        <v>1577312.77</v>
      </c>
      <c r="Z322" s="234">
        <v>1177024.8899999999</v>
      </c>
      <c r="AA322" s="234">
        <v>400287.88</v>
      </c>
      <c r="AB322" s="55">
        <f t="shared" si="286"/>
        <v>0</v>
      </c>
      <c r="AC322" s="234">
        <v>0</v>
      </c>
      <c r="AD322" s="234">
        <v>0</v>
      </c>
      <c r="AE322" s="63">
        <f t="shared" si="283"/>
        <v>9848271.9699999988</v>
      </c>
      <c r="AF322" s="55"/>
      <c r="AG322" s="55">
        <f t="shared" si="284"/>
        <v>9848271.9699999988</v>
      </c>
      <c r="AH322" s="60" t="s">
        <v>607</v>
      </c>
      <c r="AI322" s="61" t="s">
        <v>1647</v>
      </c>
      <c r="AJ322" s="62">
        <f>821485.68+1164341.89+225959.67+840790.22+382.88+832032.46</f>
        <v>3884992.8</v>
      </c>
      <c r="AK322" s="62">
        <v>0</v>
      </c>
    </row>
    <row r="323" spans="1:37" ht="141.75" x14ac:dyDescent="0.25">
      <c r="A323" s="345" t="s">
        <v>2067</v>
      </c>
      <c r="B323" s="271">
        <v>111409</v>
      </c>
      <c r="C323" s="424">
        <v>193</v>
      </c>
      <c r="D323" s="271" t="s">
        <v>167</v>
      </c>
      <c r="E323" s="260" t="s">
        <v>161</v>
      </c>
      <c r="F323" s="419" t="s">
        <v>345</v>
      </c>
      <c r="G323" s="103" t="s">
        <v>650</v>
      </c>
      <c r="H323" s="104" t="s">
        <v>649</v>
      </c>
      <c r="I323" s="260" t="s">
        <v>444</v>
      </c>
      <c r="J323" s="28" t="s">
        <v>651</v>
      </c>
      <c r="K323" s="148">
        <v>43271</v>
      </c>
      <c r="L323" s="15">
        <v>43758</v>
      </c>
      <c r="M323" s="5">
        <f t="shared" si="267"/>
        <v>82.304194845785176</v>
      </c>
      <c r="N323" s="2" t="s">
        <v>347</v>
      </c>
      <c r="O323" s="90" t="s">
        <v>153</v>
      </c>
      <c r="P323" s="90" t="s">
        <v>153</v>
      </c>
      <c r="Q323" s="41" t="s">
        <v>349</v>
      </c>
      <c r="R323" s="2" t="s">
        <v>36</v>
      </c>
      <c r="S323" s="102">
        <f>T323+U323</f>
        <v>813056.82000000007</v>
      </c>
      <c r="T323" s="234">
        <v>655659.42000000004</v>
      </c>
      <c r="U323" s="234">
        <v>157397.4</v>
      </c>
      <c r="V323" s="55">
        <f t="shared" si="280"/>
        <v>155053.85</v>
      </c>
      <c r="W323" s="234">
        <v>115704.6</v>
      </c>
      <c r="X323" s="234">
        <v>39349.25</v>
      </c>
      <c r="Y323" s="55">
        <f t="shared" si="285"/>
        <v>0</v>
      </c>
      <c r="Z323" s="234"/>
      <c r="AA323" s="234"/>
      <c r="AB323" s="55">
        <f t="shared" si="286"/>
        <v>19757.350000000002</v>
      </c>
      <c r="AC323" s="234">
        <v>15742.12</v>
      </c>
      <c r="AD323" s="234">
        <v>4015.23</v>
      </c>
      <c r="AE323" s="63">
        <f>S323+V323+Y323+AB323</f>
        <v>987868.02</v>
      </c>
      <c r="AF323" s="55">
        <v>0</v>
      </c>
      <c r="AG323" s="55">
        <f t="shared" si="284"/>
        <v>987868.02</v>
      </c>
      <c r="AH323" s="60" t="s">
        <v>607</v>
      </c>
      <c r="AI323" s="61" t="s">
        <v>1404</v>
      </c>
      <c r="AJ323" s="198">
        <f>104036.05+83299.38+40723.7+153044.06+23273.36+53101.78+28583.42+113398.75</f>
        <v>599460.5</v>
      </c>
      <c r="AK323" s="198">
        <f>16886.65+26605.33+10347.13+4438.35+10126.8+5451+21625.73</f>
        <v>95480.989999999991</v>
      </c>
    </row>
    <row r="324" spans="1:37" ht="141.75" x14ac:dyDescent="0.25">
      <c r="A324" s="345" t="s">
        <v>2068</v>
      </c>
      <c r="B324" s="271">
        <v>118676</v>
      </c>
      <c r="C324" s="424">
        <v>432</v>
      </c>
      <c r="D324" s="271" t="s">
        <v>167</v>
      </c>
      <c r="E324" s="260" t="s">
        <v>1102</v>
      </c>
      <c r="F324" s="419" t="s">
        <v>652</v>
      </c>
      <c r="G324" s="92" t="s">
        <v>653</v>
      </c>
      <c r="H324" s="37" t="s">
        <v>654</v>
      </c>
      <c r="I324" s="260" t="s">
        <v>655</v>
      </c>
      <c r="J324" s="28" t="s">
        <v>656</v>
      </c>
      <c r="K324" s="148">
        <v>43270</v>
      </c>
      <c r="L324" s="15">
        <v>43970</v>
      </c>
      <c r="M324" s="5">
        <f t="shared" si="267"/>
        <v>83.983863365706441</v>
      </c>
      <c r="N324" s="2" t="s">
        <v>347</v>
      </c>
      <c r="O324" s="90" t="s">
        <v>153</v>
      </c>
      <c r="P324" s="90" t="s">
        <v>153</v>
      </c>
      <c r="Q324" s="41" t="s">
        <v>154</v>
      </c>
      <c r="R324" s="2" t="s">
        <v>36</v>
      </c>
      <c r="S324" s="55">
        <f t="shared" si="279"/>
        <v>3030823.93</v>
      </c>
      <c r="T324" s="234">
        <v>2444095.41</v>
      </c>
      <c r="U324" s="234">
        <v>586728.52</v>
      </c>
      <c r="V324" s="55">
        <f t="shared" si="280"/>
        <v>0</v>
      </c>
      <c r="W324" s="234"/>
      <c r="X324" s="234"/>
      <c r="Y324" s="55">
        <f t="shared" si="285"/>
        <v>577993.05999999994</v>
      </c>
      <c r="Z324" s="234">
        <v>431310.97</v>
      </c>
      <c r="AA324" s="234">
        <v>146682.09</v>
      </c>
      <c r="AB324" s="55">
        <f t="shared" si="286"/>
        <v>0</v>
      </c>
      <c r="AC324" s="234"/>
      <c r="AD324" s="234"/>
      <c r="AE324" s="63">
        <f t="shared" si="283"/>
        <v>3608816.99</v>
      </c>
      <c r="AF324" s="55">
        <v>0</v>
      </c>
      <c r="AG324" s="55">
        <f t="shared" si="284"/>
        <v>3608816.99</v>
      </c>
      <c r="AH324" s="60" t="s">
        <v>607</v>
      </c>
      <c r="AI324" s="61" t="s">
        <v>1599</v>
      </c>
      <c r="AJ324" s="62">
        <f>43102.2+366371.99+199.89+120510.92+225498.13</f>
        <v>755683.13</v>
      </c>
      <c r="AK324" s="62">
        <v>0</v>
      </c>
    </row>
    <row r="325" spans="1:37" ht="346.5" x14ac:dyDescent="0.25">
      <c r="A325" s="345" t="s">
        <v>2069</v>
      </c>
      <c r="B325" s="271">
        <v>111610</v>
      </c>
      <c r="C325" s="424">
        <v>374</v>
      </c>
      <c r="D325" s="271" t="s">
        <v>164</v>
      </c>
      <c r="E325" s="260" t="s">
        <v>1103</v>
      </c>
      <c r="F325" s="419" t="s">
        <v>657</v>
      </c>
      <c r="G325" s="92" t="s">
        <v>659</v>
      </c>
      <c r="H325" s="37" t="s">
        <v>658</v>
      </c>
      <c r="I325" s="260" t="s">
        <v>660</v>
      </c>
      <c r="J325" s="28" t="s">
        <v>664</v>
      </c>
      <c r="K325" s="148">
        <v>43272</v>
      </c>
      <c r="L325" s="15">
        <v>43729</v>
      </c>
      <c r="M325" s="5">
        <f t="shared" si="267"/>
        <v>82.30418774976819</v>
      </c>
      <c r="N325" s="2" t="s">
        <v>347</v>
      </c>
      <c r="O325" s="90" t="s">
        <v>153</v>
      </c>
      <c r="P325" s="90" t="s">
        <v>153</v>
      </c>
      <c r="Q325" s="41" t="s">
        <v>349</v>
      </c>
      <c r="R325" s="2" t="s">
        <v>36</v>
      </c>
      <c r="S325" s="55">
        <f t="shared" si="279"/>
        <v>3413208.46</v>
      </c>
      <c r="T325" s="234">
        <v>2752455.25</v>
      </c>
      <c r="U325" s="234">
        <v>660753.21</v>
      </c>
      <c r="V325" s="55">
        <f t="shared" si="280"/>
        <v>650915.6</v>
      </c>
      <c r="W325" s="234">
        <v>485727.33</v>
      </c>
      <c r="X325" s="234">
        <v>165188.26999999999</v>
      </c>
      <c r="Y325" s="55">
        <f t="shared" si="285"/>
        <v>0</v>
      </c>
      <c r="Z325" s="234">
        <v>0</v>
      </c>
      <c r="AA325" s="234">
        <v>0</v>
      </c>
      <c r="AB325" s="55">
        <f t="shared" si="286"/>
        <v>82941.300000000017</v>
      </c>
      <c r="AC325" s="234">
        <v>66085.326136337957</v>
      </c>
      <c r="AD325" s="234">
        <v>16855.97386366206</v>
      </c>
      <c r="AE325" s="63">
        <f>S325+V325+Y325+AB325</f>
        <v>4147065.36</v>
      </c>
      <c r="AF325" s="55">
        <v>0</v>
      </c>
      <c r="AG325" s="55">
        <f t="shared" si="284"/>
        <v>4147065.36</v>
      </c>
      <c r="AH325" s="60" t="s">
        <v>607</v>
      </c>
      <c r="AI325" s="61" t="s">
        <v>1149</v>
      </c>
      <c r="AJ325" s="62">
        <f>413506.52+39634.08+203862.73+22675.21+238112.3-5677.61+315671.54+256839.5+48499.95+31156.55+577305.1</f>
        <v>2141585.87</v>
      </c>
      <c r="AK325" s="62">
        <f>51329.52+25659.99+79433+5677.61+44422.4+12020.11+67601.69+43232.94</f>
        <v>329377.26</v>
      </c>
    </row>
    <row r="326" spans="1:37" ht="141.75" x14ac:dyDescent="0.25">
      <c r="A326" s="345" t="s">
        <v>2070</v>
      </c>
      <c r="B326" s="271">
        <v>110423</v>
      </c>
      <c r="C326" s="424">
        <v>207</v>
      </c>
      <c r="D326" s="271" t="s">
        <v>168</v>
      </c>
      <c r="E326" s="260" t="s">
        <v>161</v>
      </c>
      <c r="F326" s="419" t="s">
        <v>345</v>
      </c>
      <c r="G326" s="92" t="s">
        <v>661</v>
      </c>
      <c r="H326" s="107" t="s">
        <v>662</v>
      </c>
      <c r="I326" s="260" t="s">
        <v>444</v>
      </c>
      <c r="J326" s="28" t="s">
        <v>663</v>
      </c>
      <c r="K326" s="148">
        <v>43272</v>
      </c>
      <c r="L326" s="15">
        <v>43819</v>
      </c>
      <c r="M326" s="5">
        <f t="shared" si="267"/>
        <v>82.304184780767926</v>
      </c>
      <c r="N326" s="2" t="s">
        <v>347</v>
      </c>
      <c r="O326" s="2" t="s">
        <v>335</v>
      </c>
      <c r="P326" s="2" t="s">
        <v>335</v>
      </c>
      <c r="Q326" s="41" t="s">
        <v>349</v>
      </c>
      <c r="R326" s="2" t="s">
        <v>36</v>
      </c>
      <c r="S326" s="55">
        <f t="shared" si="279"/>
        <v>823039.14</v>
      </c>
      <c r="T326" s="234">
        <v>663709.35</v>
      </c>
      <c r="U326" s="234">
        <v>159329.79</v>
      </c>
      <c r="V326" s="55">
        <f>W326+X326</f>
        <v>156957.63</v>
      </c>
      <c r="W326" s="234">
        <v>117125.19</v>
      </c>
      <c r="X326" s="234">
        <v>39832.44</v>
      </c>
      <c r="Y326" s="55">
        <f>Z326+AA326</f>
        <v>0</v>
      </c>
      <c r="Z326" s="234"/>
      <c r="AA326" s="234"/>
      <c r="AB326" s="55">
        <f t="shared" si="286"/>
        <v>19999.939999999999</v>
      </c>
      <c r="AC326" s="234">
        <v>15935.41</v>
      </c>
      <c r="AD326" s="234">
        <v>4064.53</v>
      </c>
      <c r="AE326" s="63">
        <f t="shared" si="283"/>
        <v>999996.71</v>
      </c>
      <c r="AF326" s="55">
        <v>0</v>
      </c>
      <c r="AG326" s="55">
        <f t="shared" si="284"/>
        <v>999996.71</v>
      </c>
      <c r="AH326" s="60" t="s">
        <v>607</v>
      </c>
      <c r="AI326" s="61" t="s">
        <v>1704</v>
      </c>
      <c r="AJ326" s="198">
        <f>55440+153663.31-12607.53+78717.62+110523.84+22128.96</f>
        <v>407866.2</v>
      </c>
      <c r="AK326" s="198">
        <f>20806.72+12607.53+21077.43+23290.41</f>
        <v>77782.09</v>
      </c>
    </row>
    <row r="327" spans="1:37" ht="157.5" x14ac:dyDescent="0.25">
      <c r="A327" s="345" t="s">
        <v>2071</v>
      </c>
      <c r="B327" s="271">
        <v>111199</v>
      </c>
      <c r="C327" s="424">
        <v>147</v>
      </c>
      <c r="D327" s="271" t="s">
        <v>1334</v>
      </c>
      <c r="E327" s="260" t="s">
        <v>161</v>
      </c>
      <c r="F327" s="419" t="s">
        <v>345</v>
      </c>
      <c r="G327" s="92" t="s">
        <v>707</v>
      </c>
      <c r="H327" s="37" t="s">
        <v>708</v>
      </c>
      <c r="I327" s="260" t="s">
        <v>709</v>
      </c>
      <c r="J327" s="28" t="s">
        <v>710</v>
      </c>
      <c r="K327" s="148">
        <v>43277</v>
      </c>
      <c r="L327" s="15">
        <v>44190</v>
      </c>
      <c r="M327" s="5">
        <f t="shared" si="267"/>
        <v>82.524995224288418</v>
      </c>
      <c r="N327" s="2" t="s">
        <v>347</v>
      </c>
      <c r="O327" s="2" t="s">
        <v>335</v>
      </c>
      <c r="P327" s="2" t="s">
        <v>335</v>
      </c>
      <c r="Q327" s="41" t="s">
        <v>349</v>
      </c>
      <c r="R327" s="2" t="s">
        <v>36</v>
      </c>
      <c r="S327" s="55">
        <f>T327+U327</f>
        <v>825126.99</v>
      </c>
      <c r="T327" s="234">
        <v>665393.03</v>
      </c>
      <c r="U327" s="234">
        <v>159733.96</v>
      </c>
      <c r="V327" s="55">
        <f t="shared" si="280"/>
        <v>154726.99</v>
      </c>
      <c r="W327" s="234">
        <v>115327.75</v>
      </c>
      <c r="X327" s="234">
        <v>39399.24</v>
      </c>
      <c r="Y327" s="55">
        <f>Z327+AA327</f>
        <v>0</v>
      </c>
      <c r="Z327" s="234">
        <v>0</v>
      </c>
      <c r="AA327" s="234">
        <v>0</v>
      </c>
      <c r="AB327" s="55">
        <f>AC327+AD327</f>
        <v>19997.02</v>
      </c>
      <c r="AC327" s="234">
        <v>15933.08</v>
      </c>
      <c r="AD327" s="234">
        <v>4063.94</v>
      </c>
      <c r="AE327" s="63">
        <f t="shared" si="283"/>
        <v>999851</v>
      </c>
      <c r="AF327" s="55">
        <v>0</v>
      </c>
      <c r="AG327" s="55">
        <f t="shared" si="284"/>
        <v>999851</v>
      </c>
      <c r="AH327" s="60" t="s">
        <v>607</v>
      </c>
      <c r="AI327" s="61" t="s">
        <v>181</v>
      </c>
      <c r="AJ327" s="198">
        <f>99985.1+89695.95+1370.47+76616.64+5407.01+89703.31+18029.87</f>
        <v>380808.35</v>
      </c>
      <c r="AK327" s="198">
        <f>17105.45+14284.79+17404.21+19871.63</f>
        <v>68666.080000000002</v>
      </c>
    </row>
    <row r="328" spans="1:37" ht="409.5" x14ac:dyDescent="0.25">
      <c r="A328" s="345" t="s">
        <v>2072</v>
      </c>
      <c r="B328" s="271">
        <v>111846</v>
      </c>
      <c r="C328" s="424">
        <v>165</v>
      </c>
      <c r="D328" s="271" t="s">
        <v>1093</v>
      </c>
      <c r="E328" s="260" t="s">
        <v>161</v>
      </c>
      <c r="F328" s="419" t="s">
        <v>345</v>
      </c>
      <c r="G328" s="11" t="s">
        <v>682</v>
      </c>
      <c r="H328" s="37" t="s">
        <v>683</v>
      </c>
      <c r="I328" s="260" t="s">
        <v>444</v>
      </c>
      <c r="J328" s="28" t="s">
        <v>684</v>
      </c>
      <c r="K328" s="148">
        <v>43278</v>
      </c>
      <c r="L328" s="15">
        <v>43643</v>
      </c>
      <c r="M328" s="5">
        <f t="shared" si="267"/>
        <v>82.304186166768261</v>
      </c>
      <c r="N328" s="2" t="s">
        <v>347</v>
      </c>
      <c r="O328" s="2" t="s">
        <v>335</v>
      </c>
      <c r="P328" s="2" t="s">
        <v>335</v>
      </c>
      <c r="Q328" s="41" t="s">
        <v>349</v>
      </c>
      <c r="R328" s="2" t="s">
        <v>36</v>
      </c>
      <c r="S328" s="55">
        <f t="shared" si="279"/>
        <v>693954.33</v>
      </c>
      <c r="T328" s="234">
        <v>559613.69999999995</v>
      </c>
      <c r="U328" s="234">
        <v>134340.63</v>
      </c>
      <c r="V328" s="55">
        <f t="shared" si="280"/>
        <v>132340.51</v>
      </c>
      <c r="W328" s="234">
        <v>98755.36</v>
      </c>
      <c r="X328" s="234">
        <v>33585.15</v>
      </c>
      <c r="Y328" s="55">
        <f>Z328+AA328</f>
        <v>0</v>
      </c>
      <c r="Z328" s="234">
        <v>0</v>
      </c>
      <c r="AA328" s="234">
        <v>0</v>
      </c>
      <c r="AB328" s="55">
        <f>AC328+AD328</f>
        <v>16863.16</v>
      </c>
      <c r="AC328" s="234">
        <v>13436.1</v>
      </c>
      <c r="AD328" s="234">
        <v>3427.06</v>
      </c>
      <c r="AE328" s="63">
        <f t="shared" si="283"/>
        <v>843158</v>
      </c>
      <c r="AF328" s="55">
        <v>0</v>
      </c>
      <c r="AG328" s="55">
        <f t="shared" si="284"/>
        <v>843158</v>
      </c>
      <c r="AH328" s="60" t="s">
        <v>1534</v>
      </c>
      <c r="AI328" s="61" t="s">
        <v>181</v>
      </c>
      <c r="AJ328" s="198">
        <f>137170.68-7903.65+194328.98+89918.19+31054.2+67873.86+26987.16-13270.01+106614.87</f>
        <v>632774.28</v>
      </c>
      <c r="AK328" s="198">
        <f>10079.83+14572.02+20980.21+17147.84+5922.18+12943.9+5146.58+13548.66+20331.96</f>
        <v>120673.18</v>
      </c>
    </row>
    <row r="329" spans="1:37" ht="409.5" x14ac:dyDescent="0.25">
      <c r="A329" s="345" t="s">
        <v>2073</v>
      </c>
      <c r="B329" s="271">
        <v>110795</v>
      </c>
      <c r="C329" s="424">
        <v>127</v>
      </c>
      <c r="D329" s="271" t="s">
        <v>1334</v>
      </c>
      <c r="E329" s="260" t="s">
        <v>161</v>
      </c>
      <c r="F329" s="419" t="s">
        <v>345</v>
      </c>
      <c r="G329" s="11" t="s">
        <v>685</v>
      </c>
      <c r="H329" s="37" t="s">
        <v>690</v>
      </c>
      <c r="I329" s="260" t="s">
        <v>691</v>
      </c>
      <c r="J329" s="108" t="s">
        <v>692</v>
      </c>
      <c r="K329" s="148">
        <v>43278</v>
      </c>
      <c r="L329" s="15">
        <v>43765</v>
      </c>
      <c r="M329" s="5">
        <f t="shared" si="267"/>
        <v>82.304181171723172</v>
      </c>
      <c r="N329" s="2" t="s">
        <v>347</v>
      </c>
      <c r="O329" s="2" t="s">
        <v>335</v>
      </c>
      <c r="P329" s="2" t="s">
        <v>335</v>
      </c>
      <c r="Q329" s="41" t="s">
        <v>349</v>
      </c>
      <c r="R329" s="2" t="s">
        <v>36</v>
      </c>
      <c r="S329" s="55">
        <f t="shared" si="279"/>
        <v>818511.09</v>
      </c>
      <c r="T329" s="234">
        <v>660057.88</v>
      </c>
      <c r="U329" s="234">
        <v>158453.21</v>
      </c>
      <c r="V329" s="55">
        <f t="shared" si="280"/>
        <v>156094.12</v>
      </c>
      <c r="W329" s="234">
        <v>116480.81</v>
      </c>
      <c r="X329" s="234">
        <v>39613.31</v>
      </c>
      <c r="Y329" s="55">
        <f t="shared" si="285"/>
        <v>0</v>
      </c>
      <c r="Z329" s="234"/>
      <c r="AA329" s="234"/>
      <c r="AB329" s="55">
        <f t="shared" si="286"/>
        <v>19889.939999999999</v>
      </c>
      <c r="AC329" s="234">
        <v>15847.76</v>
      </c>
      <c r="AD329" s="234">
        <v>4042.18</v>
      </c>
      <c r="AE329" s="63">
        <f t="shared" si="283"/>
        <v>994495.14999999991</v>
      </c>
      <c r="AF329" s="55"/>
      <c r="AG329" s="55">
        <f t="shared" si="284"/>
        <v>994495.14999999991</v>
      </c>
      <c r="AH329" s="60" t="s">
        <v>607</v>
      </c>
      <c r="AI329" s="61"/>
      <c r="AJ329" s="198">
        <f>157838.38+70218+75120.05-9400.61+77188.42+38669.17-7483.51+148856.55+42278.62+102987.31</f>
        <v>696272.37999999989</v>
      </c>
      <c r="AK329" s="198">
        <f>11135.04+27716.68+9400.61+3526.85+11840.91+7483.51+15010.54+8062.74+19640.21</f>
        <v>113817.09</v>
      </c>
    </row>
    <row r="330" spans="1:37" ht="204.75" x14ac:dyDescent="0.25">
      <c r="A330" s="345" t="s">
        <v>2074</v>
      </c>
      <c r="B330" s="271">
        <v>110651</v>
      </c>
      <c r="C330" s="424">
        <v>226</v>
      </c>
      <c r="D330" s="271" t="s">
        <v>168</v>
      </c>
      <c r="E330" s="260" t="s">
        <v>161</v>
      </c>
      <c r="F330" s="419" t="s">
        <v>345</v>
      </c>
      <c r="G330" s="92" t="s">
        <v>686</v>
      </c>
      <c r="H330" s="37" t="s">
        <v>687</v>
      </c>
      <c r="I330" s="260" t="s">
        <v>688</v>
      </c>
      <c r="J330" s="108" t="s">
        <v>689</v>
      </c>
      <c r="K330" s="148">
        <v>43278</v>
      </c>
      <c r="L330" s="15">
        <v>43765</v>
      </c>
      <c r="M330" s="5">
        <f t="shared" si="267"/>
        <v>82.795862537238648</v>
      </c>
      <c r="N330" s="2" t="s">
        <v>347</v>
      </c>
      <c r="O330" s="2" t="s">
        <v>335</v>
      </c>
      <c r="P330" s="2" t="s">
        <v>335</v>
      </c>
      <c r="Q330" s="41" t="s">
        <v>349</v>
      </c>
      <c r="R330" s="2" t="s">
        <v>36</v>
      </c>
      <c r="S330" s="55">
        <f t="shared" si="279"/>
        <v>774090.95</v>
      </c>
      <c r="T330" s="234">
        <v>624236.9</v>
      </c>
      <c r="U330" s="234">
        <v>149854.04999999999</v>
      </c>
      <c r="V330" s="55">
        <f t="shared" si="280"/>
        <v>142149.4</v>
      </c>
      <c r="W330" s="234">
        <v>105798.25</v>
      </c>
      <c r="X330" s="234">
        <v>36351.15</v>
      </c>
      <c r="Y330" s="55">
        <f t="shared" si="285"/>
        <v>0</v>
      </c>
      <c r="Z330" s="234"/>
      <c r="AA330" s="234"/>
      <c r="AB330" s="55">
        <f t="shared" si="286"/>
        <v>18698.82</v>
      </c>
      <c r="AC330" s="234">
        <v>14898.73</v>
      </c>
      <c r="AD330" s="234">
        <v>3800.09</v>
      </c>
      <c r="AE330" s="63">
        <f t="shared" si="283"/>
        <v>934939.16999999993</v>
      </c>
      <c r="AF330" s="55">
        <v>0</v>
      </c>
      <c r="AG330" s="55">
        <f t="shared" si="284"/>
        <v>934939.16999999993</v>
      </c>
      <c r="AH330" s="60" t="s">
        <v>607</v>
      </c>
      <c r="AI330" s="61" t="s">
        <v>181</v>
      </c>
      <c r="AJ330" s="198">
        <f>93127.69-32382.23+82358.09+30059.24-7220.89+50009.03-1734.49</f>
        <v>214216.43999999997</v>
      </c>
      <c r="AK330" s="198">
        <f>9460.82+5699.03+7815.58+13530.31</f>
        <v>36505.74</v>
      </c>
    </row>
    <row r="331" spans="1:37" ht="393.75" x14ac:dyDescent="0.25">
      <c r="A331" s="345" t="s">
        <v>2075</v>
      </c>
      <c r="B331" s="271">
        <v>111787</v>
      </c>
      <c r="C331" s="424">
        <v>169</v>
      </c>
      <c r="D331" s="271" t="s">
        <v>1093</v>
      </c>
      <c r="E331" s="260" t="s">
        <v>161</v>
      </c>
      <c r="F331" s="419" t="s">
        <v>345</v>
      </c>
      <c r="G331" s="11" t="s">
        <v>693</v>
      </c>
      <c r="H331" s="37" t="s">
        <v>694</v>
      </c>
      <c r="I331" s="260" t="s">
        <v>444</v>
      </c>
      <c r="J331" s="108" t="s">
        <v>695</v>
      </c>
      <c r="K331" s="148">
        <v>43278</v>
      </c>
      <c r="L331" s="15">
        <v>43765</v>
      </c>
      <c r="M331" s="5">
        <f t="shared" si="267"/>
        <v>82.304186085847633</v>
      </c>
      <c r="N331" s="2" t="s">
        <v>347</v>
      </c>
      <c r="O331" s="2" t="s">
        <v>335</v>
      </c>
      <c r="P331" s="2" t="s">
        <v>335</v>
      </c>
      <c r="Q331" s="41" t="s">
        <v>349</v>
      </c>
      <c r="R331" s="2" t="s">
        <v>36</v>
      </c>
      <c r="S331" s="55">
        <f t="shared" si="279"/>
        <v>822921.16999999993</v>
      </c>
      <c r="T331" s="234">
        <v>663614.22</v>
      </c>
      <c r="U331" s="234">
        <v>159306.95000000001</v>
      </c>
      <c r="V331" s="56">
        <f t="shared" si="280"/>
        <v>156935.12</v>
      </c>
      <c r="W331" s="234">
        <v>117108.4</v>
      </c>
      <c r="X331" s="234">
        <v>39826.720000000001</v>
      </c>
      <c r="Y331" s="55">
        <f t="shared" si="285"/>
        <v>0</v>
      </c>
      <c r="Z331" s="234"/>
      <c r="AA331" s="234"/>
      <c r="AB331" s="55">
        <f t="shared" si="286"/>
        <v>19997.07</v>
      </c>
      <c r="AC331" s="234">
        <v>15933.11</v>
      </c>
      <c r="AD331" s="234">
        <v>4063.96</v>
      </c>
      <c r="AE331" s="63">
        <f t="shared" si="283"/>
        <v>999853.35999999987</v>
      </c>
      <c r="AF331" s="55"/>
      <c r="AG331" s="55">
        <f t="shared" si="284"/>
        <v>999853.35999999987</v>
      </c>
      <c r="AH331" s="60" t="s">
        <v>607</v>
      </c>
      <c r="AI331" s="61"/>
      <c r="AJ331" s="198">
        <f>73296.53+95514.85+3270.71+99985.33+65010.91+99985.33-954+39851.73+99985.33</f>
        <v>575946.72</v>
      </c>
      <c r="AK331" s="198">
        <f>13125.47+19691.44+31465.6+954+25531.71</f>
        <v>90768.22</v>
      </c>
    </row>
    <row r="332" spans="1:37" ht="362.25" x14ac:dyDescent="0.25">
      <c r="A332" s="345" t="s">
        <v>2076</v>
      </c>
      <c r="B332" s="271">
        <v>113139</v>
      </c>
      <c r="C332" s="424">
        <v>387</v>
      </c>
      <c r="D332" s="271" t="s">
        <v>164</v>
      </c>
      <c r="E332" s="260" t="s">
        <v>1103</v>
      </c>
      <c r="F332" s="419" t="s">
        <v>657</v>
      </c>
      <c r="G332" s="11" t="s">
        <v>702</v>
      </c>
      <c r="H332" s="37" t="s">
        <v>701</v>
      </c>
      <c r="I332" s="260" t="s">
        <v>703</v>
      </c>
      <c r="J332" s="108" t="s">
        <v>704</v>
      </c>
      <c r="K332" s="148">
        <v>43273</v>
      </c>
      <c r="L332" s="15">
        <v>43760</v>
      </c>
      <c r="M332" s="5">
        <f t="shared" si="267"/>
        <v>82.304185106128585</v>
      </c>
      <c r="N332" s="2" t="s">
        <v>347</v>
      </c>
      <c r="O332" s="2" t="s">
        <v>335</v>
      </c>
      <c r="P332" s="2" t="s">
        <v>335</v>
      </c>
      <c r="Q332" s="41" t="s">
        <v>349</v>
      </c>
      <c r="R332" s="2" t="s">
        <v>36</v>
      </c>
      <c r="S332" s="55">
        <f t="shared" si="279"/>
        <v>3201407.46</v>
      </c>
      <c r="T332" s="234">
        <v>2581656.2000000002</v>
      </c>
      <c r="U332" s="234">
        <v>619751.26</v>
      </c>
      <c r="V332" s="55">
        <f t="shared" si="280"/>
        <v>610524.23</v>
      </c>
      <c r="W332" s="234">
        <v>455586.4</v>
      </c>
      <c r="X332" s="234">
        <v>154937.82999999999</v>
      </c>
      <c r="Y332" s="55">
        <f t="shared" si="285"/>
        <v>0</v>
      </c>
      <c r="Z332" s="234">
        <v>0</v>
      </c>
      <c r="AA332" s="234">
        <v>0</v>
      </c>
      <c r="AB332" s="55">
        <f t="shared" si="286"/>
        <v>77794.52</v>
      </c>
      <c r="AC332" s="234">
        <v>61984.53</v>
      </c>
      <c r="AD332" s="234">
        <v>15809.99</v>
      </c>
      <c r="AE332" s="63">
        <f t="shared" si="283"/>
        <v>3889726.21</v>
      </c>
      <c r="AF332" s="55">
        <v>0</v>
      </c>
      <c r="AG332" s="55">
        <f t="shared" si="284"/>
        <v>3889726.21</v>
      </c>
      <c r="AH332" s="60" t="s">
        <v>607</v>
      </c>
      <c r="AI332" s="61" t="s">
        <v>181</v>
      </c>
      <c r="AJ332" s="62">
        <f>388971+375144.58-54672.24+342821.17+4731.32+402737.67+11632.82+397425.84</f>
        <v>1868792.1600000001</v>
      </c>
      <c r="AK332" s="62">
        <f>71541.92+54951.43+44725.39+32980.93+27492.59+50516.93</f>
        <v>282209.19</v>
      </c>
    </row>
    <row r="333" spans="1:37" ht="346.5" x14ac:dyDescent="0.25">
      <c r="A333" s="345" t="s">
        <v>2077</v>
      </c>
      <c r="B333" s="271">
        <v>111603</v>
      </c>
      <c r="C333" s="424">
        <v>195</v>
      </c>
      <c r="D333" s="271" t="s">
        <v>167</v>
      </c>
      <c r="E333" s="260" t="s">
        <v>161</v>
      </c>
      <c r="F333" s="419" t="s">
        <v>345</v>
      </c>
      <c r="G333" s="110" t="s">
        <v>717</v>
      </c>
      <c r="H333" s="110" t="s">
        <v>715</v>
      </c>
      <c r="I333" s="235" t="s">
        <v>714</v>
      </c>
      <c r="J333" s="251" t="s">
        <v>716</v>
      </c>
      <c r="K333" s="148">
        <v>43283</v>
      </c>
      <c r="L333" s="15">
        <v>43832</v>
      </c>
      <c r="M333" s="5">
        <f t="shared" si="267"/>
        <v>82.586398931908917</v>
      </c>
      <c r="N333" s="2" t="s">
        <v>347</v>
      </c>
      <c r="O333" s="2" t="s">
        <v>335</v>
      </c>
      <c r="P333" s="2" t="s">
        <v>335</v>
      </c>
      <c r="Q333" s="41" t="s">
        <v>349</v>
      </c>
      <c r="R333" s="2" t="s">
        <v>36</v>
      </c>
      <c r="S333" s="55">
        <f t="shared" si="279"/>
        <v>822323.37</v>
      </c>
      <c r="T333" s="234">
        <v>663132.13</v>
      </c>
      <c r="U333" s="234">
        <v>159191.24</v>
      </c>
      <c r="V333" s="55">
        <f t="shared" si="280"/>
        <v>153475.07</v>
      </c>
      <c r="W333" s="234">
        <v>114357.34</v>
      </c>
      <c r="X333" s="234">
        <v>39117.730000000003</v>
      </c>
      <c r="Y333" s="55">
        <f t="shared" si="285"/>
        <v>0</v>
      </c>
      <c r="Z333" s="234">
        <v>0</v>
      </c>
      <c r="AA333" s="234">
        <v>0</v>
      </c>
      <c r="AB333" s="55">
        <f t="shared" si="286"/>
        <v>19914.39</v>
      </c>
      <c r="AC333" s="234">
        <v>15867.2</v>
      </c>
      <c r="AD333" s="234">
        <v>4047.19</v>
      </c>
      <c r="AE333" s="63">
        <f t="shared" si="283"/>
        <v>995712.83</v>
      </c>
      <c r="AF333" s="55">
        <v>0</v>
      </c>
      <c r="AG333" s="55">
        <f t="shared" si="284"/>
        <v>995712.83</v>
      </c>
      <c r="AH333" s="60" t="s">
        <v>607</v>
      </c>
      <c r="AI333" s="61" t="s">
        <v>1482</v>
      </c>
      <c r="AJ333" s="198">
        <f>99571.31-9242.96+89177.68+83254.45+30280.79+7839.21+148983.14</f>
        <v>449863.62</v>
      </c>
      <c r="AK333" s="198">
        <f>15946.32+15174.65+5774.69+4031.4+25116.69</f>
        <v>66043.75</v>
      </c>
    </row>
    <row r="334" spans="1:37" ht="141.75" x14ac:dyDescent="0.25">
      <c r="A334" s="345" t="s">
        <v>2078</v>
      </c>
      <c r="B334" s="271">
        <v>113188</v>
      </c>
      <c r="C334" s="424">
        <v>246</v>
      </c>
      <c r="D334" s="271" t="s">
        <v>166</v>
      </c>
      <c r="E334" s="260" t="s">
        <v>161</v>
      </c>
      <c r="F334" s="419" t="s">
        <v>345</v>
      </c>
      <c r="G334" s="92" t="s">
        <v>722</v>
      </c>
      <c r="H334" s="37" t="s">
        <v>723</v>
      </c>
      <c r="I334" s="260" t="s">
        <v>444</v>
      </c>
      <c r="J334" s="108" t="s">
        <v>724</v>
      </c>
      <c r="K334" s="148">
        <v>43284</v>
      </c>
      <c r="L334" s="15">
        <v>43711</v>
      </c>
      <c r="M334" s="5">
        <f t="shared" si="267"/>
        <v>82.304188575115816</v>
      </c>
      <c r="N334" s="2" t="s">
        <v>347</v>
      </c>
      <c r="O334" s="2" t="s">
        <v>335</v>
      </c>
      <c r="P334" s="2" t="s">
        <v>335</v>
      </c>
      <c r="Q334" s="41" t="s">
        <v>349</v>
      </c>
      <c r="R334" s="2" t="s">
        <v>36</v>
      </c>
      <c r="S334" s="55">
        <f t="shared" si="279"/>
        <v>745468.83000000007</v>
      </c>
      <c r="T334" s="234">
        <v>601155.66</v>
      </c>
      <c r="U334" s="234">
        <v>144313.17000000001</v>
      </c>
      <c r="V334" s="55">
        <f t="shared" si="280"/>
        <v>142164.54</v>
      </c>
      <c r="W334" s="234">
        <v>106086.28</v>
      </c>
      <c r="X334" s="234">
        <v>36078.26</v>
      </c>
      <c r="Y334" s="55">
        <f t="shared" si="285"/>
        <v>0</v>
      </c>
      <c r="Z334" s="234">
        <v>0</v>
      </c>
      <c r="AA334" s="234">
        <v>0</v>
      </c>
      <c r="AB334" s="55">
        <f t="shared" si="286"/>
        <v>18114.98</v>
      </c>
      <c r="AC334" s="234">
        <v>14433.5</v>
      </c>
      <c r="AD334" s="234">
        <v>3681.48</v>
      </c>
      <c r="AE334" s="63">
        <f t="shared" si="283"/>
        <v>905748.35000000009</v>
      </c>
      <c r="AF334" s="55">
        <v>0</v>
      </c>
      <c r="AG334" s="55">
        <f t="shared" si="284"/>
        <v>905748.35000000009</v>
      </c>
      <c r="AH334" s="60" t="s">
        <v>1092</v>
      </c>
      <c r="AI334" s="61" t="s">
        <v>181</v>
      </c>
      <c r="AJ334" s="198">
        <f>76816.8+130770.26-14027.52+87583.68+55112.77+22177.11+95479.67+15632.7+2054.36+112456.06+17382.85</f>
        <v>601438.73999999987</v>
      </c>
      <c r="AK334" s="198">
        <f>13758.03+8556.79+14027.52+10510.28+4229.28+10710.03+10479.69+17664.84+4172.85+3314.99</f>
        <v>97424.3</v>
      </c>
    </row>
    <row r="335" spans="1:37" ht="252" x14ac:dyDescent="0.25">
      <c r="A335" s="345" t="s">
        <v>2079</v>
      </c>
      <c r="B335" s="271">
        <v>116097</v>
      </c>
      <c r="C335" s="424">
        <v>394</v>
      </c>
      <c r="D335" s="271" t="s">
        <v>166</v>
      </c>
      <c r="E335" s="442" t="s">
        <v>161</v>
      </c>
      <c r="F335" s="427" t="s">
        <v>468</v>
      </c>
      <c r="G335" s="108" t="s">
        <v>734</v>
      </c>
      <c r="H335" s="37" t="s">
        <v>733</v>
      </c>
      <c r="I335" s="260" t="s">
        <v>525</v>
      </c>
      <c r="J335" s="108" t="s">
        <v>735</v>
      </c>
      <c r="K335" s="148">
        <v>43284</v>
      </c>
      <c r="L335" s="15">
        <v>44077</v>
      </c>
      <c r="M335" s="5">
        <f t="shared" si="267"/>
        <v>83.983862774791262</v>
      </c>
      <c r="N335" s="2" t="s">
        <v>347</v>
      </c>
      <c r="O335" s="2" t="s">
        <v>335</v>
      </c>
      <c r="P335" s="2" t="s">
        <v>335</v>
      </c>
      <c r="Q335" s="41" t="s">
        <v>154</v>
      </c>
      <c r="R335" s="2" t="s">
        <v>36</v>
      </c>
      <c r="S335" s="55">
        <f t="shared" si="279"/>
        <v>6396515.5899999999</v>
      </c>
      <c r="T335" s="234">
        <v>5158232.53</v>
      </c>
      <c r="U335" s="234">
        <v>1238283.06</v>
      </c>
      <c r="V335" s="55">
        <f t="shared" si="280"/>
        <v>472527.32999999996</v>
      </c>
      <c r="W335" s="234">
        <v>349201.67</v>
      </c>
      <c r="X335" s="234">
        <v>123325.66</v>
      </c>
      <c r="Y335" s="55">
        <f t="shared" si="285"/>
        <v>747319.77</v>
      </c>
      <c r="Z335" s="234">
        <v>561074.66</v>
      </c>
      <c r="AA335" s="234">
        <v>186245.11</v>
      </c>
      <c r="AB335" s="55">
        <f t="shared" si="286"/>
        <v>0</v>
      </c>
      <c r="AC335" s="234">
        <v>0</v>
      </c>
      <c r="AD335" s="234">
        <v>0</v>
      </c>
      <c r="AE335" s="63">
        <f t="shared" si="283"/>
        <v>7616362.6899999995</v>
      </c>
      <c r="AF335" s="55">
        <v>0</v>
      </c>
      <c r="AG335" s="55">
        <f t="shared" si="284"/>
        <v>7616362.6899999995</v>
      </c>
      <c r="AH335" s="60" t="s">
        <v>607</v>
      </c>
      <c r="AI335" s="61" t="s">
        <v>181</v>
      </c>
      <c r="AJ335" s="62">
        <f>253980+93643.83</f>
        <v>347623.83</v>
      </c>
      <c r="AK335" s="62">
        <v>4416.62</v>
      </c>
    </row>
    <row r="336" spans="1:37" ht="409.5" x14ac:dyDescent="0.25">
      <c r="A336" s="345" t="s">
        <v>2080</v>
      </c>
      <c r="B336" s="271">
        <v>109966</v>
      </c>
      <c r="C336" s="424">
        <v>368</v>
      </c>
      <c r="D336" s="271" t="s">
        <v>1334</v>
      </c>
      <c r="E336" s="260" t="s">
        <v>161</v>
      </c>
      <c r="F336" s="419" t="s">
        <v>345</v>
      </c>
      <c r="G336" s="242" t="s">
        <v>730</v>
      </c>
      <c r="H336" s="242" t="s">
        <v>731</v>
      </c>
      <c r="I336" s="260" t="s">
        <v>444</v>
      </c>
      <c r="J336" s="108" t="s">
        <v>732</v>
      </c>
      <c r="K336" s="148">
        <v>43284</v>
      </c>
      <c r="L336" s="15">
        <v>43772</v>
      </c>
      <c r="M336" s="5">
        <f t="shared" si="267"/>
        <v>82.304190385931335</v>
      </c>
      <c r="N336" s="2" t="s">
        <v>347</v>
      </c>
      <c r="O336" s="2" t="s">
        <v>343</v>
      </c>
      <c r="P336" s="2" t="s">
        <v>1016</v>
      </c>
      <c r="Q336" s="41" t="s">
        <v>349</v>
      </c>
      <c r="R336" s="2" t="s">
        <v>36</v>
      </c>
      <c r="S336" s="55">
        <f t="shared" si="279"/>
        <v>820713.65</v>
      </c>
      <c r="T336" s="234">
        <v>661834.04</v>
      </c>
      <c r="U336" s="234">
        <v>158879.60999999999</v>
      </c>
      <c r="V336" s="55">
        <f t="shared" si="280"/>
        <v>156514.07999999999</v>
      </c>
      <c r="W336" s="234">
        <v>116794.2</v>
      </c>
      <c r="X336" s="234">
        <v>39719.879999999997</v>
      </c>
      <c r="Y336" s="55">
        <f t="shared" si="285"/>
        <v>0</v>
      </c>
      <c r="Z336" s="234">
        <v>0</v>
      </c>
      <c r="AA336" s="234">
        <v>0</v>
      </c>
      <c r="AB336" s="55">
        <f t="shared" si="286"/>
        <v>19943.43</v>
      </c>
      <c r="AC336" s="234">
        <v>15890.39</v>
      </c>
      <c r="AD336" s="234">
        <v>4053.04</v>
      </c>
      <c r="AE336" s="63">
        <f t="shared" si="283"/>
        <v>997171.16</v>
      </c>
      <c r="AF336" s="55">
        <v>0</v>
      </c>
      <c r="AG336" s="55">
        <f t="shared" si="284"/>
        <v>997171.16</v>
      </c>
      <c r="AH336" s="60" t="s">
        <v>607</v>
      </c>
      <c r="AI336" s="61" t="s">
        <v>181</v>
      </c>
      <c r="AJ336" s="198">
        <f>97719.31+82606.17+3211.32+89251.39-12691.77+101574.57-9992.32</f>
        <v>351678.67</v>
      </c>
      <c r="AK336" s="198">
        <f>16734.59+7125.74+9148.44+12691.77+4258.59+17107.67</f>
        <v>67066.8</v>
      </c>
    </row>
    <row r="337" spans="1:37" ht="141.75" x14ac:dyDescent="0.25">
      <c r="A337" s="345" t="s">
        <v>2081</v>
      </c>
      <c r="B337" s="271">
        <v>112133</v>
      </c>
      <c r="C337" s="424">
        <v>149</v>
      </c>
      <c r="D337" s="271" t="s">
        <v>1334</v>
      </c>
      <c r="E337" s="260" t="s">
        <v>161</v>
      </c>
      <c r="F337" s="419" t="s">
        <v>345</v>
      </c>
      <c r="G337" s="112" t="s">
        <v>737</v>
      </c>
      <c r="H337" s="37" t="s">
        <v>738</v>
      </c>
      <c r="I337" s="260" t="s">
        <v>739</v>
      </c>
      <c r="J337" s="113" t="s">
        <v>740</v>
      </c>
      <c r="K337" s="148">
        <v>43286</v>
      </c>
      <c r="L337" s="15">
        <v>43773</v>
      </c>
      <c r="M337" s="5">
        <f t="shared" si="267"/>
        <v>82.304192989201169</v>
      </c>
      <c r="N337" s="2" t="s">
        <v>347</v>
      </c>
      <c r="O337" s="2" t="s">
        <v>741</v>
      </c>
      <c r="P337" s="2" t="s">
        <v>729</v>
      </c>
      <c r="Q337" s="41" t="s">
        <v>349</v>
      </c>
      <c r="R337" s="2" t="s">
        <v>36</v>
      </c>
      <c r="S337" s="55">
        <v>615782.40000000002</v>
      </c>
      <c r="T337" s="234">
        <v>496574.82</v>
      </c>
      <c r="U337" s="234">
        <v>119207.58</v>
      </c>
      <c r="V337" s="55">
        <f t="shared" si="280"/>
        <v>117432.69</v>
      </c>
      <c r="W337" s="234">
        <v>87630.81</v>
      </c>
      <c r="X337" s="234">
        <v>29801.88</v>
      </c>
      <c r="Y337" s="55">
        <f>Z337+AA337</f>
        <v>0</v>
      </c>
      <c r="Z337" s="234"/>
      <c r="AA337" s="234"/>
      <c r="AB337" s="55">
        <f>AC337+AD337</f>
        <v>14963.56</v>
      </c>
      <c r="AC337" s="234">
        <v>11922.59</v>
      </c>
      <c r="AD337" s="234">
        <v>3040.97</v>
      </c>
      <c r="AE337" s="63">
        <f t="shared" si="283"/>
        <v>748178.65000000014</v>
      </c>
      <c r="AF337" s="55"/>
      <c r="AG337" s="55">
        <f t="shared" si="284"/>
        <v>748178.65000000014</v>
      </c>
      <c r="AH337" s="60" t="s">
        <v>607</v>
      </c>
      <c r="AI337" s="61" t="s">
        <v>181</v>
      </c>
      <c r="AJ337" s="198">
        <f>67020+7797+44875.55+3783.2+14368.2-5518.28+131016.07+9271.15+23657.27+68796.53-9838.26</f>
        <v>355228.43000000005</v>
      </c>
      <c r="AK337" s="198">
        <f>8557.98+2208.4+1253.17+10049.33+13883.73+1768.06+17631.4+10427.12</f>
        <v>65779.19</v>
      </c>
    </row>
    <row r="338" spans="1:37" ht="195" x14ac:dyDescent="0.25">
      <c r="A338" s="345" t="s">
        <v>2082</v>
      </c>
      <c r="B338" s="271">
        <v>112698</v>
      </c>
      <c r="C338" s="424">
        <v>231</v>
      </c>
      <c r="D338" s="271" t="s">
        <v>166</v>
      </c>
      <c r="E338" s="260" t="s">
        <v>161</v>
      </c>
      <c r="F338" s="419" t="s">
        <v>345</v>
      </c>
      <c r="G338" s="112" t="s">
        <v>746</v>
      </c>
      <c r="H338" s="37" t="s">
        <v>747</v>
      </c>
      <c r="I338" s="260" t="s">
        <v>748</v>
      </c>
      <c r="J338" s="113" t="s">
        <v>749</v>
      </c>
      <c r="K338" s="148">
        <v>43273</v>
      </c>
      <c r="L338" s="15">
        <v>43730</v>
      </c>
      <c r="M338" s="5">
        <f t="shared" si="267"/>
        <v>82.525665803949437</v>
      </c>
      <c r="N338" s="2" t="s">
        <v>347</v>
      </c>
      <c r="O338" s="2" t="s">
        <v>335</v>
      </c>
      <c r="P338" s="2" t="s">
        <v>335</v>
      </c>
      <c r="Q338" s="41" t="s">
        <v>349</v>
      </c>
      <c r="R338" s="2" t="s">
        <v>36</v>
      </c>
      <c r="S338" s="55">
        <f t="shared" si="279"/>
        <v>814877.24</v>
      </c>
      <c r="T338" s="234">
        <v>657127.51</v>
      </c>
      <c r="U338" s="234">
        <v>157749.73000000001</v>
      </c>
      <c r="V338" s="55">
        <f t="shared" si="280"/>
        <v>134548.1</v>
      </c>
      <c r="W338" s="234">
        <v>100402.7</v>
      </c>
      <c r="X338" s="234">
        <v>34145.4</v>
      </c>
      <c r="Y338" s="55">
        <f t="shared" si="285"/>
        <v>20853.009999999998</v>
      </c>
      <c r="Z338" s="234">
        <v>15560.97</v>
      </c>
      <c r="AA338" s="234">
        <v>5292.04</v>
      </c>
      <c r="AB338" s="55">
        <f t="shared" si="286"/>
        <v>17144.45</v>
      </c>
      <c r="AC338" s="234">
        <v>13660.23</v>
      </c>
      <c r="AD338" s="234">
        <v>3484.22</v>
      </c>
      <c r="AE338" s="63">
        <f t="shared" si="283"/>
        <v>987422.79999999993</v>
      </c>
      <c r="AF338" s="55"/>
      <c r="AG338" s="55">
        <f t="shared" si="284"/>
        <v>987422.79999999993</v>
      </c>
      <c r="AH338" s="60" t="s">
        <v>607</v>
      </c>
      <c r="AI338" s="61" t="s">
        <v>1515</v>
      </c>
      <c r="AJ338" s="198">
        <f>85822.98+78186.5</f>
        <v>164009.47999999998</v>
      </c>
      <c r="AK338" s="198">
        <v>14910.56</v>
      </c>
    </row>
    <row r="339" spans="1:37" ht="409.5" x14ac:dyDescent="0.25">
      <c r="A339" s="345" t="s">
        <v>2083</v>
      </c>
      <c r="B339" s="271">
        <v>112427</v>
      </c>
      <c r="C339" s="424">
        <v>367</v>
      </c>
      <c r="D339" s="271" t="s">
        <v>1334</v>
      </c>
      <c r="E339" s="260" t="s">
        <v>161</v>
      </c>
      <c r="F339" s="419" t="s">
        <v>345</v>
      </c>
      <c r="G339" s="112" t="s">
        <v>753</v>
      </c>
      <c r="H339" s="37" t="s">
        <v>754</v>
      </c>
      <c r="I339" s="260" t="s">
        <v>756</v>
      </c>
      <c r="J339" s="108" t="s">
        <v>755</v>
      </c>
      <c r="K339" s="148">
        <v>43290</v>
      </c>
      <c r="L339" s="15">
        <v>43778</v>
      </c>
      <c r="M339" s="5">
        <f t="shared" si="267"/>
        <v>82.304189883139372</v>
      </c>
      <c r="N339" s="2" t="s">
        <v>347</v>
      </c>
      <c r="O339" s="2" t="s">
        <v>335</v>
      </c>
      <c r="P339" s="2" t="s">
        <v>335</v>
      </c>
      <c r="Q339" s="41" t="s">
        <v>349</v>
      </c>
      <c r="R339" s="2" t="s">
        <v>36</v>
      </c>
      <c r="S339" s="55">
        <f t="shared" si="279"/>
        <v>785233.14</v>
      </c>
      <c r="T339" s="234">
        <v>633222.11</v>
      </c>
      <c r="U339" s="234">
        <v>152011.03</v>
      </c>
      <c r="V339" s="55">
        <f t="shared" si="280"/>
        <v>149747.75</v>
      </c>
      <c r="W339" s="234">
        <v>111745.03</v>
      </c>
      <c r="X339" s="234">
        <v>38002.720000000001</v>
      </c>
      <c r="Y339" s="55">
        <f t="shared" si="285"/>
        <v>0</v>
      </c>
      <c r="Z339" s="234">
        <v>0</v>
      </c>
      <c r="AA339" s="234">
        <v>0</v>
      </c>
      <c r="AB339" s="55">
        <f t="shared" si="286"/>
        <v>19081.28</v>
      </c>
      <c r="AC339" s="234">
        <v>15203.43</v>
      </c>
      <c r="AD339" s="234">
        <v>3877.85</v>
      </c>
      <c r="AE339" s="63">
        <f t="shared" si="283"/>
        <v>954062.17</v>
      </c>
      <c r="AF339" s="55">
        <v>0</v>
      </c>
      <c r="AG339" s="55">
        <f t="shared" si="284"/>
        <v>954062.17</v>
      </c>
      <c r="AH339" s="60" t="s">
        <v>607</v>
      </c>
      <c r="AI339" s="61" t="s">
        <v>181</v>
      </c>
      <c r="AJ339" s="198">
        <f>57915.69+124630.09-868.64+54803.2+81029.88+4835.02</f>
        <v>322345.24</v>
      </c>
      <c r="AK339" s="198">
        <f>16617.93+10285.59+15452.81+18167.9</f>
        <v>60524.23</v>
      </c>
    </row>
    <row r="340" spans="1:37" ht="141.75" x14ac:dyDescent="0.25">
      <c r="A340" s="345" t="s">
        <v>2084</v>
      </c>
      <c r="B340" s="271">
        <v>112409</v>
      </c>
      <c r="C340" s="424">
        <v>150</v>
      </c>
      <c r="D340" s="271" t="s">
        <v>1334</v>
      </c>
      <c r="E340" s="260" t="s">
        <v>161</v>
      </c>
      <c r="F340" s="419" t="s">
        <v>345</v>
      </c>
      <c r="G340" s="112" t="s">
        <v>757</v>
      </c>
      <c r="H340" s="37" t="s">
        <v>758</v>
      </c>
      <c r="I340" s="260" t="s">
        <v>376</v>
      </c>
      <c r="J340" s="108" t="s">
        <v>759</v>
      </c>
      <c r="K340" s="148">
        <v>43291</v>
      </c>
      <c r="L340" s="15">
        <v>43778</v>
      </c>
      <c r="M340" s="5">
        <f t="shared" si="267"/>
        <v>82.304188969946821</v>
      </c>
      <c r="N340" s="2" t="s">
        <v>347</v>
      </c>
      <c r="O340" s="2" t="s">
        <v>451</v>
      </c>
      <c r="P340" s="2" t="s">
        <v>327</v>
      </c>
      <c r="Q340" s="41" t="s">
        <v>349</v>
      </c>
      <c r="R340" s="6" t="s">
        <v>36</v>
      </c>
      <c r="S340" s="55">
        <f t="shared" si="279"/>
        <v>780523.20000000007</v>
      </c>
      <c r="T340" s="234">
        <v>629423.91</v>
      </c>
      <c r="U340" s="234">
        <v>151099.29</v>
      </c>
      <c r="V340" s="55">
        <f t="shared" si="280"/>
        <v>148849.57</v>
      </c>
      <c r="W340" s="234">
        <v>111074.8</v>
      </c>
      <c r="X340" s="234">
        <v>37774.769999999997</v>
      </c>
      <c r="Y340" s="55">
        <f t="shared" si="285"/>
        <v>0</v>
      </c>
      <c r="Z340" s="234"/>
      <c r="AA340" s="234"/>
      <c r="AB340" s="55">
        <f t="shared" si="286"/>
        <v>18966.810000000001</v>
      </c>
      <c r="AC340" s="234">
        <v>15112.25</v>
      </c>
      <c r="AD340" s="234">
        <v>3854.56</v>
      </c>
      <c r="AE340" s="63">
        <f t="shared" si="283"/>
        <v>948339.58000000007</v>
      </c>
      <c r="AF340" s="55">
        <v>0</v>
      </c>
      <c r="AG340" s="55">
        <f t="shared" si="284"/>
        <v>948339.58000000007</v>
      </c>
      <c r="AH340" s="60" t="s">
        <v>607</v>
      </c>
      <c r="AI340" s="61" t="s">
        <v>181</v>
      </c>
      <c r="AJ340" s="198">
        <f>94833+71891.83-13619.36+85035.24+67213.99+63619.47-14520.56</f>
        <v>354453.61000000004</v>
      </c>
      <c r="AK340" s="198">
        <f>13710.12+13619.36+12818.03+12132.54+14520.56</f>
        <v>66800.61</v>
      </c>
    </row>
    <row r="341" spans="1:37" ht="141.75" x14ac:dyDescent="0.25">
      <c r="A341" s="345" t="s">
        <v>2085</v>
      </c>
      <c r="B341" s="271">
        <v>112861</v>
      </c>
      <c r="C341" s="424">
        <v>324</v>
      </c>
      <c r="D341" s="271" t="s">
        <v>164</v>
      </c>
      <c r="E341" s="260" t="s">
        <v>161</v>
      </c>
      <c r="F341" s="419" t="s">
        <v>345</v>
      </c>
      <c r="G341" s="92" t="s">
        <v>760</v>
      </c>
      <c r="H341" s="37" t="s">
        <v>761</v>
      </c>
      <c r="I341" s="260" t="s">
        <v>376</v>
      </c>
      <c r="J341" s="3" t="s">
        <v>762</v>
      </c>
      <c r="K341" s="148">
        <v>43290</v>
      </c>
      <c r="L341" s="15">
        <v>43777</v>
      </c>
      <c r="M341" s="5">
        <f t="shared" si="267"/>
        <v>82.304190691615503</v>
      </c>
      <c r="N341" s="2" t="s">
        <v>347</v>
      </c>
      <c r="O341" s="2" t="s">
        <v>153</v>
      </c>
      <c r="P341" s="2" t="s">
        <v>153</v>
      </c>
      <c r="Q341" s="41"/>
      <c r="R341" s="6" t="s">
        <v>36</v>
      </c>
      <c r="S341" s="55">
        <f t="shared" si="279"/>
        <v>649951.84000000008</v>
      </c>
      <c r="T341" s="234">
        <v>524129.52</v>
      </c>
      <c r="U341" s="234">
        <v>125822.32</v>
      </c>
      <c r="V341" s="55">
        <f t="shared" si="280"/>
        <v>123949</v>
      </c>
      <c r="W341" s="234">
        <v>92493.43</v>
      </c>
      <c r="X341" s="234">
        <v>31455.57</v>
      </c>
      <c r="Y341" s="55">
        <f t="shared" si="285"/>
        <v>0</v>
      </c>
      <c r="Z341" s="234"/>
      <c r="AA341" s="234"/>
      <c r="AB341" s="55">
        <f>AC341+AD341</f>
        <v>15793.869999999999</v>
      </c>
      <c r="AC341" s="234">
        <v>12584.14</v>
      </c>
      <c r="AD341" s="234">
        <v>3209.73</v>
      </c>
      <c r="AE341" s="63">
        <f t="shared" si="283"/>
        <v>789694.71000000008</v>
      </c>
      <c r="AF341" s="55">
        <v>0</v>
      </c>
      <c r="AG341" s="55">
        <f t="shared" si="284"/>
        <v>789694.71000000008</v>
      </c>
      <c r="AH341" s="60" t="s">
        <v>607</v>
      </c>
      <c r="AI341" s="61" t="s">
        <v>1172</v>
      </c>
      <c r="AJ341" s="198">
        <f>78969.47+33506.04+30781.72+5848.53+60387.9+38197.37+82803.77</f>
        <v>330494.8</v>
      </c>
      <c r="AK341" s="198">
        <f>6389.76+5870.23+1115.34+11516.25+7284.43+15791.09</f>
        <v>47967.100000000006</v>
      </c>
    </row>
    <row r="342" spans="1:37" ht="220.5" x14ac:dyDescent="0.25">
      <c r="A342" s="345" t="s">
        <v>2086</v>
      </c>
      <c r="B342" s="271">
        <v>110709</v>
      </c>
      <c r="C342" s="424">
        <v>313</v>
      </c>
      <c r="D342" s="271" t="s">
        <v>164</v>
      </c>
      <c r="E342" s="260" t="s">
        <v>161</v>
      </c>
      <c r="F342" s="419" t="s">
        <v>345</v>
      </c>
      <c r="G342" s="92" t="s">
        <v>763</v>
      </c>
      <c r="H342" s="37" t="s">
        <v>764</v>
      </c>
      <c r="I342" s="260" t="s">
        <v>376</v>
      </c>
      <c r="J342" s="3" t="s">
        <v>765</v>
      </c>
      <c r="K342" s="148">
        <v>43291</v>
      </c>
      <c r="L342" s="15">
        <v>43779</v>
      </c>
      <c r="M342" s="5">
        <f t="shared" si="267"/>
        <v>82.304183081659716</v>
      </c>
      <c r="N342" s="2" t="s">
        <v>347</v>
      </c>
      <c r="O342" s="2" t="s">
        <v>153</v>
      </c>
      <c r="P342" s="2" t="s">
        <v>153</v>
      </c>
      <c r="Q342" s="41"/>
      <c r="R342" s="6" t="s">
        <v>36</v>
      </c>
      <c r="S342" s="55">
        <f t="shared" si="279"/>
        <v>821857.62999999989</v>
      </c>
      <c r="T342" s="234">
        <v>662756.56999999995</v>
      </c>
      <c r="U342" s="234">
        <v>159101.06</v>
      </c>
      <c r="V342" s="55">
        <f t="shared" si="280"/>
        <v>156732.34</v>
      </c>
      <c r="W342" s="234">
        <v>116957.1</v>
      </c>
      <c r="X342" s="234">
        <v>39775.24</v>
      </c>
      <c r="Y342" s="55">
        <f t="shared" si="285"/>
        <v>0</v>
      </c>
      <c r="Z342" s="234"/>
      <c r="AA342" s="234"/>
      <c r="AB342" s="55">
        <f t="shared" si="286"/>
        <v>19971.22</v>
      </c>
      <c r="AC342" s="234">
        <v>15912.5</v>
      </c>
      <c r="AD342" s="234">
        <v>4058.72</v>
      </c>
      <c r="AE342" s="63">
        <f t="shared" si="283"/>
        <v>998561.18999999983</v>
      </c>
      <c r="AF342" s="55">
        <v>576</v>
      </c>
      <c r="AG342" s="55">
        <f>AE342+AF342</f>
        <v>999137.18999999983</v>
      </c>
      <c r="AH342" s="60" t="s">
        <v>607</v>
      </c>
      <c r="AI342" s="61" t="s">
        <v>181</v>
      </c>
      <c r="AJ342" s="198">
        <f>99856.11-15338.74+81959.76+84034.35-9577.08+99856+36120.17</f>
        <v>376910.57</v>
      </c>
      <c r="AK342" s="198">
        <f>15338.74+13810.74+2195.85+14602.08+25931.33</f>
        <v>71878.739999999991</v>
      </c>
    </row>
    <row r="343" spans="1:37" ht="409.5" x14ac:dyDescent="0.25">
      <c r="A343" s="345" t="s">
        <v>2087</v>
      </c>
      <c r="B343" s="271">
        <v>113039</v>
      </c>
      <c r="C343" s="424">
        <v>200</v>
      </c>
      <c r="D343" s="271" t="s">
        <v>168</v>
      </c>
      <c r="E343" s="260" t="s">
        <v>161</v>
      </c>
      <c r="F343" s="419" t="s">
        <v>345</v>
      </c>
      <c r="G343" s="114" t="s">
        <v>772</v>
      </c>
      <c r="H343" s="115" t="s">
        <v>773</v>
      </c>
      <c r="I343" s="260" t="s">
        <v>376</v>
      </c>
      <c r="J343" s="108" t="s">
        <v>774</v>
      </c>
      <c r="K343" s="148">
        <v>43291</v>
      </c>
      <c r="L343" s="15">
        <v>43779</v>
      </c>
      <c r="M343" s="5">
        <f t="shared" si="267"/>
        <v>82.30418382046426</v>
      </c>
      <c r="N343" s="2" t="s">
        <v>347</v>
      </c>
      <c r="O343" s="2" t="s">
        <v>298</v>
      </c>
      <c r="P343" s="2" t="s">
        <v>775</v>
      </c>
      <c r="Q343" s="41" t="s">
        <v>349</v>
      </c>
      <c r="R343" s="2" t="s">
        <v>36</v>
      </c>
      <c r="S343" s="55">
        <f t="shared" si="279"/>
        <v>812437.94000000006</v>
      </c>
      <c r="T343" s="234">
        <v>655160.41</v>
      </c>
      <c r="U343" s="234">
        <v>157277.53</v>
      </c>
      <c r="V343" s="55">
        <f t="shared" si="280"/>
        <v>154935.91999999998</v>
      </c>
      <c r="W343" s="234">
        <v>115616.54</v>
      </c>
      <c r="X343" s="234">
        <v>39319.379999999997</v>
      </c>
      <c r="Y343" s="55">
        <f t="shared" si="285"/>
        <v>0</v>
      </c>
      <c r="Z343" s="234">
        <v>0</v>
      </c>
      <c r="AA343" s="234">
        <v>0</v>
      </c>
      <c r="AB343" s="55">
        <f t="shared" si="286"/>
        <v>19742.349999999999</v>
      </c>
      <c r="AC343" s="234">
        <v>15730.16</v>
      </c>
      <c r="AD343" s="234">
        <v>4012.19</v>
      </c>
      <c r="AE343" s="63">
        <f t="shared" si="283"/>
        <v>987116.21000000008</v>
      </c>
      <c r="AF343" s="55">
        <v>0</v>
      </c>
      <c r="AG343" s="55">
        <f t="shared" si="284"/>
        <v>987116.21000000008</v>
      </c>
      <c r="AH343" s="60" t="s">
        <v>607</v>
      </c>
      <c r="AI343" s="61" t="s">
        <v>181</v>
      </c>
      <c r="AJ343" s="198">
        <f>98711.62+82894.54-376.83+73798.02+80976.74</f>
        <v>336004.08999999997</v>
      </c>
      <c r="AK343" s="198">
        <f>15808.4+376.83+15333.49+13734.08</f>
        <v>45252.800000000003</v>
      </c>
    </row>
    <row r="344" spans="1:37" ht="157.5" x14ac:dyDescent="0.25">
      <c r="A344" s="345" t="s">
        <v>2088</v>
      </c>
      <c r="B344" s="271">
        <v>113125</v>
      </c>
      <c r="C344" s="424">
        <v>230</v>
      </c>
      <c r="D344" s="271" t="s">
        <v>166</v>
      </c>
      <c r="E344" s="260" t="s">
        <v>161</v>
      </c>
      <c r="F344" s="419" t="s">
        <v>345</v>
      </c>
      <c r="G344" s="92" t="s">
        <v>782</v>
      </c>
      <c r="H344" s="37" t="s">
        <v>783</v>
      </c>
      <c r="I344" s="260" t="s">
        <v>376</v>
      </c>
      <c r="J344" s="2" t="s">
        <v>784</v>
      </c>
      <c r="K344" s="148">
        <v>43291</v>
      </c>
      <c r="L344" s="15">
        <v>43718</v>
      </c>
      <c r="M344" s="5">
        <f t="shared" si="267"/>
        <v>82.304188716846156</v>
      </c>
      <c r="N344" s="2" t="s">
        <v>347</v>
      </c>
      <c r="O344" s="2" t="s">
        <v>335</v>
      </c>
      <c r="P344" s="2" t="s">
        <v>335</v>
      </c>
      <c r="Q344" s="41" t="s">
        <v>349</v>
      </c>
      <c r="R344" s="2" t="s">
        <v>36</v>
      </c>
      <c r="S344" s="55">
        <f t="shared" si="279"/>
        <v>736342.77</v>
      </c>
      <c r="T344" s="234">
        <v>593796.28</v>
      </c>
      <c r="U344" s="234">
        <v>142546.49</v>
      </c>
      <c r="V344" s="55">
        <f t="shared" si="280"/>
        <v>140424.16999999998</v>
      </c>
      <c r="W344" s="234">
        <v>104787.58</v>
      </c>
      <c r="X344" s="234">
        <v>35636.589999999997</v>
      </c>
      <c r="Y344" s="55">
        <f t="shared" si="285"/>
        <v>0</v>
      </c>
      <c r="Z344" s="234"/>
      <c r="AA344" s="234"/>
      <c r="AB344" s="55">
        <f t="shared" si="286"/>
        <v>17893.2</v>
      </c>
      <c r="AC344" s="234">
        <v>14256.8</v>
      </c>
      <c r="AD344" s="234">
        <v>3636.4</v>
      </c>
      <c r="AE344" s="63">
        <f t="shared" si="283"/>
        <v>894660.1399999999</v>
      </c>
      <c r="AF344" s="55">
        <v>0</v>
      </c>
      <c r="AG344" s="55">
        <f t="shared" si="284"/>
        <v>894660.1399999999</v>
      </c>
      <c r="AH344" s="60" t="s">
        <v>607</v>
      </c>
      <c r="AI344" s="61" t="s">
        <v>444</v>
      </c>
      <c r="AJ344" s="198">
        <f>89466-9346.06+57163.11+27481.97+21414.56+60627.26+197907.25</f>
        <v>444714.08999999997</v>
      </c>
      <c r="AK344" s="198">
        <f>9346.06+20716.82+4083.85+11561.85+22038.89</f>
        <v>67747.47</v>
      </c>
    </row>
    <row r="345" spans="1:37" ht="299.25" x14ac:dyDescent="0.25">
      <c r="A345" s="345" t="s">
        <v>2089</v>
      </c>
      <c r="B345" s="271">
        <v>112435</v>
      </c>
      <c r="C345" s="424">
        <v>323</v>
      </c>
      <c r="D345" s="271" t="s">
        <v>164</v>
      </c>
      <c r="E345" s="260" t="s">
        <v>161</v>
      </c>
      <c r="F345" s="419" t="s">
        <v>345</v>
      </c>
      <c r="G345" s="92" t="s">
        <v>785</v>
      </c>
      <c r="H345" s="37" t="s">
        <v>786</v>
      </c>
      <c r="I345" s="260" t="s">
        <v>787</v>
      </c>
      <c r="J345" s="108" t="s">
        <v>788</v>
      </c>
      <c r="K345" s="148">
        <v>43292</v>
      </c>
      <c r="L345" s="15">
        <v>43779</v>
      </c>
      <c r="M345" s="5">
        <f t="shared" si="267"/>
        <v>82.304182891954625</v>
      </c>
      <c r="N345" s="2" t="s">
        <v>347</v>
      </c>
      <c r="O345" s="2" t="s">
        <v>357</v>
      </c>
      <c r="P345" s="2" t="s">
        <v>357</v>
      </c>
      <c r="Q345" s="41" t="s">
        <v>349</v>
      </c>
      <c r="R345" s="2" t="s">
        <v>36</v>
      </c>
      <c r="S345" s="55">
        <f t="shared" si="279"/>
        <v>815316.89</v>
      </c>
      <c r="T345" s="234">
        <v>657481.98</v>
      </c>
      <c r="U345" s="234">
        <v>157834.91</v>
      </c>
      <c r="V345" s="55">
        <f t="shared" si="280"/>
        <v>155484.97999999998</v>
      </c>
      <c r="W345" s="234">
        <v>116026.31</v>
      </c>
      <c r="X345" s="234">
        <v>39458.67</v>
      </c>
      <c r="Y345" s="55">
        <f t="shared" si="285"/>
        <v>0</v>
      </c>
      <c r="Z345" s="234"/>
      <c r="AA345" s="234"/>
      <c r="AB345" s="55">
        <f t="shared" si="286"/>
        <v>19812.29</v>
      </c>
      <c r="AC345" s="234">
        <v>15785.9</v>
      </c>
      <c r="AD345" s="234">
        <v>4026.39</v>
      </c>
      <c r="AE345" s="63">
        <f t="shared" si="283"/>
        <v>990614.16</v>
      </c>
      <c r="AF345" s="55"/>
      <c r="AG345" s="55">
        <f t="shared" si="284"/>
        <v>990614.16</v>
      </c>
      <c r="AH345" s="60" t="s">
        <v>607</v>
      </c>
      <c r="AI345" s="61" t="s">
        <v>1543</v>
      </c>
      <c r="AJ345" s="198">
        <f>181405.8+121986.95+126239.9+103787.17+109139</f>
        <v>642558.82000000007</v>
      </c>
      <c r="AK345" s="198">
        <f>15703.63+42154.87+5183.15+19792.72+39704.75</f>
        <v>122539.12</v>
      </c>
    </row>
    <row r="346" spans="1:37" ht="173.25" x14ac:dyDescent="0.25">
      <c r="A346" s="345" t="s">
        <v>2090</v>
      </c>
      <c r="B346" s="271">
        <v>110839</v>
      </c>
      <c r="C346" s="424">
        <v>306</v>
      </c>
      <c r="D346" s="271" t="s">
        <v>164</v>
      </c>
      <c r="E346" s="260" t="s">
        <v>161</v>
      </c>
      <c r="F346" s="419" t="s">
        <v>345</v>
      </c>
      <c r="G346" s="92" t="s">
        <v>789</v>
      </c>
      <c r="H346" s="37" t="s">
        <v>790</v>
      </c>
      <c r="I346" s="260" t="s">
        <v>792</v>
      </c>
      <c r="J346" s="11" t="s">
        <v>791</v>
      </c>
      <c r="K346" s="148">
        <v>43292</v>
      </c>
      <c r="L346" s="15">
        <v>43780</v>
      </c>
      <c r="M346" s="5">
        <f t="shared" si="267"/>
        <v>82.304186604752402</v>
      </c>
      <c r="N346" s="2" t="s">
        <v>347</v>
      </c>
      <c r="O346" s="2" t="s">
        <v>793</v>
      </c>
      <c r="P346" s="2" t="s">
        <v>793</v>
      </c>
      <c r="Q346" s="41" t="s">
        <v>349</v>
      </c>
      <c r="R346" s="2" t="s">
        <v>36</v>
      </c>
      <c r="S346" s="55">
        <f t="shared" si="279"/>
        <v>800537.35</v>
      </c>
      <c r="T346" s="234">
        <v>645563.62</v>
      </c>
      <c r="U346" s="234">
        <v>154973.73000000001</v>
      </c>
      <c r="V346" s="55">
        <f t="shared" si="280"/>
        <v>152666.38</v>
      </c>
      <c r="W346" s="234">
        <v>113922.98</v>
      </c>
      <c r="X346" s="234">
        <v>38743.4</v>
      </c>
      <c r="Y346" s="55">
        <f t="shared" si="285"/>
        <v>0</v>
      </c>
      <c r="Z346" s="234"/>
      <c r="AA346" s="234"/>
      <c r="AB346" s="55">
        <f t="shared" si="286"/>
        <v>19453.169999999998</v>
      </c>
      <c r="AC346" s="234">
        <v>15499.74</v>
      </c>
      <c r="AD346" s="234">
        <v>3953.43</v>
      </c>
      <c r="AE346" s="63">
        <f t="shared" si="283"/>
        <v>972656.9</v>
      </c>
      <c r="AF346" s="55"/>
      <c r="AG346" s="55">
        <f t="shared" si="284"/>
        <v>972656.9</v>
      </c>
      <c r="AH346" s="60" t="s">
        <v>607</v>
      </c>
      <c r="AI346" s="61" t="s">
        <v>1574</v>
      </c>
      <c r="AJ346" s="198">
        <f>97265.68-4932.42-9631.06+90930.16+45566.01+97265.68-11065.48+75109.16</f>
        <v>380507.73</v>
      </c>
      <c r="AK346" s="198">
        <f>4932.42+9631.06+27238.7+12213.44</f>
        <v>54015.62</v>
      </c>
    </row>
    <row r="347" spans="1:37" ht="141.75" x14ac:dyDescent="0.25">
      <c r="A347" s="345" t="s">
        <v>2091</v>
      </c>
      <c r="B347" s="271">
        <v>115895</v>
      </c>
      <c r="C347" s="424">
        <v>389</v>
      </c>
      <c r="D347" s="271" t="s">
        <v>167</v>
      </c>
      <c r="E347" s="442" t="s">
        <v>161</v>
      </c>
      <c r="F347" s="443" t="s">
        <v>468</v>
      </c>
      <c r="G347" s="92" t="s">
        <v>798</v>
      </c>
      <c r="H347" s="37" t="s">
        <v>799</v>
      </c>
      <c r="I347" s="260" t="s">
        <v>800</v>
      </c>
      <c r="J347" s="108" t="s">
        <v>801</v>
      </c>
      <c r="K347" s="148">
        <v>43293</v>
      </c>
      <c r="L347" s="15">
        <v>44085</v>
      </c>
      <c r="M347" s="5">
        <f t="shared" si="267"/>
        <v>83.983862876254179</v>
      </c>
      <c r="N347" s="2" t="s">
        <v>347</v>
      </c>
      <c r="O347" s="2" t="s">
        <v>335</v>
      </c>
      <c r="P347" s="2" t="s">
        <v>335</v>
      </c>
      <c r="Q347" s="41" t="s">
        <v>154</v>
      </c>
      <c r="R347" s="2" t="s">
        <v>36</v>
      </c>
      <c r="S347" s="55">
        <f t="shared" si="279"/>
        <v>2511117.5</v>
      </c>
      <c r="T347" s="234">
        <v>2024997.5</v>
      </c>
      <c r="U347" s="234">
        <v>486120</v>
      </c>
      <c r="V347" s="55">
        <f t="shared" si="280"/>
        <v>0</v>
      </c>
      <c r="W347" s="234"/>
      <c r="X347" s="234"/>
      <c r="Y347" s="55">
        <f t="shared" si="285"/>
        <v>478882.5</v>
      </c>
      <c r="Z347" s="234">
        <v>357352.51</v>
      </c>
      <c r="AA347" s="234">
        <v>121529.99</v>
      </c>
      <c r="AB347" s="55">
        <f t="shared" si="286"/>
        <v>0</v>
      </c>
      <c r="AC347" s="234"/>
      <c r="AD347" s="234"/>
      <c r="AE347" s="63">
        <f t="shared" si="283"/>
        <v>2990000</v>
      </c>
      <c r="AF347" s="55">
        <v>0</v>
      </c>
      <c r="AG347" s="55">
        <f t="shared" si="284"/>
        <v>2990000</v>
      </c>
      <c r="AH347" s="60" t="s">
        <v>607</v>
      </c>
      <c r="AI347" s="61" t="s">
        <v>444</v>
      </c>
      <c r="AJ347" s="62">
        <f>22377.18+70503.9</f>
        <v>92881.079999999987</v>
      </c>
      <c r="AK347" s="62">
        <v>0</v>
      </c>
    </row>
    <row r="348" spans="1:37" ht="315" x14ac:dyDescent="0.25">
      <c r="A348" s="345" t="s">
        <v>2092</v>
      </c>
      <c r="B348" s="271">
        <v>111830</v>
      </c>
      <c r="C348" s="424">
        <v>377</v>
      </c>
      <c r="D348" s="271" t="s">
        <v>164</v>
      </c>
      <c r="E348" s="260" t="s">
        <v>1103</v>
      </c>
      <c r="F348" s="443" t="s">
        <v>657</v>
      </c>
      <c r="G348" s="92" t="s">
        <v>802</v>
      </c>
      <c r="H348" s="37" t="s">
        <v>803</v>
      </c>
      <c r="I348" s="260" t="s">
        <v>804</v>
      </c>
      <c r="J348" s="108" t="s">
        <v>805</v>
      </c>
      <c r="K348" s="148">
        <v>43297</v>
      </c>
      <c r="L348" s="15">
        <v>43785</v>
      </c>
      <c r="M348" s="5">
        <f t="shared" ref="M348:M411" si="287">S348/AE348*100</f>
        <v>83.143853391521404</v>
      </c>
      <c r="N348" s="2" t="s">
        <v>347</v>
      </c>
      <c r="O348" s="2" t="s">
        <v>335</v>
      </c>
      <c r="P348" s="2" t="s">
        <v>335</v>
      </c>
      <c r="Q348" s="41" t="s">
        <v>154</v>
      </c>
      <c r="R348" s="2" t="s">
        <v>36</v>
      </c>
      <c r="S348" s="55">
        <f t="shared" si="279"/>
        <v>5525318.4000000004</v>
      </c>
      <c r="T348" s="234">
        <v>4455687.92</v>
      </c>
      <c r="U348" s="234">
        <v>1069630.48</v>
      </c>
      <c r="V348" s="55">
        <f t="shared" si="280"/>
        <v>987264.15</v>
      </c>
      <c r="W348" s="234">
        <v>733359.16</v>
      </c>
      <c r="X348" s="234">
        <v>253904.99</v>
      </c>
      <c r="Y348" s="55">
        <f t="shared" si="285"/>
        <v>0</v>
      </c>
      <c r="Z348" s="234">
        <v>0</v>
      </c>
      <c r="AA348" s="234">
        <v>0</v>
      </c>
      <c r="AB348" s="55">
        <f t="shared" si="286"/>
        <v>132909.78</v>
      </c>
      <c r="AC348" s="234">
        <v>105898.92</v>
      </c>
      <c r="AD348" s="234">
        <v>27010.86</v>
      </c>
      <c r="AE348" s="63">
        <f t="shared" si="283"/>
        <v>6645492.330000001</v>
      </c>
      <c r="AF348" s="55">
        <v>0</v>
      </c>
      <c r="AG348" s="55">
        <f t="shared" si="284"/>
        <v>6645492.330000001</v>
      </c>
      <c r="AH348" s="60" t="s">
        <v>607</v>
      </c>
      <c r="AI348" s="61"/>
      <c r="AJ348" s="62">
        <f>548484.27-41743+295621.66+234985.63-55420.85+55420.85-13710.7+526395.38+34736.49+361108.85+62998.07+678739.15</f>
        <v>2687615.8000000003</v>
      </c>
      <c r="AK348" s="62">
        <f>41743.03+36457.11+62913.45+29950.16+6624.41+62702.66+48619.05+125247.03</f>
        <v>414256.9</v>
      </c>
    </row>
    <row r="349" spans="1:37" ht="252" x14ac:dyDescent="0.25">
      <c r="A349" s="345" t="s">
        <v>2093</v>
      </c>
      <c r="B349" s="271">
        <v>115784</v>
      </c>
      <c r="C349" s="424">
        <v>388</v>
      </c>
      <c r="D349" s="271" t="s">
        <v>166</v>
      </c>
      <c r="E349" s="442" t="s">
        <v>161</v>
      </c>
      <c r="F349" s="443" t="s">
        <v>468</v>
      </c>
      <c r="G349" s="92" t="s">
        <v>806</v>
      </c>
      <c r="H349" s="37" t="s">
        <v>51</v>
      </c>
      <c r="I349" s="260" t="s">
        <v>372</v>
      </c>
      <c r="J349" s="108" t="s">
        <v>807</v>
      </c>
      <c r="K349" s="148">
        <v>43297</v>
      </c>
      <c r="L349" s="15">
        <v>44090</v>
      </c>
      <c r="M349" s="5">
        <f t="shared" si="287"/>
        <v>83.98386251542432</v>
      </c>
      <c r="N349" s="2" t="s">
        <v>347</v>
      </c>
      <c r="O349" s="2" t="s">
        <v>335</v>
      </c>
      <c r="P349" s="2" t="s">
        <v>335</v>
      </c>
      <c r="Q349" s="41" t="s">
        <v>154</v>
      </c>
      <c r="R349" s="2" t="s">
        <v>36</v>
      </c>
      <c r="S349" s="55">
        <f t="shared" ref="S349" si="288">T349+U349</f>
        <v>2474673.0699999998</v>
      </c>
      <c r="T349" s="234">
        <v>1995608.24</v>
      </c>
      <c r="U349" s="234">
        <v>479064.83</v>
      </c>
      <c r="V349" s="55">
        <f t="shared" ref="V349" si="289">W349+X349</f>
        <v>0</v>
      </c>
      <c r="W349" s="234"/>
      <c r="X349" s="234"/>
      <c r="Y349" s="55">
        <f t="shared" ref="Y349" si="290">Z349+AA349</f>
        <v>471932.38</v>
      </c>
      <c r="Z349" s="234">
        <v>352166.15</v>
      </c>
      <c r="AA349" s="234">
        <v>119766.23</v>
      </c>
      <c r="AB349" s="55">
        <f t="shared" ref="AB349" si="291">AC349+AD349</f>
        <v>0</v>
      </c>
      <c r="AC349" s="234"/>
      <c r="AD349" s="234"/>
      <c r="AE349" s="63">
        <f t="shared" ref="AE349" si="292">S349+V349+Y349+AB349</f>
        <v>2946605.4499999997</v>
      </c>
      <c r="AF349" s="55">
        <v>0</v>
      </c>
      <c r="AG349" s="55">
        <f t="shared" ref="AG349" si="293">AE349+AF349</f>
        <v>2946605.4499999997</v>
      </c>
      <c r="AH349" s="60" t="s">
        <v>607</v>
      </c>
      <c r="AI349" s="61" t="s">
        <v>444</v>
      </c>
      <c r="AJ349" s="62">
        <f>16075.53+34286.38+114041.85</f>
        <v>164403.76</v>
      </c>
      <c r="AK349" s="62">
        <v>0</v>
      </c>
    </row>
    <row r="350" spans="1:37" ht="141.75" x14ac:dyDescent="0.25">
      <c r="A350" s="345" t="s">
        <v>2094</v>
      </c>
      <c r="B350" s="271">
        <v>109927</v>
      </c>
      <c r="C350" s="424">
        <v>334</v>
      </c>
      <c r="D350" s="271" t="s">
        <v>166</v>
      </c>
      <c r="E350" s="260" t="s">
        <v>161</v>
      </c>
      <c r="F350" s="419" t="s">
        <v>345</v>
      </c>
      <c r="G350" s="92" t="s">
        <v>808</v>
      </c>
      <c r="H350" s="37" t="s">
        <v>809</v>
      </c>
      <c r="I350" s="260" t="s">
        <v>372</v>
      </c>
      <c r="J350" s="108" t="s">
        <v>810</v>
      </c>
      <c r="K350" s="148">
        <v>43297</v>
      </c>
      <c r="L350" s="15">
        <v>43785</v>
      </c>
      <c r="M350" s="5">
        <f t="shared" si="287"/>
        <v>82.304185890830638</v>
      </c>
      <c r="N350" s="2" t="s">
        <v>347</v>
      </c>
      <c r="O350" s="2" t="s">
        <v>335</v>
      </c>
      <c r="P350" s="2" t="s">
        <v>335</v>
      </c>
      <c r="Q350" s="41" t="s">
        <v>154</v>
      </c>
      <c r="R350" s="2" t="s">
        <v>36</v>
      </c>
      <c r="S350" s="55">
        <f t="shared" si="279"/>
        <v>793991.64999999991</v>
      </c>
      <c r="T350" s="234">
        <v>640285.07999999996</v>
      </c>
      <c r="U350" s="234">
        <v>153706.57</v>
      </c>
      <c r="V350" s="55">
        <f t="shared" si="280"/>
        <v>151418.12</v>
      </c>
      <c r="W350" s="234">
        <v>112991.49</v>
      </c>
      <c r="X350" s="234">
        <v>38426.629999999997</v>
      </c>
      <c r="Y350" s="55">
        <f t="shared" si="285"/>
        <v>0</v>
      </c>
      <c r="Z350" s="234"/>
      <c r="AA350" s="234"/>
      <c r="AB350" s="55">
        <f t="shared" si="286"/>
        <v>19294.080000000002</v>
      </c>
      <c r="AC350" s="234">
        <v>15373</v>
      </c>
      <c r="AD350" s="234">
        <v>3921.08</v>
      </c>
      <c r="AE350" s="63">
        <f t="shared" si="283"/>
        <v>964703.84999999986</v>
      </c>
      <c r="AF350" s="55">
        <v>0</v>
      </c>
      <c r="AG350" s="55">
        <f t="shared" si="284"/>
        <v>964703.84999999986</v>
      </c>
      <c r="AH350" s="60" t="s">
        <v>607</v>
      </c>
      <c r="AI350" s="61" t="s">
        <v>444</v>
      </c>
      <c r="AJ350" s="198">
        <f>96470.38-14469.9+90345.75-11972.92+74755.32+70854.37</f>
        <v>305983</v>
      </c>
      <c r="AK350" s="198">
        <f>14469.9+11972.92+31909.61</f>
        <v>58352.43</v>
      </c>
    </row>
    <row r="351" spans="1:37" ht="141.75" x14ac:dyDescent="0.25">
      <c r="A351" s="345" t="s">
        <v>2095</v>
      </c>
      <c r="B351" s="271">
        <v>111446</v>
      </c>
      <c r="C351" s="424">
        <v>161</v>
      </c>
      <c r="D351" s="271" t="s">
        <v>1334</v>
      </c>
      <c r="E351" s="260" t="s">
        <v>161</v>
      </c>
      <c r="F351" s="419" t="s">
        <v>345</v>
      </c>
      <c r="G351" s="92" t="s">
        <v>811</v>
      </c>
      <c r="H351" s="37" t="s">
        <v>812</v>
      </c>
      <c r="I351" s="260" t="s">
        <v>372</v>
      </c>
      <c r="J351" s="108" t="s">
        <v>813</v>
      </c>
      <c r="K351" s="148">
        <v>43297</v>
      </c>
      <c r="L351" s="15">
        <v>43785</v>
      </c>
      <c r="M351" s="5">
        <f t="shared" si="287"/>
        <v>82.304180439174772</v>
      </c>
      <c r="N351" s="2" t="s">
        <v>347</v>
      </c>
      <c r="O351" s="2" t="s">
        <v>335</v>
      </c>
      <c r="P351" s="2" t="s">
        <v>335</v>
      </c>
      <c r="Q351" s="41" t="s">
        <v>349</v>
      </c>
      <c r="R351" s="2" t="s">
        <v>36</v>
      </c>
      <c r="S351" s="55">
        <f t="shared" si="279"/>
        <v>820476.63</v>
      </c>
      <c r="T351" s="234">
        <v>661642.92000000004</v>
      </c>
      <c r="U351" s="234">
        <v>158833.71</v>
      </c>
      <c r="V351" s="55">
        <f t="shared" si="280"/>
        <v>156469</v>
      </c>
      <c r="W351" s="234">
        <v>116760.53</v>
      </c>
      <c r="X351" s="234">
        <v>39708.47</v>
      </c>
      <c r="Y351" s="55">
        <f t="shared" si="285"/>
        <v>0</v>
      </c>
      <c r="Z351" s="234"/>
      <c r="AA351" s="234"/>
      <c r="AB351" s="55">
        <f t="shared" si="286"/>
        <v>19937.669999999998</v>
      </c>
      <c r="AC351" s="234">
        <v>15885.81</v>
      </c>
      <c r="AD351" s="234">
        <v>4051.86</v>
      </c>
      <c r="AE351" s="63">
        <f t="shared" si="283"/>
        <v>996883.3</v>
      </c>
      <c r="AF351" s="55"/>
      <c r="AG351" s="55">
        <f t="shared" si="284"/>
        <v>996883.3</v>
      </c>
      <c r="AH351" s="60" t="s">
        <v>607</v>
      </c>
      <c r="AI351" s="61" t="s">
        <v>372</v>
      </c>
      <c r="AJ351" s="198">
        <f>172463.58+91295.09-2619.6+99688.33+6676.64+99688.33</f>
        <v>467192.37</v>
      </c>
      <c r="AK351" s="198">
        <f>13878.6+17410.43+18511.49+20284.35</f>
        <v>70084.87</v>
      </c>
    </row>
    <row r="352" spans="1:37" ht="141.75" x14ac:dyDescent="0.25">
      <c r="A352" s="345" t="s">
        <v>2096</v>
      </c>
      <c r="B352" s="271">
        <v>111890</v>
      </c>
      <c r="C352" s="424">
        <v>249</v>
      </c>
      <c r="D352" s="271" t="s">
        <v>166</v>
      </c>
      <c r="E352" s="260" t="s">
        <v>161</v>
      </c>
      <c r="F352" s="419" t="s">
        <v>345</v>
      </c>
      <c r="G352" s="92" t="s">
        <v>834</v>
      </c>
      <c r="H352" s="37" t="s">
        <v>835</v>
      </c>
      <c r="I352" s="260" t="s">
        <v>836</v>
      </c>
      <c r="J352" s="28" t="s">
        <v>837</v>
      </c>
      <c r="K352" s="148">
        <v>43301</v>
      </c>
      <c r="L352" s="15">
        <v>43789</v>
      </c>
      <c r="M352" s="5">
        <f t="shared" si="287"/>
        <v>82.304184196855573</v>
      </c>
      <c r="N352" s="2" t="s">
        <v>347</v>
      </c>
      <c r="O352" s="2" t="s">
        <v>838</v>
      </c>
      <c r="P352" s="2" t="s">
        <v>838</v>
      </c>
      <c r="Q352" s="41" t="s">
        <v>349</v>
      </c>
      <c r="R352" s="2" t="s">
        <v>36</v>
      </c>
      <c r="S352" s="55">
        <f t="shared" si="279"/>
        <v>729395.17</v>
      </c>
      <c r="T352" s="234">
        <v>588193.66</v>
      </c>
      <c r="U352" s="234">
        <v>141201.51</v>
      </c>
      <c r="V352" s="55">
        <f t="shared" si="280"/>
        <v>139099.28</v>
      </c>
      <c r="W352" s="234">
        <v>103798.89</v>
      </c>
      <c r="X352" s="234">
        <v>35300.39</v>
      </c>
      <c r="Y352" s="55">
        <f>Z352+AA352</f>
        <v>0</v>
      </c>
      <c r="Z352" s="234"/>
      <c r="AA352" s="234"/>
      <c r="AB352" s="55">
        <f>AC352+AD352</f>
        <v>17724.370000000003</v>
      </c>
      <c r="AC352" s="234">
        <v>14122.29</v>
      </c>
      <c r="AD352" s="234">
        <v>3602.08</v>
      </c>
      <c r="AE352" s="63">
        <f t="shared" si="283"/>
        <v>886218.82000000007</v>
      </c>
      <c r="AF352" s="55">
        <v>0</v>
      </c>
      <c r="AG352" s="55">
        <f t="shared" si="284"/>
        <v>886218.82000000007</v>
      </c>
      <c r="AH352" s="60" t="s">
        <v>607</v>
      </c>
      <c r="AI352" s="61" t="s">
        <v>1750</v>
      </c>
      <c r="AJ352" s="198">
        <f>88658.73-1983.5-12014.52+85545.1-10611.49+136645.02+44108.11</f>
        <v>330347.44999999995</v>
      </c>
      <c r="AK352" s="198">
        <f>14022.63+14374.66+9282.27+24787.75</f>
        <v>62467.31</v>
      </c>
    </row>
    <row r="353" spans="1:37" ht="409.5" x14ac:dyDescent="0.25">
      <c r="A353" s="345" t="s">
        <v>2097</v>
      </c>
      <c r="B353" s="271">
        <v>116294</v>
      </c>
      <c r="C353" s="424">
        <v>395</v>
      </c>
      <c r="D353" s="271" t="s">
        <v>166</v>
      </c>
      <c r="E353" s="442" t="s">
        <v>161</v>
      </c>
      <c r="F353" s="419" t="s">
        <v>468</v>
      </c>
      <c r="G353" s="37" t="s">
        <v>859</v>
      </c>
      <c r="H353" s="37" t="s">
        <v>858</v>
      </c>
      <c r="I353" s="260" t="s">
        <v>861</v>
      </c>
      <c r="J353" s="108" t="s">
        <v>860</v>
      </c>
      <c r="K353" s="148">
        <v>43307</v>
      </c>
      <c r="L353" s="15">
        <v>44100</v>
      </c>
      <c r="M353" s="5">
        <f t="shared" si="287"/>
        <v>83.983862768208695</v>
      </c>
      <c r="N353" s="6" t="s">
        <v>347</v>
      </c>
      <c r="O353" s="6" t="s">
        <v>153</v>
      </c>
      <c r="P353" s="6" t="s">
        <v>153</v>
      </c>
      <c r="Q353" s="10" t="s">
        <v>154</v>
      </c>
      <c r="R353" s="2" t="s">
        <v>36</v>
      </c>
      <c r="S353" s="55">
        <f t="shared" si="279"/>
        <v>10337095.59</v>
      </c>
      <c r="T353" s="234">
        <v>8335966.9800000004</v>
      </c>
      <c r="U353" s="234">
        <v>2001128.61</v>
      </c>
      <c r="V353" s="55">
        <f t="shared" si="280"/>
        <v>861007.51</v>
      </c>
      <c r="W353" s="234">
        <v>636291.80000000005</v>
      </c>
      <c r="X353" s="234">
        <v>224715.71</v>
      </c>
      <c r="Y353" s="55">
        <f t="shared" si="285"/>
        <v>1110327.6499999999</v>
      </c>
      <c r="Z353" s="234">
        <v>834761.2</v>
      </c>
      <c r="AA353" s="234">
        <v>275566.45</v>
      </c>
      <c r="AB353" s="55">
        <f t="shared" si="286"/>
        <v>0</v>
      </c>
      <c r="AC353" s="234">
        <v>0</v>
      </c>
      <c r="AD353" s="234">
        <v>0</v>
      </c>
      <c r="AE353" s="63">
        <f t="shared" si="283"/>
        <v>12308430.75</v>
      </c>
      <c r="AF353" s="55"/>
      <c r="AG353" s="55">
        <f t="shared" si="284"/>
        <v>12308430.75</v>
      </c>
      <c r="AH353" s="60" t="s">
        <v>607</v>
      </c>
      <c r="AI353" s="61"/>
      <c r="AJ353" s="62">
        <f>310000+64383.69</f>
        <v>374383.69</v>
      </c>
      <c r="AK353" s="62">
        <v>10763.54</v>
      </c>
    </row>
    <row r="354" spans="1:37" ht="236.25" x14ac:dyDescent="0.25">
      <c r="A354" s="345" t="s">
        <v>2098</v>
      </c>
      <c r="B354" s="271">
        <v>113123</v>
      </c>
      <c r="C354" s="424">
        <v>217</v>
      </c>
      <c r="D354" s="271" t="s">
        <v>168</v>
      </c>
      <c r="E354" s="260" t="s">
        <v>161</v>
      </c>
      <c r="F354" s="419" t="s">
        <v>345</v>
      </c>
      <c r="G354" s="37" t="s">
        <v>868</v>
      </c>
      <c r="H354" s="37" t="s">
        <v>869</v>
      </c>
      <c r="I354" s="260" t="s">
        <v>444</v>
      </c>
      <c r="J354" s="108" t="s">
        <v>870</v>
      </c>
      <c r="K354" s="148">
        <v>43312</v>
      </c>
      <c r="L354" s="148">
        <v>43799</v>
      </c>
      <c r="M354" s="5">
        <f t="shared" si="287"/>
        <v>82.304190953691275</v>
      </c>
      <c r="N354" s="2" t="s">
        <v>347</v>
      </c>
      <c r="O354" s="6" t="s">
        <v>153</v>
      </c>
      <c r="P354" s="6" t="s">
        <v>153</v>
      </c>
      <c r="Q354" s="41" t="s">
        <v>349</v>
      </c>
      <c r="R354" s="2" t="s">
        <v>36</v>
      </c>
      <c r="S354" s="55">
        <f t="shared" si="279"/>
        <v>500543.25</v>
      </c>
      <c r="T354" s="234">
        <v>403644.51</v>
      </c>
      <c r="U354" s="234">
        <v>96898.74</v>
      </c>
      <c r="V354" s="55">
        <f t="shared" si="280"/>
        <v>95456.04</v>
      </c>
      <c r="W354" s="234">
        <v>71231.399999999994</v>
      </c>
      <c r="X354" s="234">
        <v>24224.639999999999</v>
      </c>
      <c r="Y354" s="55">
        <f t="shared" si="285"/>
        <v>0</v>
      </c>
      <c r="Z354" s="234">
        <v>0</v>
      </c>
      <c r="AA354" s="234">
        <v>0</v>
      </c>
      <c r="AB354" s="55">
        <f t="shared" si="286"/>
        <v>12163.24</v>
      </c>
      <c r="AC354" s="234">
        <v>9691.31</v>
      </c>
      <c r="AD354" s="234">
        <v>2471.9299999999998</v>
      </c>
      <c r="AE354" s="63">
        <f t="shared" si="283"/>
        <v>608162.53</v>
      </c>
      <c r="AF354" s="55"/>
      <c r="AG354" s="55">
        <f t="shared" si="284"/>
        <v>608162.53</v>
      </c>
      <c r="AH354" s="60" t="s">
        <v>607</v>
      </c>
      <c r="AI354" s="61" t="s">
        <v>1392</v>
      </c>
      <c r="AJ354" s="198">
        <f>61292.27-7748.65+48380.24+48897.57+0.12+53107.14+26070.63</f>
        <v>229999.32</v>
      </c>
      <c r="AK354" s="198">
        <f>7748.65+9425.87-0.12+10127.9+16559.69</f>
        <v>43861.990000000005</v>
      </c>
    </row>
    <row r="355" spans="1:37" ht="141.75" x14ac:dyDescent="0.25">
      <c r="A355" s="345" t="s">
        <v>2099</v>
      </c>
      <c r="B355" s="271">
        <v>112769</v>
      </c>
      <c r="C355" s="424">
        <v>154</v>
      </c>
      <c r="D355" s="271" t="s">
        <v>1334</v>
      </c>
      <c r="E355" s="260" t="s">
        <v>161</v>
      </c>
      <c r="F355" s="419" t="s">
        <v>345</v>
      </c>
      <c r="G355" s="37" t="s">
        <v>883</v>
      </c>
      <c r="H355" s="37" t="s">
        <v>884</v>
      </c>
      <c r="I355" s="260" t="s">
        <v>885</v>
      </c>
      <c r="J355" s="108" t="s">
        <v>886</v>
      </c>
      <c r="K355" s="148">
        <v>43312</v>
      </c>
      <c r="L355" s="15">
        <v>43738</v>
      </c>
      <c r="M355" s="5">
        <f t="shared" si="287"/>
        <v>82.304193908401487</v>
      </c>
      <c r="N355" s="2" t="s">
        <v>347</v>
      </c>
      <c r="O355" s="6" t="s">
        <v>153</v>
      </c>
      <c r="P355" s="6" t="s">
        <v>153</v>
      </c>
      <c r="Q355" s="41" t="s">
        <v>349</v>
      </c>
      <c r="R355" s="2" t="s">
        <v>36</v>
      </c>
      <c r="S355" s="55">
        <f t="shared" si="279"/>
        <v>810553.29</v>
      </c>
      <c r="T355" s="234">
        <v>653640.61</v>
      </c>
      <c r="U355" s="234">
        <v>156912.68</v>
      </c>
      <c r="V355" s="55">
        <f t="shared" si="280"/>
        <v>154576.41999999998</v>
      </c>
      <c r="W355" s="234">
        <v>115348.29</v>
      </c>
      <c r="X355" s="234">
        <v>39228.129999999997</v>
      </c>
      <c r="Y355" s="55">
        <f t="shared" si="285"/>
        <v>0</v>
      </c>
      <c r="Z355" s="234"/>
      <c r="AA355" s="234"/>
      <c r="AB355" s="55">
        <f t="shared" si="286"/>
        <v>19696.52</v>
      </c>
      <c r="AC355" s="234">
        <v>15693.62</v>
      </c>
      <c r="AD355" s="234">
        <v>4002.9</v>
      </c>
      <c r="AE355" s="63">
        <f t="shared" si="283"/>
        <v>984826.23</v>
      </c>
      <c r="AF355" s="55"/>
      <c r="AG355" s="55">
        <f t="shared" si="284"/>
        <v>984826.23</v>
      </c>
      <c r="AH355" s="60" t="s">
        <v>607</v>
      </c>
      <c r="AI355" s="61" t="s">
        <v>181</v>
      </c>
      <c r="AJ355" s="198">
        <f>98482.62-15061.09+94056.93+90069.4-1035.88+154742.2</f>
        <v>421254.18</v>
      </c>
      <c r="AK355" s="198">
        <f>15061.09+3.81+17176.67+17183.59+29510.05</f>
        <v>78935.210000000006</v>
      </c>
    </row>
    <row r="356" spans="1:37" ht="157.5" x14ac:dyDescent="0.25">
      <c r="A356" s="345" t="s">
        <v>2100</v>
      </c>
      <c r="B356" s="271">
        <v>118824</v>
      </c>
      <c r="C356" s="424">
        <v>451</v>
      </c>
      <c r="D356" s="271" t="s">
        <v>164</v>
      </c>
      <c r="E356" s="260" t="s">
        <v>1102</v>
      </c>
      <c r="F356" s="426" t="s">
        <v>652</v>
      </c>
      <c r="G356" s="127" t="s">
        <v>889</v>
      </c>
      <c r="H356" s="128" t="s">
        <v>890</v>
      </c>
      <c r="I356" s="260" t="s">
        <v>891</v>
      </c>
      <c r="J356" s="11" t="s">
        <v>1054</v>
      </c>
      <c r="K356" s="148">
        <v>43311</v>
      </c>
      <c r="L356" s="15">
        <v>43860</v>
      </c>
      <c r="M356" s="5">
        <f t="shared" si="287"/>
        <v>83.245543779056959</v>
      </c>
      <c r="N356" s="2" t="s">
        <v>347</v>
      </c>
      <c r="O356" s="2" t="s">
        <v>153</v>
      </c>
      <c r="P356" s="2" t="s">
        <v>153</v>
      </c>
      <c r="Q356" s="41" t="s">
        <v>154</v>
      </c>
      <c r="R356" s="2" t="s">
        <v>36</v>
      </c>
      <c r="S356" s="55">
        <f t="shared" si="279"/>
        <v>3071406.9800000004</v>
      </c>
      <c r="T356" s="234">
        <v>2476821.9900000002</v>
      </c>
      <c r="U356" s="234">
        <v>594584.99</v>
      </c>
      <c r="V356" s="55">
        <f t="shared" si="280"/>
        <v>254554.22000000003</v>
      </c>
      <c r="W356" s="234">
        <v>189953.89</v>
      </c>
      <c r="X356" s="234">
        <v>64600.33</v>
      </c>
      <c r="Y356" s="55">
        <f t="shared" si="285"/>
        <v>331178.11</v>
      </c>
      <c r="Z356" s="234">
        <v>247132.37</v>
      </c>
      <c r="AA356" s="234">
        <v>84045.74</v>
      </c>
      <c r="AB356" s="55">
        <f t="shared" si="286"/>
        <v>32435.940000000002</v>
      </c>
      <c r="AC356" s="234">
        <v>25844.11</v>
      </c>
      <c r="AD356" s="234">
        <v>6591.83</v>
      </c>
      <c r="AE356" s="63">
        <f t="shared" si="283"/>
        <v>3689575.2500000005</v>
      </c>
      <c r="AF356" s="55"/>
      <c r="AG356" s="55">
        <f t="shared" si="284"/>
        <v>3689575.2500000005</v>
      </c>
      <c r="AH356" s="64" t="s">
        <v>892</v>
      </c>
      <c r="AI356" s="61"/>
      <c r="AJ356" s="62">
        <f>162179.72+66847.3+174727.59+128489.76+146998.55+115400.5+351795.03</f>
        <v>1146438.45</v>
      </c>
      <c r="AK356" s="62">
        <f>12748.1+24503.64+22007.46+21143.18</f>
        <v>80402.38</v>
      </c>
    </row>
    <row r="357" spans="1:37" ht="173.25" x14ac:dyDescent="0.25">
      <c r="A357" s="345" t="s">
        <v>2101</v>
      </c>
      <c r="B357" s="271">
        <v>113009</v>
      </c>
      <c r="C357" s="424">
        <v>296</v>
      </c>
      <c r="D357" s="271" t="s">
        <v>1334</v>
      </c>
      <c r="E357" s="260" t="s">
        <v>161</v>
      </c>
      <c r="F357" s="419" t="s">
        <v>345</v>
      </c>
      <c r="G357" s="92" t="s">
        <v>899</v>
      </c>
      <c r="H357" s="37" t="s">
        <v>900</v>
      </c>
      <c r="I357" s="260" t="s">
        <v>901</v>
      </c>
      <c r="J357" s="108" t="s">
        <v>902</v>
      </c>
      <c r="K357" s="148">
        <v>43318</v>
      </c>
      <c r="L357" s="15">
        <v>43774</v>
      </c>
      <c r="M357" s="5">
        <f t="shared" si="287"/>
        <v>82.304184738955826</v>
      </c>
      <c r="N357" s="2" t="s">
        <v>347</v>
      </c>
      <c r="O357" s="2" t="s">
        <v>903</v>
      </c>
      <c r="P357" s="2" t="s">
        <v>904</v>
      </c>
      <c r="Q357" s="41" t="s">
        <v>349</v>
      </c>
      <c r="R357" s="2" t="s">
        <v>36</v>
      </c>
      <c r="S357" s="55">
        <f t="shared" si="279"/>
        <v>819749.67999999993</v>
      </c>
      <c r="T357" s="234">
        <v>661056.71</v>
      </c>
      <c r="U357" s="234">
        <v>158692.97</v>
      </c>
      <c r="V357" s="55">
        <f t="shared" si="280"/>
        <v>156330.31</v>
      </c>
      <c r="W357" s="234">
        <v>116657.06</v>
      </c>
      <c r="X357" s="234">
        <v>39673.25</v>
      </c>
      <c r="Y357" s="55">
        <f t="shared" si="285"/>
        <v>0</v>
      </c>
      <c r="Z357" s="234"/>
      <c r="AA357" s="234"/>
      <c r="AB357" s="55">
        <f t="shared" si="286"/>
        <v>19920.010000000002</v>
      </c>
      <c r="AC357" s="234">
        <v>15871.7</v>
      </c>
      <c r="AD357" s="234">
        <v>4048.31</v>
      </c>
      <c r="AE357" s="63">
        <f t="shared" si="283"/>
        <v>996000</v>
      </c>
      <c r="AF357" s="55"/>
      <c r="AG357" s="55">
        <f t="shared" si="284"/>
        <v>996000</v>
      </c>
      <c r="AH357" s="64" t="s">
        <v>892</v>
      </c>
      <c r="AI357" s="61" t="s">
        <v>1641</v>
      </c>
      <c r="AJ357" s="198">
        <f>11711.89+112463.33+73006.84</f>
        <v>197182.06</v>
      </c>
      <c r="AK357" s="198">
        <f>2233.51+2453.09+13922.77</f>
        <v>18609.370000000003</v>
      </c>
    </row>
    <row r="358" spans="1:37" ht="141.75" x14ac:dyDescent="0.25">
      <c r="A358" s="345" t="s">
        <v>2102</v>
      </c>
      <c r="B358" s="271">
        <v>112982</v>
      </c>
      <c r="C358" s="424">
        <v>297</v>
      </c>
      <c r="D358" s="271" t="s">
        <v>1093</v>
      </c>
      <c r="E358" s="260" t="s">
        <v>161</v>
      </c>
      <c r="F358" s="419" t="s">
        <v>345</v>
      </c>
      <c r="G358" s="92" t="s">
        <v>905</v>
      </c>
      <c r="H358" s="37" t="s">
        <v>906</v>
      </c>
      <c r="I358" s="260" t="s">
        <v>907</v>
      </c>
      <c r="J358" s="108" t="s">
        <v>908</v>
      </c>
      <c r="K358" s="148">
        <v>43318</v>
      </c>
      <c r="L358" s="15">
        <v>43682</v>
      </c>
      <c r="M358" s="5">
        <f t="shared" si="287"/>
        <v>82.304142421748935</v>
      </c>
      <c r="N358" s="2" t="s">
        <v>347</v>
      </c>
      <c r="O358" s="2" t="s">
        <v>874</v>
      </c>
      <c r="P358" s="2" t="s">
        <v>909</v>
      </c>
      <c r="Q358" s="41" t="s">
        <v>349</v>
      </c>
      <c r="R358" s="2" t="s">
        <v>36</v>
      </c>
      <c r="S358" s="55">
        <f t="shared" si="279"/>
        <v>819220.94</v>
      </c>
      <c r="T358" s="234">
        <f>660630.63-0.29</f>
        <v>660630.34</v>
      </c>
      <c r="U358" s="234">
        <f>158590.68-0.08</f>
        <v>158590.6</v>
      </c>
      <c r="V358" s="55">
        <f t="shared" si="280"/>
        <v>156229.57</v>
      </c>
      <c r="W358" s="234">
        <f>116581.9-0.05</f>
        <v>116581.84999999999</v>
      </c>
      <c r="X358" s="234">
        <f>39647.73-0.01</f>
        <v>39647.72</v>
      </c>
      <c r="Y358" s="55">
        <f t="shared" si="285"/>
        <v>0</v>
      </c>
      <c r="Z358" s="234"/>
      <c r="AA358" s="234"/>
      <c r="AB358" s="55">
        <f t="shared" si="286"/>
        <v>19907.580000000002</v>
      </c>
      <c r="AC358" s="234">
        <f>15861.49+0.34</f>
        <v>15861.83</v>
      </c>
      <c r="AD358" s="234">
        <f>4045.66+0.09</f>
        <v>4045.75</v>
      </c>
      <c r="AE358" s="63">
        <f t="shared" si="283"/>
        <v>995358.09</v>
      </c>
      <c r="AF358" s="55"/>
      <c r="AG358" s="55">
        <f t="shared" si="284"/>
        <v>995358.09</v>
      </c>
      <c r="AH358" s="64" t="s">
        <v>1534</v>
      </c>
      <c r="AI358" s="61"/>
      <c r="AJ358" s="198">
        <f>165765.11+56722.24+28008.96+69100.38-9760.15+61890.51+86983.18+50044.51+10153.07+68034.97+83018.54+77984.02</f>
        <v>747945.34</v>
      </c>
      <c r="AK358" s="198">
        <f>14377.08+10817.21+22576.59+11316.48+16588.12+13157.91+10124.9+5883.58+18172.57+19622.43</f>
        <v>142636.87</v>
      </c>
    </row>
    <row r="359" spans="1:37" ht="220.5" x14ac:dyDescent="0.25">
      <c r="A359" s="345" t="s">
        <v>2103</v>
      </c>
      <c r="B359" s="271">
        <v>110476</v>
      </c>
      <c r="C359" s="424">
        <v>203</v>
      </c>
      <c r="D359" s="271" t="s">
        <v>168</v>
      </c>
      <c r="E359" s="260" t="s">
        <v>161</v>
      </c>
      <c r="F359" s="419" t="s">
        <v>345</v>
      </c>
      <c r="G359" s="92" t="s">
        <v>923</v>
      </c>
      <c r="H359" s="37" t="s">
        <v>922</v>
      </c>
      <c r="I359" s="260" t="s">
        <v>924</v>
      </c>
      <c r="J359" s="108" t="s">
        <v>925</v>
      </c>
      <c r="K359" s="148">
        <v>43321</v>
      </c>
      <c r="L359" s="15">
        <v>43808</v>
      </c>
      <c r="M359" s="5">
        <f t="shared" si="287"/>
        <v>82.304184066340994</v>
      </c>
      <c r="N359" s="2" t="s">
        <v>347</v>
      </c>
      <c r="O359" s="2" t="s">
        <v>368</v>
      </c>
      <c r="P359" s="2" t="s">
        <v>368</v>
      </c>
      <c r="Q359" s="41" t="s">
        <v>349</v>
      </c>
      <c r="R359" s="2" t="s">
        <v>36</v>
      </c>
      <c r="S359" s="55">
        <f t="shared" si="279"/>
        <v>792472.47</v>
      </c>
      <c r="T359" s="234">
        <v>639059.99</v>
      </c>
      <c r="U359" s="234">
        <v>153412.48000000001</v>
      </c>
      <c r="V359" s="55">
        <f t="shared" si="280"/>
        <v>151128.41</v>
      </c>
      <c r="W359" s="234">
        <v>112775.27</v>
      </c>
      <c r="X359" s="234">
        <v>38353.14</v>
      </c>
      <c r="Y359" s="55">
        <f t="shared" si="285"/>
        <v>0</v>
      </c>
      <c r="Z359" s="234">
        <v>0</v>
      </c>
      <c r="AA359" s="234">
        <v>0</v>
      </c>
      <c r="AB359" s="55">
        <f t="shared" si="286"/>
        <v>19257.18</v>
      </c>
      <c r="AC359" s="234">
        <v>15343.63</v>
      </c>
      <c r="AD359" s="234">
        <v>3913.55</v>
      </c>
      <c r="AE359" s="63">
        <f t="shared" si="283"/>
        <v>962858.06</v>
      </c>
      <c r="AF359" s="55"/>
      <c r="AG359" s="55">
        <f t="shared" si="284"/>
        <v>962858.06</v>
      </c>
      <c r="AH359" s="64" t="s">
        <v>892</v>
      </c>
      <c r="AI359" s="61" t="s">
        <v>1687</v>
      </c>
      <c r="AJ359" s="198">
        <f>96285.8+47700.86+109022.07+9510.48+92679.05+16146.43</f>
        <v>371344.69</v>
      </c>
      <c r="AK359" s="198">
        <f>23108.4+6779.44+19488.05+3079.21</f>
        <v>52455.1</v>
      </c>
    </row>
    <row r="360" spans="1:37" ht="141.75" x14ac:dyDescent="0.25">
      <c r="A360" s="345" t="s">
        <v>2104</v>
      </c>
      <c r="B360" s="271">
        <v>111413</v>
      </c>
      <c r="C360" s="424">
        <v>245</v>
      </c>
      <c r="D360" s="271" t="s">
        <v>166</v>
      </c>
      <c r="E360" s="260" t="s">
        <v>161</v>
      </c>
      <c r="F360" s="419" t="s">
        <v>345</v>
      </c>
      <c r="G360" s="92" t="s">
        <v>930</v>
      </c>
      <c r="H360" s="37" t="s">
        <v>931</v>
      </c>
      <c r="I360" s="260" t="s">
        <v>932</v>
      </c>
      <c r="J360" s="108" t="s">
        <v>933</v>
      </c>
      <c r="K360" s="148">
        <v>43325</v>
      </c>
      <c r="L360" s="15">
        <v>43812</v>
      </c>
      <c r="M360" s="5">
        <f t="shared" si="287"/>
        <v>82.510189524515496</v>
      </c>
      <c r="N360" s="2" t="s">
        <v>347</v>
      </c>
      <c r="O360" s="2" t="s">
        <v>335</v>
      </c>
      <c r="P360" s="2" t="s">
        <v>335</v>
      </c>
      <c r="Q360" s="41" t="s">
        <v>349</v>
      </c>
      <c r="R360" s="2" t="s">
        <v>36</v>
      </c>
      <c r="S360" s="55">
        <f t="shared" si="279"/>
        <v>805149.57</v>
      </c>
      <c r="T360" s="234">
        <v>649282.97</v>
      </c>
      <c r="U360" s="234">
        <v>155866.6</v>
      </c>
      <c r="V360" s="55">
        <f t="shared" si="280"/>
        <v>134378</v>
      </c>
      <c r="W360" s="234">
        <v>100275.78</v>
      </c>
      <c r="X360" s="234">
        <v>34102.22</v>
      </c>
      <c r="Y360" s="55">
        <f t="shared" si="285"/>
        <v>19168</v>
      </c>
      <c r="Z360" s="234">
        <v>14303.59</v>
      </c>
      <c r="AA360" s="234">
        <v>4864.41</v>
      </c>
      <c r="AB360" s="55">
        <f t="shared" si="286"/>
        <v>17122.78</v>
      </c>
      <c r="AC360" s="234">
        <v>13642.95</v>
      </c>
      <c r="AD360" s="234">
        <v>3479.83</v>
      </c>
      <c r="AE360" s="63">
        <f t="shared" si="283"/>
        <v>975818.35</v>
      </c>
      <c r="AF360" s="55">
        <v>0</v>
      </c>
      <c r="AG360" s="55">
        <f t="shared" si="284"/>
        <v>975818.35</v>
      </c>
      <c r="AH360" s="64" t="s">
        <v>892</v>
      </c>
      <c r="AI360" s="61" t="s">
        <v>372</v>
      </c>
      <c r="AJ360" s="198">
        <f>85600-10278.92+91440.93+64880.29+85600+67989.89+122279.98</f>
        <v>507512.17000000004</v>
      </c>
      <c r="AK360" s="198">
        <f>10278.92+5199.07+27998.08+12966.01+23319.38</f>
        <v>79761.460000000006</v>
      </c>
    </row>
    <row r="361" spans="1:37" ht="255" x14ac:dyDescent="0.25">
      <c r="A361" s="345" t="s">
        <v>2105</v>
      </c>
      <c r="B361" s="271">
        <v>112299</v>
      </c>
      <c r="C361" s="424">
        <v>370</v>
      </c>
      <c r="D361" s="271" t="s">
        <v>164</v>
      </c>
      <c r="E361" s="235" t="s">
        <v>1103</v>
      </c>
      <c r="F361" s="419" t="s">
        <v>657</v>
      </c>
      <c r="G361" s="92" t="s">
        <v>940</v>
      </c>
      <c r="H361" s="37" t="s">
        <v>941</v>
      </c>
      <c r="I361" s="260" t="s">
        <v>181</v>
      </c>
      <c r="J361" s="92" t="s">
        <v>942</v>
      </c>
      <c r="K361" s="148">
        <v>43322</v>
      </c>
      <c r="L361" s="15">
        <v>43809</v>
      </c>
      <c r="M361" s="5">
        <f t="shared" si="287"/>
        <v>82.304185282751305</v>
      </c>
      <c r="N361" s="2" t="s">
        <v>347</v>
      </c>
      <c r="O361" s="2" t="s">
        <v>335</v>
      </c>
      <c r="P361" s="2" t="s">
        <v>335</v>
      </c>
      <c r="Q361" s="41" t="s">
        <v>349</v>
      </c>
      <c r="R361" s="2" t="s">
        <v>36</v>
      </c>
      <c r="S361" s="55">
        <f t="shared" si="279"/>
        <v>5950616.5299999993</v>
      </c>
      <c r="T361" s="234">
        <v>4798653.8099999996</v>
      </c>
      <c r="U361" s="234">
        <v>1151962.72</v>
      </c>
      <c r="V361" s="55">
        <f t="shared" si="280"/>
        <v>1134811.99</v>
      </c>
      <c r="W361" s="234">
        <v>846821.28</v>
      </c>
      <c r="X361" s="234">
        <v>287990.71000000002</v>
      </c>
      <c r="Y361" s="55">
        <f t="shared" si="285"/>
        <v>0</v>
      </c>
      <c r="Z361" s="234">
        <v>0</v>
      </c>
      <c r="AA361" s="234">
        <v>0</v>
      </c>
      <c r="AB361" s="55">
        <f t="shared" si="286"/>
        <v>144600.56</v>
      </c>
      <c r="AC361" s="234">
        <v>115213.74</v>
      </c>
      <c r="AD361" s="234">
        <v>29386.82</v>
      </c>
      <c r="AE361" s="63">
        <f t="shared" si="283"/>
        <v>7230029.0799999991</v>
      </c>
      <c r="AF361" s="55">
        <v>138667.75</v>
      </c>
      <c r="AG361" s="55">
        <f t="shared" si="284"/>
        <v>7368696.8299999991</v>
      </c>
      <c r="AH361" s="64" t="s">
        <v>892</v>
      </c>
      <c r="AI361" s="61"/>
      <c r="AJ361" s="62">
        <f>282756.47-22704+3451.47+697697.8-66522.25+440650.43+1031764.4</f>
        <v>2367094.3199999998</v>
      </c>
      <c r="AK361" s="62">
        <f>22703.99+27547.51+66522.25+229714.96</f>
        <v>346488.70999999996</v>
      </c>
    </row>
    <row r="362" spans="1:37" ht="120" x14ac:dyDescent="0.25">
      <c r="A362" s="345" t="s">
        <v>2106</v>
      </c>
      <c r="B362" s="271">
        <v>112241</v>
      </c>
      <c r="C362" s="424">
        <v>291</v>
      </c>
      <c r="D362" s="271" t="s">
        <v>1334</v>
      </c>
      <c r="E362" s="260" t="s">
        <v>161</v>
      </c>
      <c r="F362" s="419" t="s">
        <v>345</v>
      </c>
      <c r="G362" s="92" t="s">
        <v>954</v>
      </c>
      <c r="H362" s="37" t="s">
        <v>955</v>
      </c>
      <c r="I362" s="260" t="s">
        <v>956</v>
      </c>
      <c r="J362" s="108" t="s">
        <v>957</v>
      </c>
      <c r="K362" s="148">
        <v>43332</v>
      </c>
      <c r="L362" s="15">
        <v>43818</v>
      </c>
      <c r="M362" s="5">
        <f t="shared" si="287"/>
        <v>82.583882850083839</v>
      </c>
      <c r="N362" s="82" t="s">
        <v>152</v>
      </c>
      <c r="O362" s="2" t="s">
        <v>741</v>
      </c>
      <c r="P362" s="2" t="s">
        <v>729</v>
      </c>
      <c r="Q362" s="41" t="s">
        <v>349</v>
      </c>
      <c r="R362" s="131" t="s">
        <v>36</v>
      </c>
      <c r="S362" s="55">
        <f t="shared" si="279"/>
        <v>824427.28</v>
      </c>
      <c r="T362" s="234">
        <v>664828.78</v>
      </c>
      <c r="U362" s="234">
        <v>159598.5</v>
      </c>
      <c r="V362" s="55">
        <f t="shared" si="280"/>
        <v>130597.97</v>
      </c>
      <c r="W362" s="234">
        <v>97455.03</v>
      </c>
      <c r="X362" s="234">
        <v>33142.94</v>
      </c>
      <c r="Y362" s="55">
        <f t="shared" si="285"/>
        <v>26624.399999999998</v>
      </c>
      <c r="Z362" s="234">
        <v>19867.71</v>
      </c>
      <c r="AA362" s="234">
        <v>6756.69</v>
      </c>
      <c r="AB362" s="55">
        <f t="shared" si="286"/>
        <v>16641.12</v>
      </c>
      <c r="AC362" s="234">
        <v>13259.17</v>
      </c>
      <c r="AD362" s="234">
        <v>3381.95</v>
      </c>
      <c r="AE362" s="63">
        <f t="shared" si="283"/>
        <v>998290.77</v>
      </c>
      <c r="AF362" s="55"/>
      <c r="AG362" s="55">
        <f t="shared" si="284"/>
        <v>998290.77</v>
      </c>
      <c r="AH362" s="64" t="s">
        <v>892</v>
      </c>
      <c r="AI362" s="61"/>
      <c r="AJ362" s="198">
        <f>81541.49+87388.02+13666.61+117720.04+28127.79+78797.35+101131.95</f>
        <v>508373.24999999994</v>
      </c>
      <c r="AK362" s="198">
        <f>16166.91+2606.29+16916.51+3786.15+14772.46+18138.93</f>
        <v>72387.25</v>
      </c>
    </row>
    <row r="363" spans="1:37" ht="315" x14ac:dyDescent="0.25">
      <c r="A363" s="345" t="s">
        <v>2107</v>
      </c>
      <c r="B363" s="271">
        <v>111881</v>
      </c>
      <c r="C363" s="424">
        <v>222</v>
      </c>
      <c r="D363" s="271" t="s">
        <v>168</v>
      </c>
      <c r="E363" s="260" t="s">
        <v>161</v>
      </c>
      <c r="F363" s="419" t="s">
        <v>345</v>
      </c>
      <c r="G363" s="133" t="s">
        <v>958</v>
      </c>
      <c r="H363" s="134" t="s">
        <v>959</v>
      </c>
      <c r="I363" s="260" t="s">
        <v>960</v>
      </c>
      <c r="J363" s="23" t="s">
        <v>961</v>
      </c>
      <c r="K363" s="148">
        <v>43332</v>
      </c>
      <c r="L363" s="15">
        <v>43819</v>
      </c>
      <c r="M363" s="5">
        <f t="shared" si="287"/>
        <v>82.304193109047048</v>
      </c>
      <c r="N363" s="82" t="s">
        <v>152</v>
      </c>
      <c r="O363" s="2" t="s">
        <v>335</v>
      </c>
      <c r="P363" s="2" t="s">
        <v>335</v>
      </c>
      <c r="Q363" s="41" t="s">
        <v>349</v>
      </c>
      <c r="R363" s="6" t="s">
        <v>36</v>
      </c>
      <c r="S363" s="55">
        <f t="shared" si="279"/>
        <v>817219.92999999993</v>
      </c>
      <c r="T363" s="234">
        <v>659016.73</v>
      </c>
      <c r="U363" s="234">
        <v>158203.20000000001</v>
      </c>
      <c r="V363" s="55">
        <f t="shared" si="280"/>
        <v>155847.79</v>
      </c>
      <c r="W363" s="234">
        <v>116297.02</v>
      </c>
      <c r="X363" s="234">
        <v>39550.769999999997</v>
      </c>
      <c r="Y363" s="55">
        <f t="shared" si="285"/>
        <v>19858.52</v>
      </c>
      <c r="Z363" s="234">
        <v>15822.64</v>
      </c>
      <c r="AA363" s="234">
        <v>4035.88</v>
      </c>
      <c r="AB363" s="55">
        <f t="shared" si="286"/>
        <v>0</v>
      </c>
      <c r="AC363" s="234">
        <v>0</v>
      </c>
      <c r="AD363" s="234">
        <v>0</v>
      </c>
      <c r="AE363" s="63">
        <f t="shared" si="283"/>
        <v>992926.24</v>
      </c>
      <c r="AF363" s="55"/>
      <c r="AG363" s="55">
        <f t="shared" si="284"/>
        <v>992926.24</v>
      </c>
      <c r="AH363" s="64" t="s">
        <v>892</v>
      </c>
      <c r="AI363" s="61" t="s">
        <v>1244</v>
      </c>
      <c r="AJ363" s="198">
        <f>99292.62-14519.17+90653.42-15093.22+94237.53+80664.42</f>
        <v>335235.59999999998</v>
      </c>
      <c r="AK363" s="198">
        <f>14519.17+15093.22+15383.12</f>
        <v>44995.51</v>
      </c>
    </row>
    <row r="364" spans="1:37" ht="283.5" x14ac:dyDescent="0.25">
      <c r="A364" s="345" t="s">
        <v>2108</v>
      </c>
      <c r="B364" s="271">
        <v>111434</v>
      </c>
      <c r="C364" s="424">
        <v>141</v>
      </c>
      <c r="D364" s="271" t="s">
        <v>1093</v>
      </c>
      <c r="E364" s="260" t="s">
        <v>161</v>
      </c>
      <c r="F364" s="419" t="s">
        <v>345</v>
      </c>
      <c r="G364" s="92" t="s">
        <v>966</v>
      </c>
      <c r="H364" s="37" t="s">
        <v>967</v>
      </c>
      <c r="I364" s="260" t="s">
        <v>968</v>
      </c>
      <c r="J364" s="108" t="s">
        <v>1034</v>
      </c>
      <c r="K364" s="148">
        <v>43332</v>
      </c>
      <c r="L364" s="219">
        <v>43819</v>
      </c>
      <c r="M364" s="5">
        <f t="shared" si="287"/>
        <v>82.30418537074344</v>
      </c>
      <c r="N364" s="2" t="s">
        <v>347</v>
      </c>
      <c r="O364" s="2" t="s">
        <v>153</v>
      </c>
      <c r="P364" s="2" t="s">
        <v>153</v>
      </c>
      <c r="Q364" s="41" t="s">
        <v>349</v>
      </c>
      <c r="R364" s="131" t="s">
        <v>36</v>
      </c>
      <c r="S364" s="55">
        <f t="shared" si="279"/>
        <v>822576.44</v>
      </c>
      <c r="T364" s="234">
        <v>663336.19999999995</v>
      </c>
      <c r="U364" s="234">
        <v>159240.24</v>
      </c>
      <c r="V364" s="55">
        <f t="shared" si="280"/>
        <v>156869.40000000002</v>
      </c>
      <c r="W364" s="234">
        <v>117059.35</v>
      </c>
      <c r="X364" s="234">
        <v>39810.050000000003</v>
      </c>
      <c r="Y364" s="55">
        <f t="shared" si="285"/>
        <v>19988.68</v>
      </c>
      <c r="Z364" s="234">
        <v>15926.46</v>
      </c>
      <c r="AA364" s="234">
        <v>4062.22</v>
      </c>
      <c r="AB364" s="55">
        <f t="shared" si="286"/>
        <v>0</v>
      </c>
      <c r="AC364" s="234"/>
      <c r="AD364" s="234"/>
      <c r="AE364" s="63">
        <f t="shared" si="283"/>
        <v>999434.52</v>
      </c>
      <c r="AF364" s="55"/>
      <c r="AG364" s="55">
        <f t="shared" si="284"/>
        <v>999434.52</v>
      </c>
      <c r="AH364" s="64" t="s">
        <v>892</v>
      </c>
      <c r="AI364" s="61" t="s">
        <v>960</v>
      </c>
      <c r="AJ364" s="198">
        <f>49971.72+83543.84+96913+21111.43+81377.76+128016.73+84993.07</f>
        <v>545927.55000000005</v>
      </c>
      <c r="AK364" s="198">
        <f>24884.17+21127.4+22831.19+16208.59</f>
        <v>85051.349999999991</v>
      </c>
    </row>
    <row r="365" spans="1:37" ht="142.5" thickBot="1" x14ac:dyDescent="0.3">
      <c r="A365" s="345" t="s">
        <v>2109</v>
      </c>
      <c r="B365" s="271">
        <v>112374</v>
      </c>
      <c r="C365" s="424">
        <v>142</v>
      </c>
      <c r="D365" s="271" t="s">
        <v>1334</v>
      </c>
      <c r="E365" s="260" t="s">
        <v>161</v>
      </c>
      <c r="F365" s="419" t="s">
        <v>345</v>
      </c>
      <c r="G365" s="92" t="s">
        <v>971</v>
      </c>
      <c r="H365" s="37" t="s">
        <v>972</v>
      </c>
      <c r="I365" s="260" t="s">
        <v>376</v>
      </c>
      <c r="J365" s="108" t="s">
        <v>973</v>
      </c>
      <c r="K365" s="148">
        <v>43333</v>
      </c>
      <c r="L365" s="15">
        <v>43819</v>
      </c>
      <c r="M365" s="5">
        <f t="shared" si="287"/>
        <v>82.304182898535288</v>
      </c>
      <c r="N365" s="2" t="s">
        <v>347</v>
      </c>
      <c r="O365" s="2" t="s">
        <v>153</v>
      </c>
      <c r="P365" s="2" t="s">
        <v>153</v>
      </c>
      <c r="Q365" s="41" t="s">
        <v>349</v>
      </c>
      <c r="R365" s="2" t="s">
        <v>36</v>
      </c>
      <c r="S365" s="55">
        <f t="shared" si="279"/>
        <v>776266.51</v>
      </c>
      <c r="T365" s="234">
        <v>625991.30000000005</v>
      </c>
      <c r="U365" s="234">
        <v>150275.21</v>
      </c>
      <c r="V365" s="55">
        <f t="shared" si="280"/>
        <v>148037.87</v>
      </c>
      <c r="W365" s="234">
        <v>110469.08</v>
      </c>
      <c r="X365" s="234">
        <v>37568.79</v>
      </c>
      <c r="Y365" s="55">
        <f t="shared" si="285"/>
        <v>0</v>
      </c>
      <c r="Z365" s="234"/>
      <c r="AA365" s="234"/>
      <c r="AB365" s="55">
        <f t="shared" si="286"/>
        <v>18863.37</v>
      </c>
      <c r="AC365" s="234">
        <v>15029.81</v>
      </c>
      <c r="AD365" s="234">
        <v>3833.56</v>
      </c>
      <c r="AE365" s="190">
        <f t="shared" si="283"/>
        <v>943167.75</v>
      </c>
      <c r="AF365" s="55"/>
      <c r="AG365" s="55">
        <f t="shared" si="284"/>
        <v>943167.75</v>
      </c>
      <c r="AH365" s="64" t="s">
        <v>892</v>
      </c>
      <c r="AI365" s="61"/>
      <c r="AJ365" s="198">
        <f>94316.78+88365.15+32352.46+93883.38+44276.08</f>
        <v>353193.85000000003</v>
      </c>
      <c r="AK365" s="198">
        <f>21755.69+19252.4+433.4+25914.37</f>
        <v>67355.86</v>
      </c>
    </row>
    <row r="366" spans="1:37" ht="237.75" thickTop="1" x14ac:dyDescent="0.3">
      <c r="A366" s="345" t="s">
        <v>2110</v>
      </c>
      <c r="B366" s="271">
        <v>111379</v>
      </c>
      <c r="C366" s="424">
        <v>228</v>
      </c>
      <c r="D366" s="271" t="s">
        <v>168</v>
      </c>
      <c r="E366" s="260" t="s">
        <v>161</v>
      </c>
      <c r="F366" s="419" t="s">
        <v>345</v>
      </c>
      <c r="G366" s="136" t="s">
        <v>974</v>
      </c>
      <c r="H366" s="135" t="s">
        <v>975</v>
      </c>
      <c r="I366" s="260" t="s">
        <v>976</v>
      </c>
      <c r="J366" s="108" t="s">
        <v>977</v>
      </c>
      <c r="K366" s="148">
        <v>43333</v>
      </c>
      <c r="L366" s="15">
        <v>43820</v>
      </c>
      <c r="M366" s="5">
        <f t="shared" si="287"/>
        <v>82.452371972946708</v>
      </c>
      <c r="N366" s="2" t="s">
        <v>347</v>
      </c>
      <c r="O366" s="2" t="s">
        <v>153</v>
      </c>
      <c r="P366" s="2" t="s">
        <v>153</v>
      </c>
      <c r="Q366" s="41" t="s">
        <v>349</v>
      </c>
      <c r="R366" s="2" t="s">
        <v>36</v>
      </c>
      <c r="S366" s="55">
        <f t="shared" si="279"/>
        <v>823001.55</v>
      </c>
      <c r="T366" s="234">
        <v>663679.05000000005</v>
      </c>
      <c r="U366" s="234">
        <v>159322.5</v>
      </c>
      <c r="V366" s="55">
        <f t="shared" si="280"/>
        <v>142846.60999999999</v>
      </c>
      <c r="W366" s="234">
        <v>106595.2</v>
      </c>
      <c r="X366" s="234">
        <v>36251.410000000003</v>
      </c>
      <c r="Y366" s="55">
        <f t="shared" si="285"/>
        <v>32305.72</v>
      </c>
      <c r="Z366" s="234">
        <v>25027.37</v>
      </c>
      <c r="AA366" s="234">
        <v>7278.35</v>
      </c>
      <c r="AB366" s="55">
        <f t="shared" si="286"/>
        <v>0</v>
      </c>
      <c r="AC366" s="234"/>
      <c r="AD366" s="234"/>
      <c r="AE366" s="63">
        <f t="shared" si="283"/>
        <v>998153.88</v>
      </c>
      <c r="AF366" s="55"/>
      <c r="AG366" s="55">
        <f t="shared" si="284"/>
        <v>998153.88</v>
      </c>
      <c r="AH366" s="64" t="s">
        <v>892</v>
      </c>
      <c r="AI366" s="61" t="s">
        <v>960</v>
      </c>
      <c r="AJ366" s="198">
        <f>91009.38-9270.26+57880.76-12678.05+33855.88+91009.38+115144.49</f>
        <v>366951.58</v>
      </c>
      <c r="AK366" s="198">
        <f>9270.26+12678.05+8716.65+21958.63</f>
        <v>52623.59</v>
      </c>
    </row>
    <row r="367" spans="1:37" ht="315" x14ac:dyDescent="0.25">
      <c r="A367" s="345" t="s">
        <v>2111</v>
      </c>
      <c r="B367" s="271">
        <v>112711</v>
      </c>
      <c r="C367" s="424">
        <v>209</v>
      </c>
      <c r="D367" s="271" t="s">
        <v>168</v>
      </c>
      <c r="E367" s="438" t="s">
        <v>161</v>
      </c>
      <c r="F367" s="419" t="s">
        <v>345</v>
      </c>
      <c r="G367" s="92" t="s">
        <v>983</v>
      </c>
      <c r="H367" s="37" t="s">
        <v>984</v>
      </c>
      <c r="I367" s="438" t="s">
        <v>985</v>
      </c>
      <c r="J367" s="23" t="s">
        <v>986</v>
      </c>
      <c r="K367" s="148">
        <v>43335</v>
      </c>
      <c r="L367" s="15">
        <v>43822</v>
      </c>
      <c r="M367" s="5">
        <f t="shared" si="287"/>
        <v>82.640124999999998</v>
      </c>
      <c r="N367" s="2" t="s">
        <v>347</v>
      </c>
      <c r="O367" s="2" t="s">
        <v>153</v>
      </c>
      <c r="P367" s="2" t="s">
        <v>153</v>
      </c>
      <c r="Q367" s="41" t="s">
        <v>349</v>
      </c>
      <c r="R367" s="2" t="s">
        <v>36</v>
      </c>
      <c r="S367" s="55">
        <f t="shared" si="279"/>
        <v>826401.25</v>
      </c>
      <c r="T367" s="234">
        <v>666420.59</v>
      </c>
      <c r="U367" s="234">
        <v>159980.66</v>
      </c>
      <c r="V367" s="55">
        <f t="shared" si="280"/>
        <v>153598.75</v>
      </c>
      <c r="W367" s="234">
        <v>114416.53</v>
      </c>
      <c r="X367" s="234">
        <v>39182.22</v>
      </c>
      <c r="Y367" s="55">
        <f t="shared" si="285"/>
        <v>20000</v>
      </c>
      <c r="Z367" s="234">
        <v>15935.46</v>
      </c>
      <c r="AA367" s="234">
        <v>4064.54</v>
      </c>
      <c r="AB367" s="55">
        <f t="shared" si="286"/>
        <v>0</v>
      </c>
      <c r="AC367" s="234"/>
      <c r="AD367" s="234"/>
      <c r="AE367" s="63">
        <f t="shared" si="283"/>
        <v>1000000</v>
      </c>
      <c r="AF367" s="55"/>
      <c r="AG367" s="55">
        <f t="shared" si="284"/>
        <v>1000000</v>
      </c>
      <c r="AH367" s="64" t="s">
        <v>892</v>
      </c>
      <c r="AI367" s="61" t="s">
        <v>960</v>
      </c>
      <c r="AJ367" s="198">
        <f>98952.8+38728.19+96005.78+68225.96+103165.27+4938.26+145762.12</f>
        <v>555778.38</v>
      </c>
      <c r="AK367" s="198">
        <f>24992.94+30773.35+1365.53+941.74+26883.3</f>
        <v>84956.859999999986</v>
      </c>
    </row>
    <row r="368" spans="1:37" ht="189" x14ac:dyDescent="0.25">
      <c r="A368" s="345" t="s">
        <v>2112</v>
      </c>
      <c r="B368" s="271">
        <v>112827</v>
      </c>
      <c r="C368" s="424">
        <v>305</v>
      </c>
      <c r="D368" s="271" t="s">
        <v>164</v>
      </c>
      <c r="E368" s="260" t="s">
        <v>161</v>
      </c>
      <c r="F368" s="419" t="s">
        <v>345</v>
      </c>
      <c r="G368" s="92" t="s">
        <v>993</v>
      </c>
      <c r="H368" s="92" t="s">
        <v>992</v>
      </c>
      <c r="I368" s="260" t="s">
        <v>994</v>
      </c>
      <c r="J368" s="108" t="s">
        <v>995</v>
      </c>
      <c r="K368" s="148">
        <v>43325</v>
      </c>
      <c r="L368" s="15">
        <v>43750</v>
      </c>
      <c r="M368" s="5">
        <f t="shared" si="287"/>
        <v>82.30418490460022</v>
      </c>
      <c r="N368" s="2" t="s">
        <v>347</v>
      </c>
      <c r="O368" s="2" t="s">
        <v>338</v>
      </c>
      <c r="P368" s="2" t="s">
        <v>996</v>
      </c>
      <c r="Q368" s="41" t="s">
        <v>349</v>
      </c>
      <c r="R368" s="2" t="s">
        <v>36</v>
      </c>
      <c r="S368" s="55">
        <f t="shared" si="279"/>
        <v>819344.35</v>
      </c>
      <c r="T368" s="234">
        <v>660729.84</v>
      </c>
      <c r="U368" s="234">
        <v>158614.51</v>
      </c>
      <c r="V368" s="55">
        <f t="shared" si="280"/>
        <v>156253.01</v>
      </c>
      <c r="W368" s="234">
        <v>116599.39</v>
      </c>
      <c r="X368" s="234">
        <v>39653.620000000003</v>
      </c>
      <c r="Y368" s="55">
        <f t="shared" si="285"/>
        <v>0</v>
      </c>
      <c r="Z368" s="234"/>
      <c r="AA368" s="234"/>
      <c r="AB368" s="55">
        <f t="shared" si="286"/>
        <v>19910.16</v>
      </c>
      <c r="AC368" s="234">
        <v>15863.85</v>
      </c>
      <c r="AD368" s="234">
        <v>4046.31</v>
      </c>
      <c r="AE368" s="63">
        <f t="shared" si="283"/>
        <v>995507.52</v>
      </c>
      <c r="AF368" s="55"/>
      <c r="AG368" s="55">
        <f t="shared" si="284"/>
        <v>995507.52</v>
      </c>
      <c r="AH368" s="64" t="s">
        <v>892</v>
      </c>
      <c r="AI368" s="61" t="s">
        <v>960</v>
      </c>
      <c r="AJ368" s="198">
        <f>99347-2141.53-5209.28+78190.23</f>
        <v>170186.41999999998</v>
      </c>
      <c r="AK368" s="198">
        <f>2141.53+5209.28+6119.81</f>
        <v>13470.619999999999</v>
      </c>
    </row>
    <row r="369" spans="1:37" ht="141.75" x14ac:dyDescent="0.25">
      <c r="A369" s="345" t="s">
        <v>2113</v>
      </c>
      <c r="B369" s="271">
        <v>112220</v>
      </c>
      <c r="C369" s="424">
        <v>239</v>
      </c>
      <c r="D369" s="271" t="s">
        <v>166</v>
      </c>
      <c r="E369" s="438" t="s">
        <v>161</v>
      </c>
      <c r="F369" s="419" t="s">
        <v>345</v>
      </c>
      <c r="G369" s="92" t="s">
        <v>1006</v>
      </c>
      <c r="H369" s="37" t="s">
        <v>1629</v>
      </c>
      <c r="I369" s="260" t="s">
        <v>1007</v>
      </c>
      <c r="J369" s="108" t="s">
        <v>1009</v>
      </c>
      <c r="K369" s="148">
        <v>43346</v>
      </c>
      <c r="L369" s="15">
        <v>43772</v>
      </c>
      <c r="M369" s="5">
        <f t="shared" si="287"/>
        <v>82.53761528755669</v>
      </c>
      <c r="N369" s="2" t="s">
        <v>347</v>
      </c>
      <c r="O369" s="2" t="s">
        <v>218</v>
      </c>
      <c r="P369" s="2" t="s">
        <v>1008</v>
      </c>
      <c r="Q369" s="41" t="s">
        <v>349</v>
      </c>
      <c r="R369" s="2" t="s">
        <v>36</v>
      </c>
      <c r="S369" s="55">
        <f t="shared" si="279"/>
        <v>770988.47</v>
      </c>
      <c r="T369" s="234">
        <v>621735</v>
      </c>
      <c r="U369" s="234">
        <v>149253.47</v>
      </c>
      <c r="V369" s="55">
        <f t="shared" si="280"/>
        <v>126240.19</v>
      </c>
      <c r="W369" s="234">
        <v>94203.17</v>
      </c>
      <c r="X369" s="234">
        <v>32037.02</v>
      </c>
      <c r="Y369" s="55">
        <f t="shared" si="285"/>
        <v>20791.07</v>
      </c>
      <c r="Z369" s="234">
        <v>15514.77</v>
      </c>
      <c r="AA369" s="234">
        <v>5276.3</v>
      </c>
      <c r="AB369" s="55">
        <f t="shared" si="286"/>
        <v>16085.85</v>
      </c>
      <c r="AC369" s="234">
        <v>12816.75</v>
      </c>
      <c r="AD369" s="234">
        <v>3269.1</v>
      </c>
      <c r="AE369" s="63">
        <f t="shared" si="283"/>
        <v>934105.57999999984</v>
      </c>
      <c r="AF369" s="55"/>
      <c r="AG369" s="55">
        <f t="shared" si="284"/>
        <v>934105.57999999984</v>
      </c>
      <c r="AH369" s="64" t="s">
        <v>607</v>
      </c>
      <c r="AI369" s="61" t="s">
        <v>372</v>
      </c>
      <c r="AJ369" s="198">
        <f>80429.21-9330.69+58258.04-10837.66+67667.13+123564.67+61010.11+44980.72+23680.33</f>
        <v>439421.86000000004</v>
      </c>
      <c r="AK369" s="198">
        <f>9330.69+10837.66+23564.38+11634.9+8578.04+8687.09</f>
        <v>72632.759999999995</v>
      </c>
    </row>
    <row r="370" spans="1:37" ht="189.75" x14ac:dyDescent="0.3">
      <c r="A370" s="345" t="s">
        <v>2114</v>
      </c>
      <c r="B370" s="271">
        <v>111775</v>
      </c>
      <c r="C370" s="424">
        <v>364</v>
      </c>
      <c r="D370" s="271" t="s">
        <v>1334</v>
      </c>
      <c r="E370" s="438" t="s">
        <v>161</v>
      </c>
      <c r="F370" s="419" t="s">
        <v>345</v>
      </c>
      <c r="G370" s="244" t="s">
        <v>1010</v>
      </c>
      <c r="H370" s="245" t="s">
        <v>1011</v>
      </c>
      <c r="I370" s="260" t="s">
        <v>1012</v>
      </c>
      <c r="J370" s="108" t="s">
        <v>1013</v>
      </c>
      <c r="K370" s="148">
        <v>43346</v>
      </c>
      <c r="L370" s="15">
        <v>43832</v>
      </c>
      <c r="M370" s="5">
        <f t="shared" si="287"/>
        <v>82.30418188922819</v>
      </c>
      <c r="N370" s="2" t="s">
        <v>347</v>
      </c>
      <c r="O370" s="2" t="s">
        <v>218</v>
      </c>
      <c r="P370" s="2" t="s">
        <v>493</v>
      </c>
      <c r="Q370" s="41" t="s">
        <v>349</v>
      </c>
      <c r="R370" s="2" t="s">
        <v>36</v>
      </c>
      <c r="S370" s="55">
        <f t="shared" si="279"/>
        <v>779789.21</v>
      </c>
      <c r="T370" s="234">
        <v>628832.06999999995</v>
      </c>
      <c r="U370" s="234">
        <v>150957.14000000001</v>
      </c>
      <c r="V370" s="55">
        <f t="shared" si="280"/>
        <v>148709.68</v>
      </c>
      <c r="W370" s="234">
        <v>110970.39</v>
      </c>
      <c r="X370" s="234">
        <v>37739.29</v>
      </c>
      <c r="Y370" s="55">
        <f t="shared" si="285"/>
        <v>0</v>
      </c>
      <c r="Z370" s="234"/>
      <c r="AA370" s="234"/>
      <c r="AB370" s="55">
        <f t="shared" si="286"/>
        <v>18948.97</v>
      </c>
      <c r="AC370" s="234">
        <v>15098.01</v>
      </c>
      <c r="AD370" s="234">
        <v>3850.96</v>
      </c>
      <c r="AE370" s="63">
        <f t="shared" si="283"/>
        <v>947447.85999999987</v>
      </c>
      <c r="AF370" s="55">
        <v>0</v>
      </c>
      <c r="AG370" s="55">
        <f t="shared" si="284"/>
        <v>947447.85999999987</v>
      </c>
      <c r="AH370" s="64" t="s">
        <v>607</v>
      </c>
      <c r="AI370" s="61" t="s">
        <v>372</v>
      </c>
      <c r="AJ370" s="198">
        <f>94744.78+10125.98+94121.04-10122.56+91207.91+17880.02</f>
        <v>297957.17000000004</v>
      </c>
      <c r="AK370" s="198">
        <f>7252.41+12628.02+15463.44+21478.12</f>
        <v>56821.990000000005</v>
      </c>
    </row>
    <row r="371" spans="1:37" ht="141.75" x14ac:dyDescent="0.25">
      <c r="A371" s="345" t="s">
        <v>2115</v>
      </c>
      <c r="B371" s="271">
        <v>112027</v>
      </c>
      <c r="C371" s="424">
        <v>290</v>
      </c>
      <c r="D371" s="271" t="s">
        <v>1334</v>
      </c>
      <c r="E371" s="438" t="s">
        <v>161</v>
      </c>
      <c r="F371" s="419" t="s">
        <v>345</v>
      </c>
      <c r="G371" s="140" t="s">
        <v>1017</v>
      </c>
      <c r="H371" s="243" t="s">
        <v>1018</v>
      </c>
      <c r="I371" s="432" t="s">
        <v>376</v>
      </c>
      <c r="J371" s="108" t="s">
        <v>1019</v>
      </c>
      <c r="K371" s="148">
        <v>43346</v>
      </c>
      <c r="L371" s="15">
        <v>43832</v>
      </c>
      <c r="M371" s="5">
        <f t="shared" si="287"/>
        <v>82.30418483269878</v>
      </c>
      <c r="N371" s="2" t="s">
        <v>347</v>
      </c>
      <c r="O371" s="2" t="s">
        <v>153</v>
      </c>
      <c r="P371" s="2" t="s">
        <v>153</v>
      </c>
      <c r="Q371" s="41" t="s">
        <v>349</v>
      </c>
      <c r="R371" s="2" t="s">
        <v>36</v>
      </c>
      <c r="S371" s="55">
        <f t="shared" si="279"/>
        <v>765927.6</v>
      </c>
      <c r="T371" s="234">
        <v>617653.87</v>
      </c>
      <c r="U371" s="234">
        <v>148273.73000000001</v>
      </c>
      <c r="V371" s="55">
        <f t="shared" si="280"/>
        <v>146066.19</v>
      </c>
      <c r="W371" s="234">
        <v>108997.75999999999</v>
      </c>
      <c r="X371" s="234">
        <v>37068.43</v>
      </c>
      <c r="Y371" s="55">
        <f t="shared" si="285"/>
        <v>0</v>
      </c>
      <c r="Z371" s="234"/>
      <c r="AA371" s="234"/>
      <c r="AB371" s="55">
        <f t="shared" si="286"/>
        <v>18612.11</v>
      </c>
      <c r="AC371" s="234">
        <v>14829.62</v>
      </c>
      <c r="AD371" s="234">
        <v>3782.49</v>
      </c>
      <c r="AE371" s="63">
        <f t="shared" si="283"/>
        <v>930605.9</v>
      </c>
      <c r="AF371" s="55"/>
      <c r="AG371" s="55">
        <f t="shared" si="284"/>
        <v>930605.9</v>
      </c>
      <c r="AH371" s="64" t="s">
        <v>607</v>
      </c>
      <c r="AI371" s="61" t="s">
        <v>1429</v>
      </c>
      <c r="AJ371" s="198">
        <f>93000-10796.98+67413.16+54893.4+46914.21-9130.88+57010.49+154396.23</f>
        <v>453699.63</v>
      </c>
      <c r="AK371" s="198">
        <f>10796.98+10468.44+8946.77+9130.88+29444.13</f>
        <v>68787.199999999997</v>
      </c>
    </row>
    <row r="372" spans="1:37" ht="141.75" x14ac:dyDescent="0.25">
      <c r="A372" s="345" t="s">
        <v>2116</v>
      </c>
      <c r="B372" s="271">
        <v>112733</v>
      </c>
      <c r="C372" s="424">
        <v>146</v>
      </c>
      <c r="D372" s="271" t="s">
        <v>1334</v>
      </c>
      <c r="E372" s="438" t="s">
        <v>161</v>
      </c>
      <c r="F372" s="419" t="s">
        <v>345</v>
      </c>
      <c r="G372" s="141" t="s">
        <v>1023</v>
      </c>
      <c r="H372" s="37" t="s">
        <v>1024</v>
      </c>
      <c r="I372" s="260" t="s">
        <v>1025</v>
      </c>
      <c r="J372" s="108" t="s">
        <v>1026</v>
      </c>
      <c r="K372" s="148">
        <v>43349</v>
      </c>
      <c r="L372" s="15">
        <v>43835</v>
      </c>
      <c r="M372" s="5">
        <f t="shared" si="287"/>
        <v>82.53318349196968</v>
      </c>
      <c r="N372" s="2" t="s">
        <v>347</v>
      </c>
      <c r="O372" s="2" t="s">
        <v>153</v>
      </c>
      <c r="P372" s="2" t="s">
        <v>153</v>
      </c>
      <c r="Q372" s="41" t="s">
        <v>349</v>
      </c>
      <c r="R372" s="2" t="s">
        <v>36</v>
      </c>
      <c r="S372" s="55">
        <f t="shared" si="279"/>
        <v>819750.19</v>
      </c>
      <c r="T372" s="234">
        <v>661057.13</v>
      </c>
      <c r="U372" s="234">
        <v>158693.06</v>
      </c>
      <c r="V372" s="55">
        <f t="shared" si="280"/>
        <v>134642.41999999998</v>
      </c>
      <c r="W372" s="234">
        <v>100473.09</v>
      </c>
      <c r="X372" s="234">
        <v>34169.33</v>
      </c>
      <c r="Y372" s="55">
        <f t="shared" si="285"/>
        <v>21688.010000000002</v>
      </c>
      <c r="Z372" s="234">
        <v>16184.04</v>
      </c>
      <c r="AA372" s="234">
        <v>5503.97</v>
      </c>
      <c r="AB372" s="55">
        <f t="shared" si="286"/>
        <v>17156.47</v>
      </c>
      <c r="AC372" s="234">
        <v>13669.8</v>
      </c>
      <c r="AD372" s="234">
        <v>3486.67</v>
      </c>
      <c r="AE372" s="63">
        <f t="shared" si="283"/>
        <v>993237.08999999985</v>
      </c>
      <c r="AF372" s="55"/>
      <c r="AG372" s="55">
        <f t="shared" si="284"/>
        <v>993237.08999999985</v>
      </c>
      <c r="AH372" s="64" t="s">
        <v>607</v>
      </c>
      <c r="AI372" s="61" t="s">
        <v>372</v>
      </c>
      <c r="AJ372" s="198">
        <f>85782.36-3113.23+78199.1+6754.09+75351.32+67788.76+80934.28</f>
        <v>391696.68000000005</v>
      </c>
      <c r="AK372" s="198">
        <f>12524.47+12068.37+12962.55+11810.14</f>
        <v>49365.53</v>
      </c>
    </row>
    <row r="373" spans="1:37" ht="267.75" x14ac:dyDescent="0.25">
      <c r="A373" s="345" t="s">
        <v>2117</v>
      </c>
      <c r="B373" s="271">
        <v>111432</v>
      </c>
      <c r="C373" s="424">
        <v>277</v>
      </c>
      <c r="D373" s="271" t="s">
        <v>1093</v>
      </c>
      <c r="E373" s="438" t="s">
        <v>161</v>
      </c>
      <c r="F373" s="419" t="s">
        <v>345</v>
      </c>
      <c r="G373" s="87" t="s">
        <v>1028</v>
      </c>
      <c r="H373" s="37" t="s">
        <v>1027</v>
      </c>
      <c r="I373" s="260" t="s">
        <v>1029</v>
      </c>
      <c r="J373" s="23" t="s">
        <v>1030</v>
      </c>
      <c r="K373" s="148">
        <v>43349</v>
      </c>
      <c r="L373" s="15">
        <v>43836</v>
      </c>
      <c r="M373" s="5">
        <f t="shared" si="287"/>
        <v>82.304186591731991</v>
      </c>
      <c r="N373" s="6" t="s">
        <v>347</v>
      </c>
      <c r="O373" s="6" t="s">
        <v>153</v>
      </c>
      <c r="P373" s="6" t="s">
        <v>153</v>
      </c>
      <c r="Q373" s="10" t="s">
        <v>349</v>
      </c>
      <c r="R373" s="2" t="s">
        <v>36</v>
      </c>
      <c r="S373" s="55">
        <f t="shared" si="279"/>
        <v>811369.98</v>
      </c>
      <c r="T373" s="234">
        <v>654299.19999999995</v>
      </c>
      <c r="U373" s="234">
        <v>157070.78</v>
      </c>
      <c r="V373" s="55">
        <f t="shared" si="280"/>
        <v>154732.24</v>
      </c>
      <c r="W373" s="234">
        <v>115464.55</v>
      </c>
      <c r="X373" s="234">
        <v>39267.69</v>
      </c>
      <c r="Y373" s="55">
        <f t="shared" si="285"/>
        <v>0</v>
      </c>
      <c r="Z373" s="234"/>
      <c r="AA373" s="234"/>
      <c r="AB373" s="55">
        <f t="shared" si="286"/>
        <v>19716.38</v>
      </c>
      <c r="AC373" s="234">
        <v>15709.48</v>
      </c>
      <c r="AD373" s="234">
        <v>4006.9</v>
      </c>
      <c r="AE373" s="63">
        <f t="shared" si="283"/>
        <v>985818.6</v>
      </c>
      <c r="AF373" s="55">
        <v>0</v>
      </c>
      <c r="AG373" s="55">
        <f t="shared" si="284"/>
        <v>985818.6</v>
      </c>
      <c r="AH373" s="60" t="s">
        <v>607</v>
      </c>
      <c r="AI373" s="61" t="s">
        <v>1505</v>
      </c>
      <c r="AJ373" s="198">
        <f>98500+28477.95+215174.75+92328.2</f>
        <v>434480.9</v>
      </c>
      <c r="AK373" s="198">
        <f>23037.95+41034.92</f>
        <v>64072.869999999995</v>
      </c>
    </row>
    <row r="374" spans="1:37" ht="346.5" x14ac:dyDescent="0.25">
      <c r="A374" s="345" t="s">
        <v>2118</v>
      </c>
      <c r="B374" s="271">
        <v>112592</v>
      </c>
      <c r="C374" s="420">
        <v>144</v>
      </c>
      <c r="D374" s="271" t="s">
        <v>1093</v>
      </c>
      <c r="E374" s="260" t="s">
        <v>161</v>
      </c>
      <c r="F374" s="419" t="s">
        <v>345</v>
      </c>
      <c r="G374" s="87" t="s">
        <v>1031</v>
      </c>
      <c r="H374" s="37" t="s">
        <v>1032</v>
      </c>
      <c r="I374" s="260" t="s">
        <v>372</v>
      </c>
      <c r="J374" s="108" t="s">
        <v>1033</v>
      </c>
      <c r="K374" s="148">
        <v>43349</v>
      </c>
      <c r="L374" s="15">
        <v>43835</v>
      </c>
      <c r="M374" s="5">
        <f t="shared" si="287"/>
        <v>82.304195666897996</v>
      </c>
      <c r="N374" s="6" t="s">
        <v>347</v>
      </c>
      <c r="O374" s="2" t="s">
        <v>335</v>
      </c>
      <c r="P374" s="2" t="s">
        <v>335</v>
      </c>
      <c r="Q374" s="41" t="s">
        <v>349</v>
      </c>
      <c r="R374" s="131" t="s">
        <v>36</v>
      </c>
      <c r="S374" s="55">
        <f>T374+U374</f>
        <v>809057.98</v>
      </c>
      <c r="T374" s="234">
        <v>652434.75</v>
      </c>
      <c r="U374" s="234">
        <v>156623.23000000001</v>
      </c>
      <c r="V374" s="55">
        <f t="shared" si="280"/>
        <v>154291.24</v>
      </c>
      <c r="W374" s="234">
        <v>115135.49</v>
      </c>
      <c r="X374" s="234">
        <v>39155.75</v>
      </c>
      <c r="Y374" s="55">
        <f t="shared" si="285"/>
        <v>0</v>
      </c>
      <c r="Z374" s="234"/>
      <c r="AA374" s="234"/>
      <c r="AB374" s="55">
        <f t="shared" si="286"/>
        <v>19660.18</v>
      </c>
      <c r="AC374" s="234">
        <v>15664.68</v>
      </c>
      <c r="AD374" s="234">
        <v>3995.5</v>
      </c>
      <c r="AE374" s="63">
        <f t="shared" si="283"/>
        <v>983009.4</v>
      </c>
      <c r="AF374" s="55">
        <v>0</v>
      </c>
      <c r="AG374" s="55">
        <f t="shared" si="284"/>
        <v>983009.4</v>
      </c>
      <c r="AH374" s="64" t="s">
        <v>607</v>
      </c>
      <c r="AI374" s="61" t="s">
        <v>372</v>
      </c>
      <c r="AJ374" s="198">
        <f>98300-13757.23+85896.02+92995.51+98300</f>
        <v>361734.3</v>
      </c>
      <c r="AK374" s="198">
        <f>13757.23+36481</f>
        <v>50238.229999999996</v>
      </c>
    </row>
    <row r="375" spans="1:37" ht="409.5" x14ac:dyDescent="0.25">
      <c r="A375" s="345" t="s">
        <v>2119</v>
      </c>
      <c r="B375" s="271">
        <v>111141</v>
      </c>
      <c r="C375" s="420">
        <v>312</v>
      </c>
      <c r="D375" s="271" t="s">
        <v>164</v>
      </c>
      <c r="E375" s="260" t="s">
        <v>161</v>
      </c>
      <c r="F375" s="419" t="s">
        <v>345</v>
      </c>
      <c r="G375" s="87" t="s">
        <v>1041</v>
      </c>
      <c r="H375" s="37" t="s">
        <v>1042</v>
      </c>
      <c r="I375" s="260" t="s">
        <v>1043</v>
      </c>
      <c r="J375" s="108" t="s">
        <v>1044</v>
      </c>
      <c r="K375" s="148">
        <v>43349</v>
      </c>
      <c r="L375" s="15">
        <v>43835</v>
      </c>
      <c r="M375" s="5">
        <f t="shared" si="287"/>
        <v>82.850667341734948</v>
      </c>
      <c r="N375" s="6" t="s">
        <v>347</v>
      </c>
      <c r="O375" s="2" t="s">
        <v>335</v>
      </c>
      <c r="P375" s="2" t="s">
        <v>335</v>
      </c>
      <c r="Q375" s="41" t="s">
        <v>349</v>
      </c>
      <c r="R375" s="131" t="s">
        <v>36</v>
      </c>
      <c r="S375" s="55">
        <f t="shared" si="279"/>
        <v>826770.14</v>
      </c>
      <c r="T375" s="234">
        <v>666718.05000000005</v>
      </c>
      <c r="U375" s="234">
        <v>160052.09</v>
      </c>
      <c r="V375" s="55">
        <f t="shared" si="280"/>
        <v>151175.81</v>
      </c>
      <c r="W375" s="234">
        <v>112482.44</v>
      </c>
      <c r="X375" s="234">
        <v>38693.370000000003</v>
      </c>
      <c r="Y375" s="55">
        <f t="shared" si="285"/>
        <v>0</v>
      </c>
      <c r="Z375" s="234"/>
      <c r="AA375" s="234"/>
      <c r="AB375" s="55">
        <f t="shared" si="286"/>
        <v>19958.07</v>
      </c>
      <c r="AC375" s="234">
        <v>15902.06</v>
      </c>
      <c r="AD375" s="234">
        <v>4056.01</v>
      </c>
      <c r="AE375" s="63">
        <f t="shared" si="283"/>
        <v>997904.0199999999</v>
      </c>
      <c r="AF375" s="55">
        <v>0</v>
      </c>
      <c r="AG375" s="55">
        <f t="shared" si="284"/>
        <v>997904.0199999999</v>
      </c>
      <c r="AH375" s="64" t="s">
        <v>607</v>
      </c>
      <c r="AI375" s="61"/>
      <c r="AJ375" s="198">
        <f>99790.4-11343.79+72694.94+14258.38+9077.47+175834.51-9712.84+60644.24+121220.64</f>
        <v>532463.94999999995</v>
      </c>
      <c r="AK375" s="198">
        <f>11343.79+2719.14+19935.24+14501.99+9712.84+39877.8</f>
        <v>98090.8</v>
      </c>
    </row>
    <row r="376" spans="1:37" ht="393.75" x14ac:dyDescent="0.25">
      <c r="A376" s="345" t="s">
        <v>2120</v>
      </c>
      <c r="B376" s="271">
        <v>110676</v>
      </c>
      <c r="C376" s="424">
        <v>129</v>
      </c>
      <c r="D376" s="271" t="s">
        <v>1093</v>
      </c>
      <c r="E376" s="260" t="s">
        <v>161</v>
      </c>
      <c r="F376" s="419" t="s">
        <v>345</v>
      </c>
      <c r="G376" s="37" t="s">
        <v>1045</v>
      </c>
      <c r="H376" s="37" t="s">
        <v>1046</v>
      </c>
      <c r="I376" s="260"/>
      <c r="J376" s="108" t="s">
        <v>1047</v>
      </c>
      <c r="K376" s="148">
        <v>43350</v>
      </c>
      <c r="L376" s="15">
        <v>43714</v>
      </c>
      <c r="M376" s="5">
        <f t="shared" si="287"/>
        <v>82.304181371109394</v>
      </c>
      <c r="N376" s="6" t="s">
        <v>347</v>
      </c>
      <c r="O376" s="2" t="s">
        <v>335</v>
      </c>
      <c r="P376" s="2" t="s">
        <v>335</v>
      </c>
      <c r="Q376" s="41" t="s">
        <v>349</v>
      </c>
      <c r="R376" s="131" t="s">
        <v>36</v>
      </c>
      <c r="S376" s="55">
        <f t="shared" si="279"/>
        <v>815129.60000000009</v>
      </c>
      <c r="T376" s="234">
        <v>657331.03</v>
      </c>
      <c r="U376" s="234">
        <v>157798.57</v>
      </c>
      <c r="V376" s="55">
        <f t="shared" si="280"/>
        <v>155449.32</v>
      </c>
      <c r="W376" s="234">
        <v>115999.63</v>
      </c>
      <c r="X376" s="234">
        <v>39449.69</v>
      </c>
      <c r="Y376" s="55">
        <f t="shared" si="285"/>
        <v>0</v>
      </c>
      <c r="Z376" s="234"/>
      <c r="AA376" s="234"/>
      <c r="AB376" s="55">
        <f t="shared" si="286"/>
        <v>19807.7</v>
      </c>
      <c r="AC376" s="234">
        <v>15782.23</v>
      </c>
      <c r="AD376" s="234">
        <v>4025.47</v>
      </c>
      <c r="AE376" s="63">
        <f t="shared" si="283"/>
        <v>990386.62000000011</v>
      </c>
      <c r="AF376" s="55">
        <v>0</v>
      </c>
      <c r="AG376" s="55">
        <f t="shared" si="284"/>
        <v>990386.62000000011</v>
      </c>
      <c r="AH376" s="64" t="s">
        <v>607</v>
      </c>
      <c r="AI376" s="61" t="s">
        <v>1276</v>
      </c>
      <c r="AJ376" s="198">
        <f>97000+74075.05+62367.67+44580.06+31686.87+94967.28+69711.79+88493.46-13474.46+84073.49+44246.73</f>
        <v>677727.94</v>
      </c>
      <c r="AK376" s="198">
        <f>14126.47+15038.55+8501.64+20997.93+13294.37+16876.14+13474.46+8438.07</f>
        <v>110747.63</v>
      </c>
    </row>
    <row r="377" spans="1:37" ht="189" x14ac:dyDescent="0.25">
      <c r="A377" s="345" t="s">
        <v>2121</v>
      </c>
      <c r="B377" s="271">
        <v>111475</v>
      </c>
      <c r="C377" s="424">
        <v>168</v>
      </c>
      <c r="D377" s="271" t="s">
        <v>1093</v>
      </c>
      <c r="E377" s="260" t="s">
        <v>161</v>
      </c>
      <c r="F377" s="419" t="s">
        <v>345</v>
      </c>
      <c r="G377" s="87" t="s">
        <v>1056</v>
      </c>
      <c r="H377" s="37" t="s">
        <v>1057</v>
      </c>
      <c r="I377" s="260"/>
      <c r="J377" s="108" t="s">
        <v>1058</v>
      </c>
      <c r="K377" s="148">
        <v>43353</v>
      </c>
      <c r="L377" s="15">
        <v>43839</v>
      </c>
      <c r="M377" s="5">
        <f t="shared" si="287"/>
        <v>82.304180618407059</v>
      </c>
      <c r="N377" s="6" t="s">
        <v>347</v>
      </c>
      <c r="O377" s="2" t="s">
        <v>335</v>
      </c>
      <c r="P377" s="2" t="s">
        <v>335</v>
      </c>
      <c r="Q377" s="41" t="s">
        <v>349</v>
      </c>
      <c r="R377" s="131" t="s">
        <v>36</v>
      </c>
      <c r="S377" s="55">
        <f>T377+U377</f>
        <v>791535.7</v>
      </c>
      <c r="T377" s="234">
        <v>638304.56999999995</v>
      </c>
      <c r="U377" s="234">
        <v>153231.13</v>
      </c>
      <c r="V377" s="55">
        <f t="shared" si="280"/>
        <v>150949.82</v>
      </c>
      <c r="W377" s="234">
        <v>112642</v>
      </c>
      <c r="X377" s="234">
        <v>38307.82</v>
      </c>
      <c r="Y377" s="55">
        <f t="shared" si="285"/>
        <v>0</v>
      </c>
      <c r="Z377" s="234"/>
      <c r="AA377" s="234"/>
      <c r="AB377" s="55">
        <f t="shared" si="286"/>
        <v>19234.400000000001</v>
      </c>
      <c r="AC377" s="234">
        <v>15325.48</v>
      </c>
      <c r="AD377" s="234">
        <v>3908.92</v>
      </c>
      <c r="AE377" s="63">
        <f t="shared" si="283"/>
        <v>961719.92</v>
      </c>
      <c r="AF377" s="55">
        <v>0</v>
      </c>
      <c r="AG377" s="55">
        <f t="shared" si="284"/>
        <v>961719.92</v>
      </c>
      <c r="AH377" s="64" t="s">
        <v>607</v>
      </c>
      <c r="AI377" s="61"/>
      <c r="AJ377" s="198">
        <f>96171.99-8232+51398.18</f>
        <v>139338.17000000001</v>
      </c>
      <c r="AK377" s="198">
        <v>8232</v>
      </c>
    </row>
    <row r="378" spans="1:37" ht="210" x14ac:dyDescent="0.25">
      <c r="A378" s="345" t="s">
        <v>2122</v>
      </c>
      <c r="B378" s="444">
        <v>118813</v>
      </c>
      <c r="C378" s="445">
        <v>449</v>
      </c>
      <c r="D378" s="235" t="s">
        <v>164</v>
      </c>
      <c r="E378" s="260" t="s">
        <v>1102</v>
      </c>
      <c r="F378" s="426" t="s">
        <v>652</v>
      </c>
      <c r="G378" s="82" t="s">
        <v>1051</v>
      </c>
      <c r="H378" s="82" t="s">
        <v>1052</v>
      </c>
      <c r="I378" s="444" t="s">
        <v>1053</v>
      </c>
      <c r="J378" s="144" t="s">
        <v>1055</v>
      </c>
      <c r="K378" s="151">
        <v>43350</v>
      </c>
      <c r="L378" s="15">
        <v>43896</v>
      </c>
      <c r="M378" s="5">
        <f t="shared" si="287"/>
        <v>83.983864104012326</v>
      </c>
      <c r="N378" s="6" t="s">
        <v>347</v>
      </c>
      <c r="O378" s="2" t="s">
        <v>335</v>
      </c>
      <c r="P378" s="2" t="s">
        <v>335</v>
      </c>
      <c r="Q378" s="41" t="s">
        <v>154</v>
      </c>
      <c r="R378" s="131" t="s">
        <v>36</v>
      </c>
      <c r="S378" s="55">
        <f>T378+U378</f>
        <v>4865899.0599999996</v>
      </c>
      <c r="T378" s="234">
        <v>3923923.61</v>
      </c>
      <c r="U378" s="234">
        <v>941975.45</v>
      </c>
      <c r="V378" s="55">
        <f t="shared" si="280"/>
        <v>0</v>
      </c>
      <c r="W378" s="234">
        <v>0</v>
      </c>
      <c r="X378" s="234">
        <v>0</v>
      </c>
      <c r="Y378" s="55">
        <f t="shared" si="285"/>
        <v>927950.87999999989</v>
      </c>
      <c r="Z378" s="234">
        <v>692457.08</v>
      </c>
      <c r="AA378" s="234">
        <v>235493.8</v>
      </c>
      <c r="AB378" s="55">
        <f t="shared" si="286"/>
        <v>0</v>
      </c>
      <c r="AC378" s="234"/>
      <c r="AD378" s="234"/>
      <c r="AE378" s="63">
        <f t="shared" si="283"/>
        <v>5793849.9399999995</v>
      </c>
      <c r="AF378" s="55">
        <v>0</v>
      </c>
      <c r="AG378" s="55">
        <f>AE378+AF378</f>
        <v>5793849.9399999995</v>
      </c>
      <c r="AH378" s="64" t="s">
        <v>607</v>
      </c>
      <c r="AI378" s="61" t="s">
        <v>1457</v>
      </c>
      <c r="AJ378" s="62">
        <v>15282.4</v>
      </c>
      <c r="AK378" s="62">
        <v>0</v>
      </c>
    </row>
    <row r="379" spans="1:37" ht="120" x14ac:dyDescent="0.25">
      <c r="A379" s="345" t="s">
        <v>2123</v>
      </c>
      <c r="B379" s="271">
        <v>110215</v>
      </c>
      <c r="C379" s="424">
        <v>139</v>
      </c>
      <c r="D379" s="271" t="s">
        <v>166</v>
      </c>
      <c r="E379" s="260" t="s">
        <v>161</v>
      </c>
      <c r="F379" s="419" t="s">
        <v>345</v>
      </c>
      <c r="G379" s="82" t="s">
        <v>1062</v>
      </c>
      <c r="H379" s="82" t="s">
        <v>1063</v>
      </c>
      <c r="I379" s="260" t="s">
        <v>372</v>
      </c>
      <c r="J379" s="108" t="s">
        <v>1064</v>
      </c>
      <c r="K379" s="148">
        <v>43357</v>
      </c>
      <c r="L379" s="15">
        <v>43844</v>
      </c>
      <c r="M379" s="5">
        <f t="shared" si="287"/>
        <v>82.304183894733001</v>
      </c>
      <c r="N379" s="6" t="s">
        <v>347</v>
      </c>
      <c r="O379" s="2" t="s">
        <v>1065</v>
      </c>
      <c r="P379" s="2" t="s">
        <v>1065</v>
      </c>
      <c r="Q379" s="41" t="s">
        <v>349</v>
      </c>
      <c r="R379" s="131" t="s">
        <v>36</v>
      </c>
      <c r="S379" s="55">
        <f t="shared" si="279"/>
        <v>799287.37</v>
      </c>
      <c r="T379" s="234">
        <v>644555.61</v>
      </c>
      <c r="U379" s="234">
        <v>154731.76</v>
      </c>
      <c r="V379" s="55">
        <f t="shared" si="280"/>
        <v>152428.06</v>
      </c>
      <c r="W379" s="234">
        <v>113745.12</v>
      </c>
      <c r="X379" s="234">
        <v>38682.94</v>
      </c>
      <c r="Y379" s="55">
        <f>Z379+AA379</f>
        <v>0</v>
      </c>
      <c r="Z379" s="234"/>
      <c r="AA379" s="234"/>
      <c r="AB379" s="55">
        <f>AC379+AD379</f>
        <v>19422.77</v>
      </c>
      <c r="AC379" s="234">
        <v>15475.55</v>
      </c>
      <c r="AD379" s="234">
        <v>3947.22</v>
      </c>
      <c r="AE379" s="63">
        <f t="shared" si="283"/>
        <v>971138.2</v>
      </c>
      <c r="AF379" s="55">
        <v>0</v>
      </c>
      <c r="AG379" s="55">
        <f t="shared" si="284"/>
        <v>971138.2</v>
      </c>
      <c r="AH379" s="64" t="s">
        <v>607</v>
      </c>
      <c r="AI379" s="61" t="s">
        <v>1612</v>
      </c>
      <c r="AJ379" s="198">
        <f>97000-12225.11+76329.94+54447.72+71579.61+92674.11+104473.49</f>
        <v>484279.76</v>
      </c>
      <c r="AK379" s="198">
        <f>12225.11+10383.44+13650.58+17673.4+19923.6</f>
        <v>73856.13</v>
      </c>
    </row>
    <row r="380" spans="1:37" ht="204.75" x14ac:dyDescent="0.25">
      <c r="A380" s="345" t="s">
        <v>2124</v>
      </c>
      <c r="B380" s="271">
        <v>112820</v>
      </c>
      <c r="C380" s="424">
        <v>158</v>
      </c>
      <c r="D380" s="271" t="s">
        <v>1093</v>
      </c>
      <c r="E380" s="260" t="s">
        <v>161</v>
      </c>
      <c r="F380" s="419" t="s">
        <v>345</v>
      </c>
      <c r="G380" s="82" t="s">
        <v>1066</v>
      </c>
      <c r="H380" s="82" t="s">
        <v>1067</v>
      </c>
      <c r="I380" s="260" t="s">
        <v>372</v>
      </c>
      <c r="J380" s="237" t="s">
        <v>1068</v>
      </c>
      <c r="K380" s="236">
        <v>43361</v>
      </c>
      <c r="L380" s="238">
        <v>43847</v>
      </c>
      <c r="M380" s="5">
        <f t="shared" si="287"/>
        <v>82.304187792803134</v>
      </c>
      <c r="N380" s="235" t="s">
        <v>347</v>
      </c>
      <c r="O380" s="235" t="s">
        <v>253</v>
      </c>
      <c r="P380" s="235" t="s">
        <v>1069</v>
      </c>
      <c r="Q380" s="239" t="s">
        <v>349</v>
      </c>
      <c r="R380" s="240" t="s">
        <v>36</v>
      </c>
      <c r="S380" s="234">
        <f t="shared" si="279"/>
        <v>812316.49</v>
      </c>
      <c r="T380" s="234">
        <v>655062.44999999995</v>
      </c>
      <c r="U380" s="234">
        <v>157254.04</v>
      </c>
      <c r="V380" s="234">
        <f t="shared" si="280"/>
        <v>154912.73000000001</v>
      </c>
      <c r="W380" s="234">
        <v>115599.25</v>
      </c>
      <c r="X380" s="234">
        <v>39313.480000000003</v>
      </c>
      <c r="Y380" s="55">
        <f t="shared" si="285"/>
        <v>0</v>
      </c>
      <c r="Z380" s="234"/>
      <c r="AA380" s="234"/>
      <c r="AB380" s="234">
        <f t="shared" si="286"/>
        <v>19739.38</v>
      </c>
      <c r="AC380" s="234">
        <v>15727.81</v>
      </c>
      <c r="AD380" s="234">
        <v>4011.57</v>
      </c>
      <c r="AE380" s="63">
        <f t="shared" si="283"/>
        <v>986968.6</v>
      </c>
      <c r="AF380" s="55"/>
      <c r="AG380" s="55">
        <f t="shared" si="284"/>
        <v>986968.6</v>
      </c>
      <c r="AH380" s="64" t="s">
        <v>607</v>
      </c>
      <c r="AI380" s="61"/>
      <c r="AJ380" s="198">
        <f>98696.6-13570.14+70361.48+98696.6+83943.32</f>
        <v>338127.86</v>
      </c>
      <c r="AK380" s="198">
        <f>13570.14+16082.18+1255.12+14753.28</f>
        <v>45660.72</v>
      </c>
    </row>
    <row r="381" spans="1:37" ht="267.75" x14ac:dyDescent="0.25">
      <c r="A381" s="345" t="s">
        <v>2125</v>
      </c>
      <c r="B381" s="271">
        <v>111916</v>
      </c>
      <c r="C381" s="424">
        <v>145</v>
      </c>
      <c r="D381" s="271" t="s">
        <v>1093</v>
      </c>
      <c r="E381" s="260" t="s">
        <v>161</v>
      </c>
      <c r="F381" s="419" t="s">
        <v>345</v>
      </c>
      <c r="G381" s="82" t="s">
        <v>1070</v>
      </c>
      <c r="H381" s="82" t="s">
        <v>1071</v>
      </c>
      <c r="I381" s="260" t="s">
        <v>372</v>
      </c>
      <c r="J381" s="108" t="s">
        <v>1072</v>
      </c>
      <c r="K381" s="148">
        <v>43361</v>
      </c>
      <c r="L381" s="15">
        <v>43847</v>
      </c>
      <c r="M381" s="5">
        <f t="shared" si="287"/>
        <v>82.304185955094169</v>
      </c>
      <c r="N381" s="6" t="s">
        <v>347</v>
      </c>
      <c r="O381" s="2" t="s">
        <v>964</v>
      </c>
      <c r="P381" s="2" t="s">
        <v>964</v>
      </c>
      <c r="Q381" s="41" t="s">
        <v>349</v>
      </c>
      <c r="R381" s="131" t="s">
        <v>36</v>
      </c>
      <c r="S381" s="55">
        <f t="shared" si="279"/>
        <v>810699.03</v>
      </c>
      <c r="T381" s="234">
        <v>653758.11</v>
      </c>
      <c r="U381" s="234">
        <v>156940.92000000001</v>
      </c>
      <c r="V381" s="55">
        <f t="shared" si="280"/>
        <v>154604.29</v>
      </c>
      <c r="W381" s="234">
        <v>115369.07</v>
      </c>
      <c r="X381" s="234">
        <v>39235.22</v>
      </c>
      <c r="Y381" s="55">
        <f t="shared" si="285"/>
        <v>0</v>
      </c>
      <c r="Z381" s="234"/>
      <c r="AA381" s="234"/>
      <c r="AB381" s="55">
        <f t="shared" si="286"/>
        <v>19700.080000000002</v>
      </c>
      <c r="AC381" s="234">
        <v>15696.51</v>
      </c>
      <c r="AD381" s="234">
        <v>4003.57</v>
      </c>
      <c r="AE381" s="63">
        <f t="shared" si="283"/>
        <v>985003.4</v>
      </c>
      <c r="AF381" s="55"/>
      <c r="AG381" s="55">
        <f t="shared" si="284"/>
        <v>985003.4</v>
      </c>
      <c r="AH381" s="64" t="s">
        <v>607</v>
      </c>
      <c r="AI381" s="61"/>
      <c r="AJ381" s="198">
        <f>98000+15936.3+98000+14229.11+98000+184958.55</f>
        <v>509123.95999999996</v>
      </c>
      <c r="AK381" s="198">
        <f>21728.22+21402.65+35272.51</f>
        <v>78403.38</v>
      </c>
    </row>
    <row r="382" spans="1:37" ht="173.25" x14ac:dyDescent="0.25">
      <c r="A382" s="345" t="s">
        <v>2126</v>
      </c>
      <c r="B382" s="271"/>
      <c r="C382" s="424">
        <v>392</v>
      </c>
      <c r="D382" s="271" t="s">
        <v>164</v>
      </c>
      <c r="E382" s="260" t="s">
        <v>161</v>
      </c>
      <c r="F382" s="419" t="s">
        <v>468</v>
      </c>
      <c r="G382" s="127" t="s">
        <v>1073</v>
      </c>
      <c r="H382" s="128" t="s">
        <v>1074</v>
      </c>
      <c r="I382" s="260" t="s">
        <v>1075</v>
      </c>
      <c r="J382" s="11" t="s">
        <v>1076</v>
      </c>
      <c r="K382" s="148">
        <v>43356</v>
      </c>
      <c r="L382" s="15">
        <v>44012</v>
      </c>
      <c r="M382" s="5">
        <f t="shared" si="287"/>
        <v>83.98386240618575</v>
      </c>
      <c r="N382" s="2" t="s">
        <v>347</v>
      </c>
      <c r="O382" s="2" t="s">
        <v>335</v>
      </c>
      <c r="P382" s="2" t="s">
        <v>335</v>
      </c>
      <c r="Q382" s="41" t="s">
        <v>154</v>
      </c>
      <c r="R382" s="2" t="s">
        <v>36</v>
      </c>
      <c r="S382" s="55">
        <f>T382+U382</f>
        <v>2443303.91</v>
      </c>
      <c r="T382" s="234">
        <v>1970311.71</v>
      </c>
      <c r="U382" s="234">
        <v>472992.2</v>
      </c>
      <c r="V382" s="55">
        <f t="shared" si="280"/>
        <v>0</v>
      </c>
      <c r="W382" s="234">
        <v>0</v>
      </c>
      <c r="X382" s="234">
        <v>0</v>
      </c>
      <c r="Y382" s="55">
        <f>Z382+AA382</f>
        <v>465950.13</v>
      </c>
      <c r="Z382" s="234">
        <v>347702.1</v>
      </c>
      <c r="AA382" s="234">
        <v>118248.03</v>
      </c>
      <c r="AB382" s="55">
        <f t="shared" si="286"/>
        <v>0</v>
      </c>
      <c r="AC382" s="234">
        <v>0</v>
      </c>
      <c r="AD382" s="234">
        <v>0</v>
      </c>
      <c r="AE382" s="63">
        <f t="shared" si="283"/>
        <v>2909254.04</v>
      </c>
      <c r="AF382" s="55"/>
      <c r="AG382" s="55">
        <f t="shared" si="284"/>
        <v>2909254.04</v>
      </c>
      <c r="AH382" s="64" t="s">
        <v>607</v>
      </c>
      <c r="AI382" s="61"/>
      <c r="AJ382" s="62">
        <f>23394.54+31870.76</f>
        <v>55265.3</v>
      </c>
      <c r="AK382" s="62">
        <v>0</v>
      </c>
    </row>
    <row r="383" spans="1:37" ht="141.75" x14ac:dyDescent="0.25">
      <c r="A383" s="345" t="s">
        <v>2127</v>
      </c>
      <c r="B383" s="271">
        <v>109770</v>
      </c>
      <c r="C383" s="424">
        <v>300</v>
      </c>
      <c r="D383" s="271" t="s">
        <v>1334</v>
      </c>
      <c r="E383" s="260" t="s">
        <v>161</v>
      </c>
      <c r="F383" s="419" t="s">
        <v>345</v>
      </c>
      <c r="G383" s="127" t="s">
        <v>1077</v>
      </c>
      <c r="H383" s="37" t="s">
        <v>1078</v>
      </c>
      <c r="I383" s="260" t="s">
        <v>372</v>
      </c>
      <c r="J383" s="108" t="s">
        <v>1079</v>
      </c>
      <c r="K383" s="148">
        <v>43362</v>
      </c>
      <c r="L383" s="15">
        <v>43848</v>
      </c>
      <c r="M383" s="5">
        <f t="shared" si="287"/>
        <v>82.304184197970017</v>
      </c>
      <c r="N383" s="2" t="s">
        <v>347</v>
      </c>
      <c r="O383" s="2" t="s">
        <v>335</v>
      </c>
      <c r="P383" s="2" t="s">
        <v>335</v>
      </c>
      <c r="Q383" s="41" t="s">
        <v>349</v>
      </c>
      <c r="R383" s="2" t="s">
        <v>36</v>
      </c>
      <c r="S383" s="55">
        <f t="shared" si="279"/>
        <v>786369.83000000007</v>
      </c>
      <c r="T383" s="234">
        <v>634138.80000000005</v>
      </c>
      <c r="U383" s="234">
        <v>152231.03</v>
      </c>
      <c r="V383" s="55">
        <f t="shared" si="280"/>
        <v>149964.62</v>
      </c>
      <c r="W383" s="234">
        <v>111906.86</v>
      </c>
      <c r="X383" s="234">
        <v>38057.760000000002</v>
      </c>
      <c r="Y383" s="55">
        <f t="shared" si="285"/>
        <v>0</v>
      </c>
      <c r="Z383" s="234"/>
      <c r="AA383" s="234"/>
      <c r="AB383" s="55">
        <f t="shared" si="286"/>
        <v>19108.870000000003</v>
      </c>
      <c r="AC383" s="234">
        <v>15225.37</v>
      </c>
      <c r="AD383" s="234">
        <v>3883.5</v>
      </c>
      <c r="AE383" s="63">
        <f t="shared" si="283"/>
        <v>955443.32000000007</v>
      </c>
      <c r="AF383" s="55"/>
      <c r="AG383" s="55">
        <f t="shared" si="284"/>
        <v>955443.32000000007</v>
      </c>
      <c r="AH383" s="64" t="s">
        <v>607</v>
      </c>
      <c r="AI383" s="61"/>
      <c r="AJ383" s="198">
        <f>95544.32-8902.54+79756.49+100684.35-11646.04+72714.4+13739.52+104130.42</f>
        <v>446020.92</v>
      </c>
      <c r="AK383" s="198">
        <f>13512.19+19201.01+11646.04+10486.67+21444.53</f>
        <v>76290.44</v>
      </c>
    </row>
    <row r="384" spans="1:37" ht="141.75" x14ac:dyDescent="0.25">
      <c r="A384" s="345" t="s">
        <v>2128</v>
      </c>
      <c r="B384" s="271">
        <v>112155</v>
      </c>
      <c r="C384" s="424">
        <v>224</v>
      </c>
      <c r="D384" s="271" t="s">
        <v>168</v>
      </c>
      <c r="E384" s="260" t="s">
        <v>161</v>
      </c>
      <c r="F384" s="419" t="s">
        <v>345</v>
      </c>
      <c r="G384" s="127" t="s">
        <v>1080</v>
      </c>
      <c r="H384" s="37" t="s">
        <v>1081</v>
      </c>
      <c r="I384" s="260" t="s">
        <v>1082</v>
      </c>
      <c r="J384" s="108" t="s">
        <v>1083</v>
      </c>
      <c r="K384" s="148">
        <v>43362</v>
      </c>
      <c r="L384" s="15">
        <v>43848</v>
      </c>
      <c r="M384" s="5">
        <f t="shared" si="287"/>
        <v>82.838169366221436</v>
      </c>
      <c r="N384" s="2" t="s">
        <v>347</v>
      </c>
      <c r="O384" s="2" t="s">
        <v>964</v>
      </c>
      <c r="P384" s="2" t="s">
        <v>964</v>
      </c>
      <c r="Q384" s="41" t="s">
        <v>349</v>
      </c>
      <c r="R384" s="2" t="s">
        <v>36</v>
      </c>
      <c r="S384" s="55">
        <f t="shared" si="279"/>
        <v>821979.66999999993</v>
      </c>
      <c r="T384" s="234">
        <v>662854.99</v>
      </c>
      <c r="U384" s="234">
        <v>159124.68</v>
      </c>
      <c r="V384" s="55">
        <f t="shared" si="280"/>
        <v>150446.51999999999</v>
      </c>
      <c r="W384" s="234">
        <v>111947.54</v>
      </c>
      <c r="X384" s="234">
        <v>38498.980000000003</v>
      </c>
      <c r="Y384" s="55">
        <f t="shared" si="285"/>
        <v>6308.99</v>
      </c>
      <c r="Z384" s="234">
        <v>5026.83</v>
      </c>
      <c r="AA384" s="234">
        <v>1282.1600000000001</v>
      </c>
      <c r="AB384" s="55">
        <f t="shared" si="286"/>
        <v>13536.47</v>
      </c>
      <c r="AC384" s="234">
        <v>10785.47</v>
      </c>
      <c r="AD384" s="234">
        <v>2751</v>
      </c>
      <c r="AE384" s="63">
        <f t="shared" si="283"/>
        <v>992271.64999999991</v>
      </c>
      <c r="AF384" s="55"/>
      <c r="AG384" s="55">
        <f t="shared" si="284"/>
        <v>992271.64999999991</v>
      </c>
      <c r="AH384" s="64" t="s">
        <v>607</v>
      </c>
      <c r="AI384" s="61"/>
      <c r="AJ384" s="198">
        <f>99227.15-8607.73-3982.27+81587.9+87682.96</f>
        <v>255908.01</v>
      </c>
      <c r="AK384" s="198">
        <f>8607.73+3982.27+16721.58</f>
        <v>29311.58</v>
      </c>
    </row>
    <row r="385" spans="1:37" ht="267.75" x14ac:dyDescent="0.25">
      <c r="A385" s="345" t="s">
        <v>2129</v>
      </c>
      <c r="B385" s="271">
        <v>111612</v>
      </c>
      <c r="C385" s="424">
        <v>153</v>
      </c>
      <c r="D385" s="271" t="s">
        <v>1093</v>
      </c>
      <c r="E385" s="260" t="s">
        <v>161</v>
      </c>
      <c r="F385" s="419" t="s">
        <v>345</v>
      </c>
      <c r="G385" s="37" t="s">
        <v>1088</v>
      </c>
      <c r="H385" s="37" t="s">
        <v>1089</v>
      </c>
      <c r="I385" s="260" t="s">
        <v>1090</v>
      </c>
      <c r="J385" s="108" t="s">
        <v>1091</v>
      </c>
      <c r="K385" s="148">
        <v>43371</v>
      </c>
      <c r="L385" s="15">
        <v>43796</v>
      </c>
      <c r="M385" s="5">
        <f t="shared" si="287"/>
        <v>82.304183068176116</v>
      </c>
      <c r="N385" s="2" t="s">
        <v>347</v>
      </c>
      <c r="O385" s="2" t="s">
        <v>335</v>
      </c>
      <c r="P385" s="2" t="s">
        <v>335</v>
      </c>
      <c r="Q385" s="41" t="s">
        <v>349</v>
      </c>
      <c r="R385" s="2" t="s">
        <v>36</v>
      </c>
      <c r="S385" s="55">
        <f t="shared" ref="S385:S399" si="294">T385+U385</f>
        <v>719578.88</v>
      </c>
      <c r="T385" s="234">
        <v>580277.67000000004</v>
      </c>
      <c r="U385" s="234">
        <v>139301.21</v>
      </c>
      <c r="V385" s="55">
        <f t="shared" ref="V385:V399" si="295">W385+X385</f>
        <v>137227.27000000002</v>
      </c>
      <c r="W385" s="234">
        <v>102401.97</v>
      </c>
      <c r="X385" s="234">
        <v>34825.300000000003</v>
      </c>
      <c r="Y385" s="55">
        <f t="shared" ref="Y385:Y399" si="296">Z385+AA385</f>
        <v>0</v>
      </c>
      <c r="Z385" s="234">
        <v>0</v>
      </c>
      <c r="AA385" s="234">
        <v>0</v>
      </c>
      <c r="AB385" s="55">
        <f t="shared" ref="AB385:AB399" si="297">AC385+AD385</f>
        <v>17485.84</v>
      </c>
      <c r="AC385" s="234">
        <v>13932.24</v>
      </c>
      <c r="AD385" s="234">
        <v>3553.6</v>
      </c>
      <c r="AE385" s="63">
        <f t="shared" ref="AE385:AE399" si="298">S385+V385+Y385+AB385</f>
        <v>874291.99</v>
      </c>
      <c r="AF385" s="55"/>
      <c r="AG385" s="55">
        <f t="shared" ref="AG385:AG399" si="299">AE385+AF385</f>
        <v>874291.99</v>
      </c>
      <c r="AH385" s="64" t="s">
        <v>607</v>
      </c>
      <c r="AI385" s="61"/>
      <c r="AJ385" s="198">
        <f>87429.19-11092.62+65731.05+20127.08+100364.28</f>
        <v>262558.98</v>
      </c>
      <c r="AK385" s="198">
        <f>11092.62+3838.33+18467.14</f>
        <v>33398.089999999997</v>
      </c>
    </row>
    <row r="386" spans="1:37" ht="393.75" x14ac:dyDescent="0.25">
      <c r="A386" s="345" t="s">
        <v>2130</v>
      </c>
      <c r="B386" s="271">
        <v>110058</v>
      </c>
      <c r="C386" s="424">
        <v>302</v>
      </c>
      <c r="D386" s="271" t="s">
        <v>1093</v>
      </c>
      <c r="E386" s="260" t="s">
        <v>161</v>
      </c>
      <c r="F386" s="419" t="s">
        <v>345</v>
      </c>
      <c r="G386" s="127" t="s">
        <v>1094</v>
      </c>
      <c r="H386" s="37" t="s">
        <v>1095</v>
      </c>
      <c r="I386" s="260" t="s">
        <v>1096</v>
      </c>
      <c r="J386" s="23" t="s">
        <v>1097</v>
      </c>
      <c r="K386" s="148">
        <v>43370</v>
      </c>
      <c r="L386" s="15">
        <v>43857</v>
      </c>
      <c r="M386" s="5">
        <f t="shared" si="287"/>
        <v>82.767157561916832</v>
      </c>
      <c r="N386" s="2" t="s">
        <v>347</v>
      </c>
      <c r="O386" s="2" t="s">
        <v>335</v>
      </c>
      <c r="P386" s="2" t="s">
        <v>335</v>
      </c>
      <c r="Q386" s="41" t="s">
        <v>349</v>
      </c>
      <c r="R386" s="2" t="s">
        <v>36</v>
      </c>
      <c r="S386" s="55">
        <f t="shared" si="294"/>
        <v>803873.75</v>
      </c>
      <c r="T386" s="234">
        <v>648254.14</v>
      </c>
      <c r="U386" s="234">
        <v>155619.60999999999</v>
      </c>
      <c r="V386" s="55">
        <f t="shared" si="295"/>
        <v>147948.57</v>
      </c>
      <c r="W386" s="234">
        <v>110131.78</v>
      </c>
      <c r="X386" s="234">
        <v>37816.79</v>
      </c>
      <c r="Y386" s="55">
        <f t="shared" si="296"/>
        <v>0</v>
      </c>
      <c r="Z386" s="234"/>
      <c r="AA386" s="234"/>
      <c r="AB386" s="55">
        <f t="shared" si="297"/>
        <v>19424.939999999999</v>
      </c>
      <c r="AC386" s="234">
        <v>15477.26</v>
      </c>
      <c r="AD386" s="234">
        <v>3947.68</v>
      </c>
      <c r="AE386" s="63">
        <f t="shared" si="298"/>
        <v>971247.26</v>
      </c>
      <c r="AF386" s="95"/>
      <c r="AG386" s="55">
        <f t="shared" si="299"/>
        <v>971247.26</v>
      </c>
      <c r="AH386" s="64" t="s">
        <v>607</v>
      </c>
      <c r="AI386" s="61"/>
      <c r="AJ386" s="198">
        <f>97124.72-2315.04+144614.75+20673.18+70401.82</f>
        <v>330499.43</v>
      </c>
      <c r="AK386" s="198">
        <f>2315.04+24491.87+3942.46+29358.35</f>
        <v>60107.72</v>
      </c>
    </row>
    <row r="387" spans="1:37" ht="346.5" x14ac:dyDescent="0.25">
      <c r="A387" s="345" t="s">
        <v>2131</v>
      </c>
      <c r="B387" s="271">
        <v>111482</v>
      </c>
      <c r="C387" s="424">
        <v>133</v>
      </c>
      <c r="D387" s="271" t="s">
        <v>1093</v>
      </c>
      <c r="E387" s="260" t="s">
        <v>161</v>
      </c>
      <c r="F387" s="419" t="s">
        <v>345</v>
      </c>
      <c r="G387" s="37" t="s">
        <v>1105</v>
      </c>
      <c r="H387" s="37" t="s">
        <v>1104</v>
      </c>
      <c r="I387" s="260" t="s">
        <v>1106</v>
      </c>
      <c r="J387" s="23" t="s">
        <v>1107</v>
      </c>
      <c r="K387" s="4">
        <v>43376</v>
      </c>
      <c r="L387" s="15">
        <v>43864</v>
      </c>
      <c r="M387" s="5">
        <f t="shared" si="287"/>
        <v>82.928005929547282</v>
      </c>
      <c r="N387" s="2" t="s">
        <v>347</v>
      </c>
      <c r="O387" s="2" t="s">
        <v>326</v>
      </c>
      <c r="P387" s="2" t="s">
        <v>1108</v>
      </c>
      <c r="Q387" s="41" t="s">
        <v>349</v>
      </c>
      <c r="R387" s="2" t="s">
        <v>36</v>
      </c>
      <c r="S387" s="55">
        <f t="shared" si="294"/>
        <v>795878.74</v>
      </c>
      <c r="T387" s="234">
        <v>641806.86</v>
      </c>
      <c r="U387" s="234">
        <v>154071.88</v>
      </c>
      <c r="V387" s="55">
        <f t="shared" si="295"/>
        <v>144649.33000000002</v>
      </c>
      <c r="W387" s="234">
        <v>107580.1</v>
      </c>
      <c r="X387" s="234">
        <v>37069.230000000003</v>
      </c>
      <c r="Y387" s="55">
        <f t="shared" si="296"/>
        <v>0</v>
      </c>
      <c r="Z387" s="234"/>
      <c r="AA387" s="234"/>
      <c r="AB387" s="55">
        <f t="shared" si="297"/>
        <v>19194.440000000002</v>
      </c>
      <c r="AC387" s="234">
        <v>15293.61</v>
      </c>
      <c r="AD387" s="234">
        <v>3900.83</v>
      </c>
      <c r="AE387" s="55">
        <f t="shared" si="298"/>
        <v>959722.51</v>
      </c>
      <c r="AF387" s="95"/>
      <c r="AG387" s="55">
        <f t="shared" si="299"/>
        <v>959722.51</v>
      </c>
      <c r="AH387" s="64" t="s">
        <v>892</v>
      </c>
      <c r="AI387" s="61"/>
      <c r="AJ387" s="198">
        <f>94052.8+22014.67+75007.09-1587.76+90621.42+42244.56+33109.78+23724.18</f>
        <v>379186.73999999993</v>
      </c>
      <c r="AK387" s="198">
        <f>7963.77+14304.23+1587.76+10820.01+19519.35+4524.32</f>
        <v>58719.439999999995</v>
      </c>
    </row>
    <row r="388" spans="1:37" ht="220.5" x14ac:dyDescent="0.25">
      <c r="A388" s="345" t="s">
        <v>2132</v>
      </c>
      <c r="B388" s="271">
        <v>112266</v>
      </c>
      <c r="C388" s="424">
        <v>310</v>
      </c>
      <c r="D388" s="271" t="s">
        <v>164</v>
      </c>
      <c r="E388" s="260" t="s">
        <v>161</v>
      </c>
      <c r="F388" s="419" t="s">
        <v>345</v>
      </c>
      <c r="G388" s="37" t="s">
        <v>1109</v>
      </c>
      <c r="H388" s="37" t="s">
        <v>1110</v>
      </c>
      <c r="I388" s="260" t="s">
        <v>1111</v>
      </c>
      <c r="J388" s="23" t="s">
        <v>1112</v>
      </c>
      <c r="K388" s="148">
        <v>43376</v>
      </c>
      <c r="L388" s="15">
        <v>43801</v>
      </c>
      <c r="M388" s="5">
        <f t="shared" si="287"/>
        <v>83.010839519489394</v>
      </c>
      <c r="N388" s="2" t="s">
        <v>347</v>
      </c>
      <c r="O388" s="2" t="s">
        <v>335</v>
      </c>
      <c r="P388" s="2" t="s">
        <v>335</v>
      </c>
      <c r="Q388" s="41" t="s">
        <v>154</v>
      </c>
      <c r="R388" s="2" t="s">
        <v>36</v>
      </c>
      <c r="S388" s="55">
        <f t="shared" si="294"/>
        <v>830076.27</v>
      </c>
      <c r="T388" s="234">
        <v>669384.21</v>
      </c>
      <c r="U388" s="234">
        <v>160692.06</v>
      </c>
      <c r="V388" s="55">
        <f t="shared" si="295"/>
        <v>149885.79999999999</v>
      </c>
      <c r="W388" s="234">
        <v>111422.7</v>
      </c>
      <c r="X388" s="234">
        <v>38463.1</v>
      </c>
      <c r="Y388" s="55">
        <f t="shared" si="296"/>
        <v>0</v>
      </c>
      <c r="Z388" s="234"/>
      <c r="AA388" s="234"/>
      <c r="AB388" s="55">
        <f t="shared" si="297"/>
        <v>19999.23</v>
      </c>
      <c r="AC388" s="234">
        <v>15934.82</v>
      </c>
      <c r="AD388" s="234">
        <v>4064.41</v>
      </c>
      <c r="AE388" s="63">
        <f t="shared" si="298"/>
        <v>999961.3</v>
      </c>
      <c r="AF388" s="95"/>
      <c r="AG388" s="55">
        <f t="shared" si="299"/>
        <v>999961.3</v>
      </c>
      <c r="AH388" s="64" t="s">
        <v>892</v>
      </c>
      <c r="AI388" s="61"/>
      <c r="AJ388" s="198">
        <f>99996.13-6665.57+73099.14-794.96+84527.06+94015.05+19399.09+100376.98</f>
        <v>463952.92000000004</v>
      </c>
      <c r="AK388" s="198">
        <f>11707.76+14823.26+16781.91+3699.51+18451.34</f>
        <v>65463.78</v>
      </c>
    </row>
    <row r="389" spans="1:37" ht="173.25" x14ac:dyDescent="0.25">
      <c r="A389" s="345" t="s">
        <v>2133</v>
      </c>
      <c r="B389" s="271">
        <v>118704</v>
      </c>
      <c r="C389" s="424">
        <v>434</v>
      </c>
      <c r="D389" s="271" t="s">
        <v>168</v>
      </c>
      <c r="E389" s="260" t="s">
        <v>1102</v>
      </c>
      <c r="F389" s="426" t="s">
        <v>652</v>
      </c>
      <c r="G389" s="127" t="s">
        <v>1113</v>
      </c>
      <c r="H389" s="37" t="s">
        <v>1114</v>
      </c>
      <c r="I389" s="260" t="s">
        <v>376</v>
      </c>
      <c r="J389" s="23" t="s">
        <v>1115</v>
      </c>
      <c r="K389" s="148">
        <v>43389</v>
      </c>
      <c r="L389" s="15">
        <v>43846</v>
      </c>
      <c r="M389" s="5">
        <f t="shared" si="287"/>
        <v>83.983864465105967</v>
      </c>
      <c r="N389" s="6" t="s">
        <v>347</v>
      </c>
      <c r="O389" s="2" t="s">
        <v>335</v>
      </c>
      <c r="P389" s="2" t="s">
        <v>335</v>
      </c>
      <c r="Q389" s="41" t="s">
        <v>154</v>
      </c>
      <c r="R389" s="131" t="s">
        <v>36</v>
      </c>
      <c r="S389" s="55">
        <f t="shared" si="294"/>
        <v>1448623.93</v>
      </c>
      <c r="T389" s="234">
        <v>1168188.98</v>
      </c>
      <c r="U389" s="234">
        <v>280434.95</v>
      </c>
      <c r="V389" s="55">
        <f t="shared" si="295"/>
        <v>0</v>
      </c>
      <c r="W389" s="234">
        <v>0</v>
      </c>
      <c r="X389" s="234">
        <v>0</v>
      </c>
      <c r="Y389" s="55">
        <f>Z389+AA389</f>
        <v>0</v>
      </c>
      <c r="Z389" s="234">
        <v>0</v>
      </c>
      <c r="AA389" s="234">
        <v>0</v>
      </c>
      <c r="AB389" s="55">
        <f>AC389+AD389</f>
        <v>276259.7</v>
      </c>
      <c r="AC389" s="234">
        <v>206150.96</v>
      </c>
      <c r="AD389" s="234">
        <v>70108.740000000005</v>
      </c>
      <c r="AE389" s="63">
        <f t="shared" si="298"/>
        <v>1724883.63</v>
      </c>
      <c r="AF389" s="95">
        <v>458944.63</v>
      </c>
      <c r="AG389" s="55">
        <f t="shared" si="299"/>
        <v>2183828.2599999998</v>
      </c>
      <c r="AH389" s="64" t="s">
        <v>892</v>
      </c>
      <c r="AI389" s="61" t="s">
        <v>1306</v>
      </c>
      <c r="AJ389" s="62">
        <f>88271.18+664362.86</f>
        <v>752634.04</v>
      </c>
      <c r="AK389" s="62">
        <v>0</v>
      </c>
    </row>
    <row r="390" spans="1:37" ht="315" x14ac:dyDescent="0.25">
      <c r="A390" s="345" t="s">
        <v>2134</v>
      </c>
      <c r="B390" s="271">
        <v>111265</v>
      </c>
      <c r="C390" s="424">
        <v>156</v>
      </c>
      <c r="D390" s="271" t="s">
        <v>1093</v>
      </c>
      <c r="E390" s="260" t="s">
        <v>161</v>
      </c>
      <c r="F390" s="419" t="s">
        <v>345</v>
      </c>
      <c r="G390" s="127" t="s">
        <v>1120</v>
      </c>
      <c r="H390" s="37" t="s">
        <v>1148</v>
      </c>
      <c r="I390" s="260" t="s">
        <v>1121</v>
      </c>
      <c r="J390" s="23" t="s">
        <v>1122</v>
      </c>
      <c r="K390" s="148">
        <v>43390</v>
      </c>
      <c r="L390" s="15">
        <v>43877</v>
      </c>
      <c r="M390" s="5">
        <f t="shared" si="287"/>
        <v>82.30418508577705</v>
      </c>
      <c r="N390" s="2" t="s">
        <v>347</v>
      </c>
      <c r="O390" s="2" t="s">
        <v>293</v>
      </c>
      <c r="P390" s="2" t="s">
        <v>293</v>
      </c>
      <c r="Q390" s="41" t="s">
        <v>349</v>
      </c>
      <c r="R390" s="2" t="s">
        <v>36</v>
      </c>
      <c r="S390" s="55">
        <f t="shared" si="294"/>
        <v>800497.5</v>
      </c>
      <c r="T390" s="234">
        <v>645531.51</v>
      </c>
      <c r="U390" s="234">
        <v>154965.99</v>
      </c>
      <c r="V390" s="55">
        <f t="shared" si="295"/>
        <v>152658.83000000002</v>
      </c>
      <c r="W390" s="234">
        <v>113917.32</v>
      </c>
      <c r="X390" s="234">
        <v>38741.51</v>
      </c>
      <c r="Y390" s="55">
        <f t="shared" si="296"/>
        <v>0</v>
      </c>
      <c r="Z390" s="234"/>
      <c r="AA390" s="234"/>
      <c r="AB390" s="55">
        <f t="shared" si="297"/>
        <v>19452.170000000002</v>
      </c>
      <c r="AC390" s="234">
        <v>15498.95</v>
      </c>
      <c r="AD390" s="234">
        <v>3953.22</v>
      </c>
      <c r="AE390" s="63">
        <f t="shared" si="298"/>
        <v>972608.50000000012</v>
      </c>
      <c r="AF390" s="95"/>
      <c r="AG390" s="55">
        <f t="shared" si="299"/>
        <v>972608.50000000012</v>
      </c>
      <c r="AH390" s="64" t="s">
        <v>892</v>
      </c>
      <c r="AI390" s="61"/>
      <c r="AJ390" s="198">
        <f>65068.03-7463.91+95685.5-844.43+95685.5</f>
        <v>248130.69</v>
      </c>
      <c r="AK390" s="198">
        <f>10985.39+18086.66</f>
        <v>29072.05</v>
      </c>
    </row>
    <row r="391" spans="1:37" ht="141.75" x14ac:dyDescent="0.25">
      <c r="A391" s="345" t="s">
        <v>2135</v>
      </c>
      <c r="B391" s="271">
        <v>112719</v>
      </c>
      <c r="C391" s="424">
        <v>287</v>
      </c>
      <c r="D391" s="271" t="s">
        <v>1334</v>
      </c>
      <c r="E391" s="260" t="s">
        <v>161</v>
      </c>
      <c r="F391" s="419" t="s">
        <v>345</v>
      </c>
      <c r="G391" s="155" t="s">
        <v>1132</v>
      </c>
      <c r="H391" s="37" t="s">
        <v>1133</v>
      </c>
      <c r="I391" s="260" t="s">
        <v>1134</v>
      </c>
      <c r="J391" s="23" t="s">
        <v>1135</v>
      </c>
      <c r="K391" s="148">
        <v>43399</v>
      </c>
      <c r="L391" s="15">
        <v>43886</v>
      </c>
      <c r="M391" s="5">
        <f t="shared" si="287"/>
        <v>82.304184463081299</v>
      </c>
      <c r="N391" s="2" t="s">
        <v>347</v>
      </c>
      <c r="O391" s="2" t="s">
        <v>153</v>
      </c>
      <c r="P391" s="2" t="s">
        <v>153</v>
      </c>
      <c r="Q391" s="41" t="s">
        <v>349</v>
      </c>
      <c r="R391" s="2" t="s">
        <v>36</v>
      </c>
      <c r="S391" s="55">
        <f t="shared" si="294"/>
        <v>780735</v>
      </c>
      <c r="T391" s="234">
        <v>629594.75</v>
      </c>
      <c r="U391" s="234">
        <v>151140.25</v>
      </c>
      <c r="V391" s="55">
        <f t="shared" si="295"/>
        <v>148890.03999999998</v>
      </c>
      <c r="W391" s="234">
        <v>111105.01</v>
      </c>
      <c r="X391" s="234">
        <v>37785.03</v>
      </c>
      <c r="Y391" s="55">
        <f>Z391+AA391</f>
        <v>0</v>
      </c>
      <c r="Z391" s="234"/>
      <c r="AA391" s="234"/>
      <c r="AB391" s="55">
        <f>AC391+AD391</f>
        <v>18971.93</v>
      </c>
      <c r="AC391" s="234">
        <v>15116.28</v>
      </c>
      <c r="AD391" s="234">
        <v>3855.65</v>
      </c>
      <c r="AE391" s="63">
        <f t="shared" si="298"/>
        <v>948596.97000000009</v>
      </c>
      <c r="AF391" s="95"/>
      <c r="AG391" s="55">
        <f t="shared" si="299"/>
        <v>948596.97000000009</v>
      </c>
      <c r="AH391" s="64" t="s">
        <v>892</v>
      </c>
      <c r="AI391" s="61"/>
      <c r="AJ391" s="198">
        <f>60847.25+46274.32+74884.92+83101.32+62784.42-6174.3</f>
        <v>321717.93</v>
      </c>
      <c r="AK391" s="198">
        <f>12128.97+6500.12+15847.83+9982.54+16684.48</f>
        <v>61143.94</v>
      </c>
    </row>
    <row r="392" spans="1:37" ht="299.25" x14ac:dyDescent="0.25">
      <c r="A392" s="345" t="s">
        <v>2136</v>
      </c>
      <c r="B392" s="271">
        <v>112591</v>
      </c>
      <c r="C392" s="424">
        <v>205</v>
      </c>
      <c r="D392" s="271" t="s">
        <v>168</v>
      </c>
      <c r="E392" s="260" t="s">
        <v>161</v>
      </c>
      <c r="F392" s="419" t="s">
        <v>345</v>
      </c>
      <c r="G392" s="155" t="s">
        <v>1136</v>
      </c>
      <c r="H392" s="37" t="s">
        <v>1137</v>
      </c>
      <c r="I392" s="260" t="s">
        <v>1139</v>
      </c>
      <c r="J392" s="23" t="s">
        <v>1138</v>
      </c>
      <c r="K392" s="148">
        <v>43404</v>
      </c>
      <c r="L392" s="15">
        <v>43890</v>
      </c>
      <c r="M392" s="5">
        <f t="shared" si="287"/>
        <v>82.304184436387899</v>
      </c>
      <c r="N392" s="2" t="s">
        <v>347</v>
      </c>
      <c r="O392" s="2" t="s">
        <v>335</v>
      </c>
      <c r="P392" s="2" t="s">
        <v>335</v>
      </c>
      <c r="Q392" s="41" t="s">
        <v>349</v>
      </c>
      <c r="R392" s="2" t="s">
        <v>36</v>
      </c>
      <c r="S392" s="55">
        <f t="shared" si="294"/>
        <v>767059.32000000007</v>
      </c>
      <c r="T392" s="234">
        <v>618566.51</v>
      </c>
      <c r="U392" s="234">
        <v>148492.81</v>
      </c>
      <c r="V392" s="55">
        <f t="shared" si="295"/>
        <v>146282.01</v>
      </c>
      <c r="W392" s="234">
        <v>109158.81</v>
      </c>
      <c r="X392" s="234">
        <v>37123.199999999997</v>
      </c>
      <c r="Y392" s="55">
        <f t="shared" si="296"/>
        <v>0</v>
      </c>
      <c r="Z392" s="234"/>
      <c r="AA392" s="234"/>
      <c r="AB392" s="55">
        <f t="shared" si="297"/>
        <v>18639.620000000003</v>
      </c>
      <c r="AC392" s="234">
        <v>14851.54</v>
      </c>
      <c r="AD392" s="234">
        <v>3788.08</v>
      </c>
      <c r="AE392" s="63">
        <f t="shared" si="298"/>
        <v>931980.95000000007</v>
      </c>
      <c r="AF392" s="95"/>
      <c r="AG392" s="55">
        <f t="shared" si="299"/>
        <v>931980.95000000007</v>
      </c>
      <c r="AH392" s="64" t="s">
        <v>892</v>
      </c>
      <c r="AI392" s="61" t="s">
        <v>1396</v>
      </c>
      <c r="AJ392" s="198">
        <f>91333+58281.04+82619.01</f>
        <v>232233.05</v>
      </c>
      <c r="AK392" s="198">
        <f>11290.14+15755.85</f>
        <v>27045.989999999998</v>
      </c>
    </row>
    <row r="393" spans="1:37" ht="409.5" x14ac:dyDescent="0.25">
      <c r="A393" s="345" t="s">
        <v>2137</v>
      </c>
      <c r="B393" s="271">
        <v>109897</v>
      </c>
      <c r="C393" s="424">
        <v>159</v>
      </c>
      <c r="D393" s="271" t="s">
        <v>1093</v>
      </c>
      <c r="E393" s="260" t="s">
        <v>161</v>
      </c>
      <c r="F393" s="419" t="s">
        <v>345</v>
      </c>
      <c r="G393" s="164" t="s">
        <v>1146</v>
      </c>
      <c r="H393" s="37" t="s">
        <v>1147</v>
      </c>
      <c r="I393" s="260" t="s">
        <v>372</v>
      </c>
      <c r="J393" s="28" t="s">
        <v>1203</v>
      </c>
      <c r="K393" s="148">
        <v>43418</v>
      </c>
      <c r="L393" s="4">
        <v>43903</v>
      </c>
      <c r="M393" s="5">
        <f t="shared" si="287"/>
        <v>82.304184553403289</v>
      </c>
      <c r="N393" s="2" t="s">
        <v>347</v>
      </c>
      <c r="O393" s="2" t="s">
        <v>335</v>
      </c>
      <c r="P393" s="2" t="s">
        <v>153</v>
      </c>
      <c r="Q393" s="41" t="s">
        <v>349</v>
      </c>
      <c r="R393" s="2" t="s">
        <v>36</v>
      </c>
      <c r="S393" s="55">
        <f t="shared" si="294"/>
        <v>763718.79999999993</v>
      </c>
      <c r="T393" s="234">
        <v>615872.68999999994</v>
      </c>
      <c r="U393" s="234">
        <v>147846.10999999999</v>
      </c>
      <c r="V393" s="55">
        <f t="shared" si="295"/>
        <v>145644.95000000001</v>
      </c>
      <c r="W393" s="234">
        <v>108683.4</v>
      </c>
      <c r="X393" s="234">
        <v>36961.550000000003</v>
      </c>
      <c r="Y393" s="55">
        <f t="shared" si="296"/>
        <v>0</v>
      </c>
      <c r="Z393" s="234"/>
      <c r="AA393" s="234"/>
      <c r="AB393" s="55">
        <f t="shared" si="297"/>
        <v>18558.45</v>
      </c>
      <c r="AC393" s="234">
        <v>14786.86</v>
      </c>
      <c r="AD393" s="234">
        <v>3771.59</v>
      </c>
      <c r="AE393" s="63">
        <f t="shared" si="298"/>
        <v>927922.2</v>
      </c>
      <c r="AF393" s="95"/>
      <c r="AG393" s="55">
        <f t="shared" si="299"/>
        <v>927922.2</v>
      </c>
      <c r="AH393" s="64" t="s">
        <v>892</v>
      </c>
      <c r="AI393" s="61"/>
      <c r="AJ393" s="198">
        <f>92792.22-7961.38+49708.54-14270.43</f>
        <v>120268.95000000001</v>
      </c>
      <c r="AK393" s="198">
        <f>7961.38+14270.43</f>
        <v>22231.81</v>
      </c>
    </row>
    <row r="394" spans="1:37" ht="141.75" x14ac:dyDescent="0.25">
      <c r="A394" s="345" t="s">
        <v>2138</v>
      </c>
      <c r="B394" s="271">
        <v>127778</v>
      </c>
      <c r="C394" s="424">
        <v>580</v>
      </c>
      <c r="D394" s="271" t="s">
        <v>167</v>
      </c>
      <c r="E394" s="260" t="s">
        <v>161</v>
      </c>
      <c r="F394" s="419" t="s">
        <v>1277</v>
      </c>
      <c r="G394" s="164" t="s">
        <v>1200</v>
      </c>
      <c r="H394" s="37" t="s">
        <v>1201</v>
      </c>
      <c r="I394" s="260" t="s">
        <v>372</v>
      </c>
      <c r="J394" s="28" t="s">
        <v>1202</v>
      </c>
      <c r="K394" s="148">
        <v>43447</v>
      </c>
      <c r="L394" s="4">
        <v>44543</v>
      </c>
      <c r="M394" s="5">
        <f t="shared" si="287"/>
        <v>83.983863103096297</v>
      </c>
      <c r="N394" s="2" t="s">
        <v>347</v>
      </c>
      <c r="O394" s="2" t="s">
        <v>335</v>
      </c>
      <c r="P394" s="2" t="s">
        <v>335</v>
      </c>
      <c r="Q394" s="41" t="s">
        <v>154</v>
      </c>
      <c r="R394" s="2" t="s">
        <v>36</v>
      </c>
      <c r="S394" s="55">
        <f t="shared" si="294"/>
        <v>10837735.809999999</v>
      </c>
      <c r="T394" s="234">
        <v>8739689.6799999997</v>
      </c>
      <c r="U394" s="234">
        <v>2098046.13</v>
      </c>
      <c r="V394" s="55">
        <f t="shared" si="295"/>
        <v>0</v>
      </c>
      <c r="W394" s="234">
        <v>0</v>
      </c>
      <c r="X394" s="234">
        <v>0</v>
      </c>
      <c r="Y394" s="55">
        <f t="shared" si="296"/>
        <v>2066809.67</v>
      </c>
      <c r="Z394" s="234">
        <v>1542298.16</v>
      </c>
      <c r="AA394" s="234">
        <v>524511.51</v>
      </c>
      <c r="AB394" s="55">
        <f t="shared" si="297"/>
        <v>0</v>
      </c>
      <c r="AC394" s="234">
        <v>0</v>
      </c>
      <c r="AD394" s="234">
        <v>0</v>
      </c>
      <c r="AE394" s="63">
        <f t="shared" si="298"/>
        <v>12904545.479999999</v>
      </c>
      <c r="AF394" s="95">
        <v>0</v>
      </c>
      <c r="AG394" s="55">
        <f t="shared" si="299"/>
        <v>12904545.479999999</v>
      </c>
      <c r="AH394" s="64" t="s">
        <v>892</v>
      </c>
      <c r="AI394" s="61" t="s">
        <v>372</v>
      </c>
      <c r="AJ394" s="62">
        <v>4232165.5</v>
      </c>
      <c r="AK394" s="62">
        <v>0</v>
      </c>
    </row>
    <row r="395" spans="1:37" ht="204.75" x14ac:dyDescent="0.25">
      <c r="A395" s="345" t="s">
        <v>2139</v>
      </c>
      <c r="B395" s="271">
        <v>127575</v>
      </c>
      <c r="C395" s="424">
        <v>604</v>
      </c>
      <c r="D395" s="271" t="s">
        <v>168</v>
      </c>
      <c r="E395" s="260" t="s">
        <v>161</v>
      </c>
      <c r="F395" s="419" t="s">
        <v>1277</v>
      </c>
      <c r="G395" s="164" t="s">
        <v>1216</v>
      </c>
      <c r="H395" s="37" t="s">
        <v>1217</v>
      </c>
      <c r="I395" s="260" t="s">
        <v>372</v>
      </c>
      <c r="J395" s="28" t="s">
        <v>1220</v>
      </c>
      <c r="K395" s="148">
        <v>43448</v>
      </c>
      <c r="L395" s="4">
        <v>44179</v>
      </c>
      <c r="M395" s="5">
        <f t="shared" si="287"/>
        <v>83.983862830635374</v>
      </c>
      <c r="N395" s="2" t="s">
        <v>347</v>
      </c>
      <c r="O395" s="2" t="s">
        <v>335</v>
      </c>
      <c r="P395" s="2" t="s">
        <v>335</v>
      </c>
      <c r="Q395" s="41" t="s">
        <v>154</v>
      </c>
      <c r="R395" s="2" t="s">
        <v>36</v>
      </c>
      <c r="S395" s="55">
        <f t="shared" si="294"/>
        <v>71134346.120000005</v>
      </c>
      <c r="T395" s="234">
        <v>57363652.549999997</v>
      </c>
      <c r="U395" s="234">
        <v>13770693.57</v>
      </c>
      <c r="V395" s="55">
        <f t="shared" si="295"/>
        <v>0</v>
      </c>
      <c r="W395" s="234">
        <v>0</v>
      </c>
      <c r="X395" s="234">
        <v>0</v>
      </c>
      <c r="Y395" s="55">
        <f t="shared" si="296"/>
        <v>13565670.91</v>
      </c>
      <c r="Z395" s="234">
        <v>10122997.52</v>
      </c>
      <c r="AA395" s="234">
        <v>3442673.39</v>
      </c>
      <c r="AB395" s="55">
        <f t="shared" si="297"/>
        <v>0</v>
      </c>
      <c r="AC395" s="234">
        <v>0</v>
      </c>
      <c r="AD395" s="234">
        <v>0</v>
      </c>
      <c r="AE395" s="63">
        <f t="shared" si="298"/>
        <v>84700017.030000001</v>
      </c>
      <c r="AF395" s="95">
        <v>0</v>
      </c>
      <c r="AG395" s="55">
        <f t="shared" si="299"/>
        <v>84700017.030000001</v>
      </c>
      <c r="AH395" s="64" t="s">
        <v>892</v>
      </c>
      <c r="AI395" s="61"/>
      <c r="AJ395" s="62">
        <f>64794622.27+13940.48+2648.69</f>
        <v>64811211.439999998</v>
      </c>
      <c r="AK395" s="62">
        <v>0</v>
      </c>
    </row>
    <row r="396" spans="1:37" ht="141.75" x14ac:dyDescent="0.25">
      <c r="A396" s="345" t="s">
        <v>2140</v>
      </c>
      <c r="B396" s="271">
        <v>116834</v>
      </c>
      <c r="C396" s="424">
        <v>397</v>
      </c>
      <c r="D396" s="271" t="s">
        <v>168</v>
      </c>
      <c r="E396" s="260" t="s">
        <v>161</v>
      </c>
      <c r="F396" s="419" t="s">
        <v>468</v>
      </c>
      <c r="G396" s="164" t="s">
        <v>1237</v>
      </c>
      <c r="H396" s="37" t="s">
        <v>121</v>
      </c>
      <c r="I396" s="260" t="s">
        <v>1238</v>
      </c>
      <c r="J396" s="31" t="s">
        <v>1239</v>
      </c>
      <c r="K396" s="148">
        <v>43462</v>
      </c>
      <c r="L396" s="4">
        <v>44255</v>
      </c>
      <c r="M396" s="5">
        <f t="shared" si="287"/>
        <v>83.410873102181938</v>
      </c>
      <c r="N396" s="2" t="s">
        <v>347</v>
      </c>
      <c r="O396" s="2" t="s">
        <v>335</v>
      </c>
      <c r="P396" s="2" t="s">
        <v>335</v>
      </c>
      <c r="Q396" s="41" t="s">
        <v>154</v>
      </c>
      <c r="R396" s="2" t="s">
        <v>36</v>
      </c>
      <c r="S396" s="55">
        <f t="shared" si="294"/>
        <v>3404514.47</v>
      </c>
      <c r="T396" s="234">
        <v>2745444.31</v>
      </c>
      <c r="U396" s="234">
        <v>659070.16</v>
      </c>
      <c r="V396" s="55">
        <f t="shared" si="295"/>
        <v>218543.18</v>
      </c>
      <c r="W396" s="234">
        <v>163081.66</v>
      </c>
      <c r="X396" s="234">
        <v>55461.51999999999</v>
      </c>
      <c r="Y396" s="55">
        <f t="shared" si="296"/>
        <v>458561.86</v>
      </c>
      <c r="Z396" s="234">
        <v>343596.49</v>
      </c>
      <c r="AA396" s="234">
        <v>114965.37</v>
      </c>
      <c r="AB396" s="55">
        <f t="shared" si="297"/>
        <v>0</v>
      </c>
      <c r="AC396" s="234">
        <v>0</v>
      </c>
      <c r="AD396" s="234">
        <v>0</v>
      </c>
      <c r="AE396" s="63">
        <f t="shared" si="298"/>
        <v>4081619.5100000002</v>
      </c>
      <c r="AF396" s="95">
        <v>0</v>
      </c>
      <c r="AG396" s="55">
        <f t="shared" si="299"/>
        <v>4081619.5100000002</v>
      </c>
      <c r="AH396" s="64" t="s">
        <v>892</v>
      </c>
      <c r="AI396" s="61"/>
      <c r="AJ396" s="62">
        <f>138999+15366.77</f>
        <v>154365.76999999999</v>
      </c>
      <c r="AK396" s="62">
        <v>0</v>
      </c>
    </row>
    <row r="397" spans="1:37" ht="267.75" x14ac:dyDescent="0.25">
      <c r="A397" s="345" t="s">
        <v>2141</v>
      </c>
      <c r="B397" s="271">
        <v>116793</v>
      </c>
      <c r="C397" s="424">
        <v>398</v>
      </c>
      <c r="D397" s="271" t="s">
        <v>168</v>
      </c>
      <c r="E397" s="260" t="s">
        <v>161</v>
      </c>
      <c r="F397" s="419" t="s">
        <v>468</v>
      </c>
      <c r="G397" s="164" t="s">
        <v>1240</v>
      </c>
      <c r="H397" s="37" t="s">
        <v>121</v>
      </c>
      <c r="I397" s="270" t="s">
        <v>1242</v>
      </c>
      <c r="J397" s="31" t="s">
        <v>1241</v>
      </c>
      <c r="K397" s="148">
        <v>43462</v>
      </c>
      <c r="L397" s="4">
        <v>44193</v>
      </c>
      <c r="M397" s="5">
        <f t="shared" si="287"/>
        <v>83.535949333333335</v>
      </c>
      <c r="N397" s="2" t="s">
        <v>347</v>
      </c>
      <c r="O397" s="2" t="s">
        <v>335</v>
      </c>
      <c r="P397" s="2" t="s">
        <v>335</v>
      </c>
      <c r="Q397" s="41" t="s">
        <v>154</v>
      </c>
      <c r="R397" s="2" t="s">
        <v>36</v>
      </c>
      <c r="S397" s="55">
        <f t="shared" si="294"/>
        <v>2506078.48</v>
      </c>
      <c r="T397" s="234">
        <v>2020933.92</v>
      </c>
      <c r="U397" s="234">
        <v>485144.56</v>
      </c>
      <c r="V397" s="55">
        <f t="shared" si="295"/>
        <v>219474.64</v>
      </c>
      <c r="W397" s="234">
        <v>163099.38</v>
      </c>
      <c r="X397" s="234">
        <v>56375.26</v>
      </c>
      <c r="Y397" s="55">
        <f t="shared" si="296"/>
        <v>274446.88</v>
      </c>
      <c r="Z397" s="234">
        <v>206284.41</v>
      </c>
      <c r="AA397" s="234">
        <v>68162.47</v>
      </c>
      <c r="AB397" s="55">
        <f t="shared" si="297"/>
        <v>0</v>
      </c>
      <c r="AC397" s="234">
        <v>0</v>
      </c>
      <c r="AD397" s="234">
        <v>0</v>
      </c>
      <c r="AE397" s="63">
        <f t="shared" si="298"/>
        <v>3000000</v>
      </c>
      <c r="AF397" s="95"/>
      <c r="AG397" s="55">
        <f t="shared" si="299"/>
        <v>3000000</v>
      </c>
      <c r="AH397" s="64" t="s">
        <v>892</v>
      </c>
      <c r="AI397" s="61" t="s">
        <v>1586</v>
      </c>
      <c r="AJ397" s="62">
        <f>147000-67000+8845.01-23649.1</f>
        <v>65195.909999999996</v>
      </c>
      <c r="AK397" s="62">
        <v>0</v>
      </c>
    </row>
    <row r="398" spans="1:37" ht="299.25" x14ac:dyDescent="0.25">
      <c r="A398" s="345" t="s">
        <v>2142</v>
      </c>
      <c r="B398" s="271">
        <v>116103</v>
      </c>
      <c r="C398" s="424">
        <v>393</v>
      </c>
      <c r="D398" s="271" t="s">
        <v>169</v>
      </c>
      <c r="E398" s="260" t="s">
        <v>161</v>
      </c>
      <c r="F398" s="419" t="s">
        <v>468</v>
      </c>
      <c r="G398" s="164" t="s">
        <v>1245</v>
      </c>
      <c r="H398" s="37" t="s">
        <v>1246</v>
      </c>
      <c r="I398" s="270" t="s">
        <v>1247</v>
      </c>
      <c r="J398" s="23" t="s">
        <v>1248</v>
      </c>
      <c r="K398" s="148">
        <v>43453</v>
      </c>
      <c r="L398" s="4">
        <v>44246</v>
      </c>
      <c r="M398" s="5">
        <f t="shared" si="287"/>
        <v>83.983862913229757</v>
      </c>
      <c r="N398" s="2" t="s">
        <v>347</v>
      </c>
      <c r="O398" s="2" t="s">
        <v>335</v>
      </c>
      <c r="P398" s="2" t="s">
        <v>335</v>
      </c>
      <c r="Q398" s="41" t="s">
        <v>154</v>
      </c>
      <c r="R398" s="2" t="s">
        <v>36</v>
      </c>
      <c r="S398" s="55">
        <f t="shared" si="294"/>
        <v>6662642.3300000001</v>
      </c>
      <c r="T398" s="234">
        <v>5372840.5599999996</v>
      </c>
      <c r="U398" s="234">
        <v>1289801.77</v>
      </c>
      <c r="V398" s="55">
        <f t="shared" si="295"/>
        <v>545363.38</v>
      </c>
      <c r="W398" s="234">
        <v>403028.12</v>
      </c>
      <c r="X398" s="234">
        <v>142335.26</v>
      </c>
      <c r="Y398" s="55">
        <f t="shared" si="296"/>
        <v>725235.3899999999</v>
      </c>
      <c r="Z398" s="234">
        <v>545120.19999999995</v>
      </c>
      <c r="AA398" s="234">
        <v>180115.19</v>
      </c>
      <c r="AB398" s="55">
        <f t="shared" si="297"/>
        <v>0</v>
      </c>
      <c r="AC398" s="234">
        <v>0</v>
      </c>
      <c r="AD398" s="234">
        <v>0</v>
      </c>
      <c r="AE398" s="63">
        <f t="shared" si="298"/>
        <v>7933241.0999999996</v>
      </c>
      <c r="AF398" s="95">
        <v>0</v>
      </c>
      <c r="AG398" s="55">
        <f t="shared" si="299"/>
        <v>7933241.0999999996</v>
      </c>
      <c r="AH398" s="64" t="s">
        <v>892</v>
      </c>
      <c r="AI398" s="61"/>
      <c r="AJ398" s="62">
        <f>389096.78-1942.82</f>
        <v>387153.96</v>
      </c>
      <c r="AK398" s="62">
        <v>30580.48</v>
      </c>
    </row>
    <row r="399" spans="1:37" ht="141.75" x14ac:dyDescent="0.25">
      <c r="A399" s="345" t="s">
        <v>2143</v>
      </c>
      <c r="B399" s="271">
        <v>127534</v>
      </c>
      <c r="C399" s="420">
        <v>619</v>
      </c>
      <c r="D399" s="271" t="s">
        <v>668</v>
      </c>
      <c r="E399" s="260" t="s">
        <v>161</v>
      </c>
      <c r="F399" s="419" t="s">
        <v>1277</v>
      </c>
      <c r="G399" s="164" t="s">
        <v>1256</v>
      </c>
      <c r="H399" s="37" t="s">
        <v>1257</v>
      </c>
      <c r="I399" s="260" t="s">
        <v>444</v>
      </c>
      <c r="J399" s="23" t="s">
        <v>1258</v>
      </c>
      <c r="K399" s="148">
        <v>43490</v>
      </c>
      <c r="L399" s="4">
        <v>44372</v>
      </c>
      <c r="M399" s="5">
        <f t="shared" si="287"/>
        <v>83.983862775890657</v>
      </c>
      <c r="N399" s="2" t="s">
        <v>347</v>
      </c>
      <c r="O399" s="2" t="s">
        <v>335</v>
      </c>
      <c r="P399" s="2" t="s">
        <v>335</v>
      </c>
      <c r="Q399" s="41" t="s">
        <v>154</v>
      </c>
      <c r="R399" s="2" t="s">
        <v>36</v>
      </c>
      <c r="S399" s="55">
        <f t="shared" si="294"/>
        <v>8137225.3799999999</v>
      </c>
      <c r="T399" s="234">
        <v>6561963.3499999996</v>
      </c>
      <c r="U399" s="234">
        <v>1575262.03</v>
      </c>
      <c r="V399" s="55">
        <f t="shared" si="295"/>
        <v>0</v>
      </c>
      <c r="W399" s="234">
        <v>0</v>
      </c>
      <c r="X399" s="234">
        <v>0</v>
      </c>
      <c r="Y399" s="55">
        <f t="shared" si="296"/>
        <v>1551809.05</v>
      </c>
      <c r="Z399" s="234">
        <v>1157993.49</v>
      </c>
      <c r="AA399" s="234">
        <v>393815.56</v>
      </c>
      <c r="AB399" s="55">
        <f t="shared" si="297"/>
        <v>0</v>
      </c>
      <c r="AC399" s="234">
        <v>0</v>
      </c>
      <c r="AD399" s="234">
        <v>0</v>
      </c>
      <c r="AE399" s="63">
        <f t="shared" si="298"/>
        <v>9689034.4299999997</v>
      </c>
      <c r="AF399" s="95">
        <v>0</v>
      </c>
      <c r="AG399" s="55">
        <f t="shared" si="299"/>
        <v>9689034.4299999997</v>
      </c>
      <c r="AH399" s="64" t="s">
        <v>892</v>
      </c>
      <c r="AI399" s="61"/>
      <c r="AJ399" s="62">
        <v>738779.53</v>
      </c>
      <c r="AK399" s="62">
        <v>0</v>
      </c>
    </row>
    <row r="400" spans="1:37" ht="236.25" x14ac:dyDescent="0.25">
      <c r="A400" s="345" t="s">
        <v>2144</v>
      </c>
      <c r="B400" s="271">
        <v>111384</v>
      </c>
      <c r="C400" s="420">
        <v>166</v>
      </c>
      <c r="D400" s="271" t="s">
        <v>1093</v>
      </c>
      <c r="E400" s="260" t="s">
        <v>161</v>
      </c>
      <c r="F400" s="426" t="s">
        <v>345</v>
      </c>
      <c r="G400" s="164" t="s">
        <v>1265</v>
      </c>
      <c r="H400" s="37" t="s">
        <v>1266</v>
      </c>
      <c r="I400" s="260" t="s">
        <v>444</v>
      </c>
      <c r="J400" s="23" t="s">
        <v>1267</v>
      </c>
      <c r="K400" s="148">
        <v>43497</v>
      </c>
      <c r="L400" s="4">
        <v>43922</v>
      </c>
      <c r="M400" s="5">
        <f t="shared" si="287"/>
        <v>82.304190607330156</v>
      </c>
      <c r="N400" s="2" t="s">
        <v>347</v>
      </c>
      <c r="O400" s="2" t="s">
        <v>222</v>
      </c>
      <c r="P400" s="2" t="s">
        <v>222</v>
      </c>
      <c r="Q400" s="41" t="s">
        <v>349</v>
      </c>
      <c r="R400" s="2" t="s">
        <v>36</v>
      </c>
      <c r="S400" s="55">
        <f>T400+U400</f>
        <v>765704.55999999994</v>
      </c>
      <c r="T400" s="234">
        <v>617473.98</v>
      </c>
      <c r="U400" s="234">
        <v>148230.57999999999</v>
      </c>
      <c r="V400" s="55">
        <f>W400+X400</f>
        <v>146023.57999999999</v>
      </c>
      <c r="W400" s="234">
        <v>108965.98</v>
      </c>
      <c r="X400" s="234">
        <v>37057.599999999999</v>
      </c>
      <c r="Y400" s="55">
        <v>0</v>
      </c>
      <c r="Z400" s="234"/>
      <c r="AA400" s="234"/>
      <c r="AB400" s="55">
        <f>AC400+AD400</f>
        <v>18606.7</v>
      </c>
      <c r="AC400" s="234">
        <v>14825.33</v>
      </c>
      <c r="AD400" s="234">
        <v>3781.37</v>
      </c>
      <c r="AE400" s="63">
        <f>S400+V400+Y400+AB400</f>
        <v>930334.83999999985</v>
      </c>
      <c r="AF400" s="95"/>
      <c r="AG400" s="55">
        <f>AE400+AF400</f>
        <v>930334.83999999985</v>
      </c>
      <c r="AH400" s="64" t="s">
        <v>892</v>
      </c>
      <c r="AI400" s="61"/>
      <c r="AJ400" s="198">
        <v>93033</v>
      </c>
      <c r="AK400" s="198">
        <v>0</v>
      </c>
    </row>
    <row r="401" spans="1:37" ht="157.5" x14ac:dyDescent="0.25">
      <c r="A401" s="345" t="s">
        <v>2145</v>
      </c>
      <c r="B401" s="271">
        <v>118765</v>
      </c>
      <c r="C401" s="424">
        <v>454</v>
      </c>
      <c r="D401" s="271" t="s">
        <v>167</v>
      </c>
      <c r="E401" s="260" t="s">
        <v>1061</v>
      </c>
      <c r="F401" s="419" t="s">
        <v>528</v>
      </c>
      <c r="G401" s="164" t="s">
        <v>1020</v>
      </c>
      <c r="H401" s="37" t="s">
        <v>1021</v>
      </c>
      <c r="I401" s="260" t="s">
        <v>1275</v>
      </c>
      <c r="J401" s="3" t="s">
        <v>1022</v>
      </c>
      <c r="K401" s="151">
        <v>43348</v>
      </c>
      <c r="L401" s="15">
        <v>44079</v>
      </c>
      <c r="M401" s="5">
        <f t="shared" si="287"/>
        <v>83.983862746396113</v>
      </c>
      <c r="N401" s="82" t="s">
        <v>152</v>
      </c>
      <c r="O401" s="6" t="s">
        <v>335</v>
      </c>
      <c r="P401" s="6" t="s">
        <v>153</v>
      </c>
      <c r="Q401" s="90" t="s">
        <v>154</v>
      </c>
      <c r="R401" s="82" t="s">
        <v>36</v>
      </c>
      <c r="S401" s="55">
        <f>T401+U401</f>
        <v>24915549.670000002</v>
      </c>
      <c r="T401" s="234">
        <v>20092220.07</v>
      </c>
      <c r="U401" s="234">
        <v>4823329.5999999996</v>
      </c>
      <c r="V401" s="55">
        <f>W401+X401</f>
        <v>0</v>
      </c>
      <c r="W401" s="234"/>
      <c r="X401" s="234"/>
      <c r="Y401" s="55">
        <f>Z401+AA401</f>
        <v>4751518.33</v>
      </c>
      <c r="Z401" s="234">
        <v>3545685.88</v>
      </c>
      <c r="AA401" s="234">
        <v>1205832.45</v>
      </c>
      <c r="AB401" s="55">
        <f>AC401+AD401</f>
        <v>0</v>
      </c>
      <c r="AC401" s="234">
        <v>0</v>
      </c>
      <c r="AD401" s="234">
        <v>0</v>
      </c>
      <c r="AE401" s="63">
        <f>S401+V401+Y401+AB401</f>
        <v>29667068</v>
      </c>
      <c r="AF401" s="55"/>
      <c r="AG401" s="55">
        <f>AE401+AF401</f>
        <v>29667068</v>
      </c>
      <c r="AH401" s="64" t="s">
        <v>607</v>
      </c>
      <c r="AI401" s="76" t="s">
        <v>1377</v>
      </c>
      <c r="AJ401" s="62">
        <f>120031.42+149365.14+291186.94+290300.54+824557.49</f>
        <v>1675441.53</v>
      </c>
      <c r="AK401" s="62">
        <v>0</v>
      </c>
    </row>
    <row r="402" spans="1:37" ht="141.75" x14ac:dyDescent="0.25">
      <c r="A402" s="345" t="s">
        <v>2146</v>
      </c>
      <c r="B402" s="271">
        <v>127403</v>
      </c>
      <c r="C402" s="424">
        <v>579</v>
      </c>
      <c r="D402" s="271" t="s">
        <v>167</v>
      </c>
      <c r="E402" s="260" t="s">
        <v>161</v>
      </c>
      <c r="F402" s="419" t="s">
        <v>1277</v>
      </c>
      <c r="G402" s="164" t="s">
        <v>1278</v>
      </c>
      <c r="H402" s="37" t="s">
        <v>1279</v>
      </c>
      <c r="I402" s="260" t="s">
        <v>444</v>
      </c>
      <c r="J402" s="23" t="s">
        <v>1280</v>
      </c>
      <c r="K402" s="148">
        <v>43514</v>
      </c>
      <c r="L402" s="4">
        <v>44245</v>
      </c>
      <c r="M402" s="5">
        <f t="shared" si="287"/>
        <v>83.983863067164137</v>
      </c>
      <c r="N402" s="82" t="s">
        <v>152</v>
      </c>
      <c r="O402" s="2" t="s">
        <v>335</v>
      </c>
      <c r="P402" s="2" t="s">
        <v>335</v>
      </c>
      <c r="Q402" s="90" t="s">
        <v>154</v>
      </c>
      <c r="R402" s="82" t="s">
        <v>36</v>
      </c>
      <c r="S402" s="55">
        <f>T402+U402</f>
        <v>5070433.51</v>
      </c>
      <c r="T402" s="234">
        <v>4088862.86</v>
      </c>
      <c r="U402" s="234">
        <v>981570.65</v>
      </c>
      <c r="V402" s="55">
        <f>W402+X402</f>
        <v>0</v>
      </c>
      <c r="W402" s="234">
        <v>0</v>
      </c>
      <c r="X402" s="234">
        <v>0</v>
      </c>
      <c r="Y402" s="55">
        <f>Z402+AA402</f>
        <v>966956.68</v>
      </c>
      <c r="Z402" s="234">
        <v>721564.03</v>
      </c>
      <c r="AA402" s="234">
        <v>245392.65</v>
      </c>
      <c r="AB402" s="55">
        <f>AC402+AD402</f>
        <v>0</v>
      </c>
      <c r="AC402" s="234">
        <v>0</v>
      </c>
      <c r="AD402" s="234">
        <v>0</v>
      </c>
      <c r="AE402" s="63">
        <f>S402+V402+Y402+AB402</f>
        <v>6037390.1899999995</v>
      </c>
      <c r="AF402" s="95">
        <v>0</v>
      </c>
      <c r="AG402" s="55">
        <f>AE402+AF402</f>
        <v>6037390.1899999995</v>
      </c>
      <c r="AH402" s="64" t="s">
        <v>892</v>
      </c>
      <c r="AI402" s="61" t="s">
        <v>444</v>
      </c>
      <c r="AJ402" s="62">
        <v>24576.2</v>
      </c>
      <c r="AK402" s="62">
        <v>0</v>
      </c>
    </row>
    <row r="403" spans="1:37" ht="141.75" x14ac:dyDescent="0.25">
      <c r="A403" s="345" t="s">
        <v>2147</v>
      </c>
      <c r="B403" s="271">
        <v>127820</v>
      </c>
      <c r="C403" s="420">
        <v>605</v>
      </c>
      <c r="D403" s="271" t="s">
        <v>168</v>
      </c>
      <c r="E403" s="260" t="s">
        <v>161</v>
      </c>
      <c r="F403" s="419" t="s">
        <v>1277</v>
      </c>
      <c r="G403" s="164" t="s">
        <v>1303</v>
      </c>
      <c r="H403" s="37" t="s">
        <v>51</v>
      </c>
      <c r="I403" s="260" t="s">
        <v>181</v>
      </c>
      <c r="J403" s="23" t="s">
        <v>1304</v>
      </c>
      <c r="K403" s="148">
        <v>43528</v>
      </c>
      <c r="L403" s="4">
        <v>44808</v>
      </c>
      <c r="M403" s="5">
        <f t="shared" si="287"/>
        <v>83.983862642815609</v>
      </c>
      <c r="N403" s="82" t="s">
        <v>152</v>
      </c>
      <c r="O403" s="2" t="s">
        <v>335</v>
      </c>
      <c r="P403" s="2" t="s">
        <v>335</v>
      </c>
      <c r="Q403" s="90" t="s">
        <v>154</v>
      </c>
      <c r="R403" s="82" t="s">
        <v>36</v>
      </c>
      <c r="S403" s="55">
        <f t="shared" ref="S403:S404" si="300">T403+U403</f>
        <v>8804544.8300000001</v>
      </c>
      <c r="T403" s="234">
        <v>7100098.3100000005</v>
      </c>
      <c r="U403" s="234">
        <v>1704446.52</v>
      </c>
      <c r="V403" s="55">
        <f t="shared" ref="V403:V404" si="301">W403+X403</f>
        <v>0</v>
      </c>
      <c r="W403" s="234"/>
      <c r="X403" s="234"/>
      <c r="Y403" s="55">
        <f t="shared" ref="Y403:Y404" si="302">Z403+AA403</f>
        <v>1679070.1800000002</v>
      </c>
      <c r="Z403" s="234">
        <v>1252958.54</v>
      </c>
      <c r="AA403" s="234">
        <v>426111.64</v>
      </c>
      <c r="AB403" s="55">
        <f t="shared" ref="AB403:AB404" si="303">AC403+AD403</f>
        <v>0</v>
      </c>
      <c r="AC403" s="234"/>
      <c r="AD403" s="234"/>
      <c r="AE403" s="63">
        <f t="shared" ref="AE403:AE404" si="304">S403+V403+Y403+AB403</f>
        <v>10483615.01</v>
      </c>
      <c r="AF403" s="95">
        <v>0</v>
      </c>
      <c r="AG403" s="55">
        <f t="shared" ref="AG403:AG404" si="305">AE403+AF403</f>
        <v>10483615.01</v>
      </c>
      <c r="AH403" s="64" t="s">
        <v>892</v>
      </c>
      <c r="AI403" s="61" t="s">
        <v>1367</v>
      </c>
      <c r="AJ403" s="62">
        <v>0</v>
      </c>
      <c r="AK403" s="62">
        <v>0</v>
      </c>
    </row>
    <row r="404" spans="1:37" ht="157.5" x14ac:dyDescent="0.25">
      <c r="A404" s="345" t="s">
        <v>2148</v>
      </c>
      <c r="B404" s="271">
        <v>127148</v>
      </c>
      <c r="C404" s="424">
        <v>576</v>
      </c>
      <c r="D404" s="271" t="s">
        <v>171</v>
      </c>
      <c r="E404" s="260" t="s">
        <v>1337</v>
      </c>
      <c r="F404" s="270" t="s">
        <v>1336</v>
      </c>
      <c r="G404" s="164" t="s">
        <v>1338</v>
      </c>
      <c r="H404" s="37" t="s">
        <v>121</v>
      </c>
      <c r="I404" s="260" t="s">
        <v>1339</v>
      </c>
      <c r="J404" s="23" t="s">
        <v>1340</v>
      </c>
      <c r="K404" s="148">
        <v>43552</v>
      </c>
      <c r="L404" s="4">
        <v>44102</v>
      </c>
      <c r="M404" s="5">
        <f t="shared" si="287"/>
        <v>83.791410330251352</v>
      </c>
      <c r="N404" s="82" t="s">
        <v>152</v>
      </c>
      <c r="O404" s="2" t="s">
        <v>335</v>
      </c>
      <c r="P404" s="2" t="s">
        <v>335</v>
      </c>
      <c r="Q404" s="90" t="s">
        <v>154</v>
      </c>
      <c r="R404" s="2" t="s">
        <v>36</v>
      </c>
      <c r="S404" s="55">
        <f t="shared" si="300"/>
        <v>4099805.0300000003</v>
      </c>
      <c r="T404" s="234">
        <v>3306135.56</v>
      </c>
      <c r="U404" s="234">
        <v>793669.47</v>
      </c>
      <c r="V404" s="55">
        <f t="shared" si="301"/>
        <v>87992.28</v>
      </c>
      <c r="W404" s="234">
        <v>65661.759999999995</v>
      </c>
      <c r="X404" s="234">
        <v>22330.52</v>
      </c>
      <c r="Y404" s="55">
        <f t="shared" si="302"/>
        <v>705072.99</v>
      </c>
      <c r="Z404" s="234">
        <v>526707.51</v>
      </c>
      <c r="AA404" s="234">
        <v>178365.48</v>
      </c>
      <c r="AB404" s="55">
        <f t="shared" si="303"/>
        <v>0</v>
      </c>
      <c r="AC404" s="234"/>
      <c r="AD404" s="234"/>
      <c r="AE404" s="63">
        <f t="shared" si="304"/>
        <v>4892870.3</v>
      </c>
      <c r="AF404" s="95"/>
      <c r="AG404" s="55">
        <f t="shared" si="305"/>
        <v>4892870.3</v>
      </c>
      <c r="AH404" s="64" t="s">
        <v>892</v>
      </c>
      <c r="AI404" s="61" t="s">
        <v>444</v>
      </c>
      <c r="AJ404" s="62">
        <v>56061</v>
      </c>
      <c r="AK404" s="62">
        <v>0</v>
      </c>
    </row>
    <row r="405" spans="1:37" ht="315" x14ac:dyDescent="0.25">
      <c r="A405" s="345" t="s">
        <v>2149</v>
      </c>
      <c r="B405" s="271">
        <v>129157</v>
      </c>
      <c r="C405" s="424">
        <v>653</v>
      </c>
      <c r="D405" s="271" t="s">
        <v>170</v>
      </c>
      <c r="E405" s="260" t="s">
        <v>161</v>
      </c>
      <c r="F405" s="270" t="s">
        <v>1405</v>
      </c>
      <c r="G405" s="164" t="s">
        <v>1408</v>
      </c>
      <c r="H405" s="37" t="s">
        <v>1407</v>
      </c>
      <c r="I405" s="260" t="s">
        <v>1409</v>
      </c>
      <c r="J405" s="23" t="s">
        <v>1406</v>
      </c>
      <c r="K405" s="148">
        <v>43595</v>
      </c>
      <c r="L405" s="4">
        <v>43961</v>
      </c>
      <c r="M405" s="5">
        <f t="shared" si="287"/>
        <v>83.983862366599269</v>
      </c>
      <c r="N405" s="82" t="s">
        <v>152</v>
      </c>
      <c r="O405" s="2" t="s">
        <v>335</v>
      </c>
      <c r="P405" s="2" t="s">
        <v>335</v>
      </c>
      <c r="Q405" s="90" t="s">
        <v>154</v>
      </c>
      <c r="R405" s="2" t="s">
        <v>36</v>
      </c>
      <c r="S405" s="55">
        <f t="shared" ref="S405:S408" si="306">T405+U405</f>
        <v>5246671.9399999995</v>
      </c>
      <c r="T405" s="234">
        <v>4230983.8099999996</v>
      </c>
      <c r="U405" s="234">
        <v>1015688.13</v>
      </c>
      <c r="V405" s="55">
        <f t="shared" ref="V405" si="307">W405+X405</f>
        <v>397060.75</v>
      </c>
      <c r="W405" s="234">
        <v>293431.23</v>
      </c>
      <c r="X405" s="234">
        <v>103629.52</v>
      </c>
      <c r="Y405" s="55">
        <f t="shared" ref="Y405:Y408" si="308">Z405+AA405</f>
        <v>603505.52</v>
      </c>
      <c r="Z405" s="234">
        <v>453212.99</v>
      </c>
      <c r="AA405" s="234">
        <v>150292.53</v>
      </c>
      <c r="AB405" s="55">
        <f t="shared" ref="AB405:AB406" si="309">AC405+AD405</f>
        <v>0</v>
      </c>
      <c r="AC405" s="234"/>
      <c r="AD405" s="234"/>
      <c r="AE405" s="63">
        <f t="shared" ref="AE405:AE408" si="310">S405+V405+Y405+AB405</f>
        <v>6247238.209999999</v>
      </c>
      <c r="AF405" s="95">
        <v>0</v>
      </c>
      <c r="AG405" s="55">
        <f t="shared" ref="AG405:AG408" si="311">AE405+AF405</f>
        <v>6247238.209999999</v>
      </c>
      <c r="AH405" s="64" t="s">
        <v>892</v>
      </c>
      <c r="AI405" s="61" t="s">
        <v>444</v>
      </c>
      <c r="AJ405" s="62"/>
      <c r="AK405" s="62"/>
    </row>
    <row r="406" spans="1:37" ht="189" x14ac:dyDescent="0.25">
      <c r="A406" s="345" t="s">
        <v>2150</v>
      </c>
      <c r="B406" s="271">
        <v>127557</v>
      </c>
      <c r="C406" s="424">
        <v>592</v>
      </c>
      <c r="D406" s="271" t="s">
        <v>164</v>
      </c>
      <c r="E406" s="260" t="s">
        <v>161</v>
      </c>
      <c r="F406" s="419" t="s">
        <v>1277</v>
      </c>
      <c r="G406" s="164" t="s">
        <v>1416</v>
      </c>
      <c r="H406" s="37" t="s">
        <v>1415</v>
      </c>
      <c r="I406" s="260" t="s">
        <v>1417</v>
      </c>
      <c r="J406" s="23" t="s">
        <v>1433</v>
      </c>
      <c r="K406" s="148">
        <v>43601</v>
      </c>
      <c r="L406" s="4">
        <v>44697</v>
      </c>
      <c r="M406" s="5">
        <f t="shared" si="287"/>
        <v>83.983862979972571</v>
      </c>
      <c r="N406" s="82" t="s">
        <v>152</v>
      </c>
      <c r="O406" s="2" t="s">
        <v>335</v>
      </c>
      <c r="P406" s="2" t="s">
        <v>335</v>
      </c>
      <c r="Q406" s="90" t="s">
        <v>154</v>
      </c>
      <c r="R406" s="2" t="s">
        <v>36</v>
      </c>
      <c r="S406" s="55">
        <f t="shared" si="306"/>
        <v>21869408.25</v>
      </c>
      <c r="T406" s="234">
        <v>17635772.390000001</v>
      </c>
      <c r="U406" s="234">
        <v>4233635.8600000003</v>
      </c>
      <c r="V406" s="55">
        <f t="shared" ref="V406:V415" si="312">W406+X406</f>
        <v>2835302.4000000004</v>
      </c>
      <c r="W406" s="234">
        <v>2095312.34</v>
      </c>
      <c r="X406" s="234">
        <v>739990.06</v>
      </c>
      <c r="Y406" s="55">
        <f t="shared" si="308"/>
        <v>1335301.6499999999</v>
      </c>
      <c r="Z406" s="234">
        <v>1016882.74</v>
      </c>
      <c r="AA406" s="234">
        <v>318418.90999999997</v>
      </c>
      <c r="AB406" s="55">
        <f t="shared" si="309"/>
        <v>0</v>
      </c>
      <c r="AC406" s="234"/>
      <c r="AD406" s="234"/>
      <c r="AE406" s="63">
        <f t="shared" si="310"/>
        <v>26040012.299999997</v>
      </c>
      <c r="AF406" s="95">
        <v>0</v>
      </c>
      <c r="AG406" s="55">
        <f t="shared" si="311"/>
        <v>26040012.299999997</v>
      </c>
      <c r="AH406" s="64" t="s">
        <v>892</v>
      </c>
      <c r="AI406" s="61" t="s">
        <v>444</v>
      </c>
      <c r="AJ406" s="62">
        <v>0</v>
      </c>
      <c r="AK406" s="62">
        <v>0</v>
      </c>
    </row>
    <row r="407" spans="1:37" ht="315" x14ac:dyDescent="0.25">
      <c r="A407" s="345" t="s">
        <v>2151</v>
      </c>
      <c r="B407" s="446">
        <v>127562</v>
      </c>
      <c r="C407" s="447">
        <v>606</v>
      </c>
      <c r="D407" s="446" t="s">
        <v>164</v>
      </c>
      <c r="E407" s="448" t="s">
        <v>161</v>
      </c>
      <c r="F407" s="449" t="s">
        <v>1277</v>
      </c>
      <c r="G407" s="220" t="s">
        <v>1430</v>
      </c>
      <c r="H407" s="221" t="s">
        <v>1431</v>
      </c>
      <c r="I407" s="448" t="s">
        <v>1432</v>
      </c>
      <c r="J407" s="222" t="s">
        <v>1434</v>
      </c>
      <c r="K407" s="223">
        <v>43608</v>
      </c>
      <c r="L407" s="224">
        <v>44339</v>
      </c>
      <c r="M407" s="5">
        <f t="shared" si="287"/>
        <v>83.983863082660847</v>
      </c>
      <c r="N407" s="225" t="s">
        <v>152</v>
      </c>
      <c r="O407" s="226" t="s">
        <v>335</v>
      </c>
      <c r="P407" s="226" t="s">
        <v>153</v>
      </c>
      <c r="Q407" s="227" t="s">
        <v>154</v>
      </c>
      <c r="R407" s="226" t="s">
        <v>36</v>
      </c>
      <c r="S407" s="167">
        <f t="shared" si="306"/>
        <v>8877559.8000000007</v>
      </c>
      <c r="T407" s="362">
        <v>7158978.4900000002</v>
      </c>
      <c r="U407" s="362">
        <v>1718581.31</v>
      </c>
      <c r="V407" s="167">
        <f t="shared" si="312"/>
        <v>156211.66</v>
      </c>
      <c r="W407" s="362">
        <v>115441.72</v>
      </c>
      <c r="X407" s="362">
        <v>40769.94</v>
      </c>
      <c r="Y407" s="167">
        <f t="shared" si="308"/>
        <v>1536782.78</v>
      </c>
      <c r="Z407" s="362">
        <v>1147907.44</v>
      </c>
      <c r="AA407" s="362">
        <v>388875.34</v>
      </c>
      <c r="AB407" s="167">
        <f>AC407+AD407</f>
        <v>0</v>
      </c>
      <c r="AC407" s="362">
        <v>0</v>
      </c>
      <c r="AD407" s="362">
        <v>0</v>
      </c>
      <c r="AE407" s="228">
        <f t="shared" si="310"/>
        <v>10570554.24</v>
      </c>
      <c r="AF407" s="229">
        <v>0</v>
      </c>
      <c r="AG407" s="167">
        <f t="shared" si="311"/>
        <v>10570554.24</v>
      </c>
      <c r="AH407" s="230" t="str">
        <f t="shared" ref="AH407:AI408" si="313">AH406</f>
        <v>în implementare</v>
      </c>
      <c r="AI407" s="231" t="str">
        <f t="shared" si="313"/>
        <v>n.a.</v>
      </c>
      <c r="AJ407" s="79">
        <v>100000</v>
      </c>
      <c r="AK407" s="79">
        <v>0</v>
      </c>
    </row>
    <row r="408" spans="1:37" ht="283.5" x14ac:dyDescent="0.25">
      <c r="A408" s="345" t="s">
        <v>2152</v>
      </c>
      <c r="B408" s="235">
        <v>116178</v>
      </c>
      <c r="C408" s="268">
        <v>403</v>
      </c>
      <c r="D408" s="235" t="s">
        <v>167</v>
      </c>
      <c r="E408" s="260" t="s">
        <v>161</v>
      </c>
      <c r="F408" s="419" t="s">
        <v>468</v>
      </c>
      <c r="G408" s="232" t="s">
        <v>1510</v>
      </c>
      <c r="H408" s="37" t="s">
        <v>1511</v>
      </c>
      <c r="I408" s="260" t="s">
        <v>444</v>
      </c>
      <c r="J408" s="23" t="s">
        <v>1522</v>
      </c>
      <c r="K408" s="148">
        <v>43640</v>
      </c>
      <c r="L408" s="4">
        <v>44432</v>
      </c>
      <c r="M408" s="5">
        <f t="shared" si="287"/>
        <v>83.983862989767033</v>
      </c>
      <c r="N408" s="82" t="s">
        <v>152</v>
      </c>
      <c r="O408" s="2" t="s">
        <v>335</v>
      </c>
      <c r="P408" s="2" t="s">
        <v>153</v>
      </c>
      <c r="Q408" s="90" t="s">
        <v>154</v>
      </c>
      <c r="R408" s="2" t="s">
        <v>36</v>
      </c>
      <c r="S408" s="55">
        <f t="shared" si="306"/>
        <v>2394035.5999999996</v>
      </c>
      <c r="T408" s="234">
        <v>1930581.13</v>
      </c>
      <c r="U408" s="234">
        <v>463454.47</v>
      </c>
      <c r="V408" s="55">
        <f t="shared" si="312"/>
        <v>0</v>
      </c>
      <c r="W408" s="234">
        <v>0</v>
      </c>
      <c r="X408" s="234">
        <v>0</v>
      </c>
      <c r="Y408" s="55">
        <f t="shared" si="308"/>
        <v>456554.4</v>
      </c>
      <c r="Z408" s="234">
        <v>340690.78</v>
      </c>
      <c r="AA408" s="234">
        <v>115863.62</v>
      </c>
      <c r="AB408" s="55"/>
      <c r="AC408" s="234">
        <v>0</v>
      </c>
      <c r="AD408" s="234">
        <v>0</v>
      </c>
      <c r="AE408" s="63">
        <f t="shared" si="310"/>
        <v>2850589.9999999995</v>
      </c>
      <c r="AF408" s="95">
        <v>0</v>
      </c>
      <c r="AG408" s="55">
        <f t="shared" si="311"/>
        <v>2850589.9999999995</v>
      </c>
      <c r="AH408" s="64" t="str">
        <f t="shared" si="313"/>
        <v>în implementare</v>
      </c>
      <c r="AI408" s="61"/>
      <c r="AJ408" s="62">
        <v>0</v>
      </c>
      <c r="AK408" s="62">
        <v>0</v>
      </c>
    </row>
    <row r="409" spans="1:37" ht="141.75" x14ac:dyDescent="0.25">
      <c r="A409" s="345" t="s">
        <v>2153</v>
      </c>
      <c r="B409" s="235">
        <v>126949</v>
      </c>
      <c r="C409" s="268">
        <v>625</v>
      </c>
      <c r="D409" s="235" t="s">
        <v>168</v>
      </c>
      <c r="E409" s="260" t="s">
        <v>162</v>
      </c>
      <c r="F409" s="419" t="s">
        <v>1554</v>
      </c>
      <c r="G409" s="232" t="s">
        <v>1555</v>
      </c>
      <c r="H409" s="37" t="s">
        <v>118</v>
      </c>
      <c r="I409" s="260" t="s">
        <v>1556</v>
      </c>
      <c r="J409" s="37" t="s">
        <v>1557</v>
      </c>
      <c r="K409" s="148">
        <v>43656</v>
      </c>
      <c r="L409" s="148">
        <v>44752</v>
      </c>
      <c r="M409" s="5">
        <f t="shared" si="287"/>
        <v>83.983862837739466</v>
      </c>
      <c r="N409" s="82" t="s">
        <v>152</v>
      </c>
      <c r="O409" s="2" t="s">
        <v>335</v>
      </c>
      <c r="P409" s="2" t="s">
        <v>153</v>
      </c>
      <c r="Q409" s="90" t="s">
        <v>154</v>
      </c>
      <c r="R409" s="2" t="s">
        <v>36</v>
      </c>
      <c r="S409" s="55">
        <f>T409+U409</f>
        <v>100678170.02000001</v>
      </c>
      <c r="T409" s="234">
        <v>81188172.530000016</v>
      </c>
      <c r="U409" s="234">
        <v>19489997.489999998</v>
      </c>
      <c r="V409" s="55">
        <f t="shared" si="312"/>
        <v>3857997.5300000003</v>
      </c>
      <c r="W409" s="234">
        <v>2851092.66</v>
      </c>
      <c r="X409" s="234">
        <v>1006904.87</v>
      </c>
      <c r="Y409" s="55">
        <f>Z409+AA409</f>
        <v>15341826.41</v>
      </c>
      <c r="Z409" s="234">
        <v>11476231.890000001</v>
      </c>
      <c r="AA409" s="234">
        <v>3865594.52</v>
      </c>
      <c r="AB409" s="55">
        <f t="shared" ref="AB409:AB414" si="314">AC409+AD409</f>
        <v>0</v>
      </c>
      <c r="AC409" s="234">
        <v>0</v>
      </c>
      <c r="AD409" s="234">
        <v>0</v>
      </c>
      <c r="AE409" s="63">
        <f>S409+V409+Y409+AB409</f>
        <v>119877993.96000001</v>
      </c>
      <c r="AF409" s="95">
        <v>93474.39</v>
      </c>
      <c r="AG409" s="55">
        <f t="shared" ref="AG409:AG415" si="315">AE409+AF409</f>
        <v>119971468.35000001</v>
      </c>
      <c r="AH409" s="64" t="str">
        <f>AH407</f>
        <v>în implementare</v>
      </c>
      <c r="AI409" s="61" t="s">
        <v>181</v>
      </c>
      <c r="AJ409" s="62"/>
      <c r="AK409" s="62"/>
    </row>
    <row r="410" spans="1:37" ht="157.5" x14ac:dyDescent="0.25">
      <c r="A410" s="345" t="s">
        <v>2154</v>
      </c>
      <c r="B410" s="235">
        <v>127610</v>
      </c>
      <c r="C410" s="268">
        <v>583</v>
      </c>
      <c r="D410" s="235" t="s">
        <v>173</v>
      </c>
      <c r="E410" s="260" t="s">
        <v>161</v>
      </c>
      <c r="F410" s="419" t="s">
        <v>1277</v>
      </c>
      <c r="G410" s="232" t="s">
        <v>1567</v>
      </c>
      <c r="H410" s="37" t="s">
        <v>1568</v>
      </c>
      <c r="I410" s="260" t="s">
        <v>51</v>
      </c>
      <c r="J410" s="37" t="s">
        <v>1569</v>
      </c>
      <c r="K410" s="148">
        <v>43658</v>
      </c>
      <c r="L410" s="148">
        <v>44389</v>
      </c>
      <c r="M410" s="5">
        <f t="shared" si="287"/>
        <v>83.983862820897855</v>
      </c>
      <c r="N410" s="82" t="s">
        <v>152</v>
      </c>
      <c r="O410" s="2" t="s">
        <v>335</v>
      </c>
      <c r="P410" s="2" t="s">
        <v>153</v>
      </c>
      <c r="Q410" s="90" t="s">
        <v>154</v>
      </c>
      <c r="R410" s="2" t="s">
        <v>36</v>
      </c>
      <c r="S410" s="55">
        <f t="shared" ref="S410" si="316">T410+U410</f>
        <v>8218742.2799999993</v>
      </c>
      <c r="T410" s="234">
        <v>6627699.5899999999</v>
      </c>
      <c r="U410" s="234">
        <v>1591042.69</v>
      </c>
      <c r="V410" s="55">
        <f t="shared" si="312"/>
        <v>1361267.6600000001</v>
      </c>
      <c r="W410" s="234">
        <v>1005988.26</v>
      </c>
      <c r="X410" s="234">
        <v>355279.4</v>
      </c>
      <c r="Y410" s="55">
        <f t="shared" ref="Y410" si="317">Z410+AA410</f>
        <v>206087.06</v>
      </c>
      <c r="Z410" s="234">
        <v>163605.79</v>
      </c>
      <c r="AA410" s="234">
        <v>42481.27</v>
      </c>
      <c r="AB410" s="55">
        <f t="shared" si="314"/>
        <v>0</v>
      </c>
      <c r="AC410" s="234">
        <v>0</v>
      </c>
      <c r="AD410" s="234">
        <v>0</v>
      </c>
      <c r="AE410" s="63">
        <f t="shared" ref="AE410" si="318">S410+V410+Y410+AB410</f>
        <v>9786097</v>
      </c>
      <c r="AF410" s="95">
        <v>0</v>
      </c>
      <c r="AG410" s="55">
        <f t="shared" si="315"/>
        <v>9786097</v>
      </c>
      <c r="AH410" s="64" t="str">
        <f>AH408</f>
        <v>în implementare</v>
      </c>
      <c r="AI410" s="61" t="s">
        <v>181</v>
      </c>
      <c r="AJ410" s="62">
        <v>0</v>
      </c>
      <c r="AK410" s="62">
        <v>0</v>
      </c>
    </row>
    <row r="411" spans="1:37" ht="283.5" x14ac:dyDescent="0.25">
      <c r="A411" s="345" t="s">
        <v>2155</v>
      </c>
      <c r="B411" s="235">
        <v>127961</v>
      </c>
      <c r="C411" s="268">
        <v>609</v>
      </c>
      <c r="D411" s="235" t="s">
        <v>170</v>
      </c>
      <c r="E411" s="260" t="s">
        <v>161</v>
      </c>
      <c r="F411" s="419" t="s">
        <v>1277</v>
      </c>
      <c r="G411" s="232" t="s">
        <v>1570</v>
      </c>
      <c r="H411" s="37" t="s">
        <v>133</v>
      </c>
      <c r="I411" s="260" t="s">
        <v>1571</v>
      </c>
      <c r="J411" s="37" t="s">
        <v>1572</v>
      </c>
      <c r="K411" s="148">
        <v>43662</v>
      </c>
      <c r="L411" s="148">
        <v>44181</v>
      </c>
      <c r="M411" s="5">
        <f t="shared" si="287"/>
        <v>83.659872298779931</v>
      </c>
      <c r="N411" s="82" t="s">
        <v>152</v>
      </c>
      <c r="O411" s="2" t="s">
        <v>335</v>
      </c>
      <c r="P411" s="2" t="s">
        <v>153</v>
      </c>
      <c r="Q411" s="90" t="s">
        <v>154</v>
      </c>
      <c r="R411" s="2" t="s">
        <v>36</v>
      </c>
      <c r="S411" s="55">
        <f>T411+U411</f>
        <v>19860283.960000001</v>
      </c>
      <c r="T411" s="234">
        <v>16015588.68</v>
      </c>
      <c r="U411" s="234">
        <v>3844695.28</v>
      </c>
      <c r="V411" s="55">
        <f t="shared" si="312"/>
        <v>1688126.9100000001</v>
      </c>
      <c r="W411" s="234">
        <v>1252724.29</v>
      </c>
      <c r="X411" s="234">
        <v>435402.62</v>
      </c>
      <c r="Y411" s="55">
        <f>Z411+AA411</f>
        <v>2099327.13</v>
      </c>
      <c r="Z411" s="234">
        <v>1573555.96</v>
      </c>
      <c r="AA411" s="234">
        <v>525771.17000000004</v>
      </c>
      <c r="AB411" s="55">
        <f t="shared" si="314"/>
        <v>91581</v>
      </c>
      <c r="AC411" s="234">
        <v>72969.23</v>
      </c>
      <c r="AD411" s="234">
        <v>18611.77</v>
      </c>
      <c r="AE411" s="63">
        <f t="shared" ref="AE411:AE421" si="319">S411+V411+Y411+AB411</f>
        <v>23739319</v>
      </c>
      <c r="AF411" s="95">
        <v>0</v>
      </c>
      <c r="AG411" s="55">
        <f t="shared" si="315"/>
        <v>23739319</v>
      </c>
      <c r="AH411" s="64" t="str">
        <f>AH409</f>
        <v>în implementare</v>
      </c>
      <c r="AI411" s="61" t="s">
        <v>181</v>
      </c>
      <c r="AJ411" s="62">
        <v>0</v>
      </c>
      <c r="AK411" s="62">
        <v>0</v>
      </c>
    </row>
    <row r="412" spans="1:37" ht="141.75" x14ac:dyDescent="0.25">
      <c r="A412" s="345" t="s">
        <v>2156</v>
      </c>
      <c r="B412" s="235">
        <v>129745</v>
      </c>
      <c r="C412" s="268">
        <v>745</v>
      </c>
      <c r="D412" s="235" t="s">
        <v>159</v>
      </c>
      <c r="E412" s="260" t="s">
        <v>174</v>
      </c>
      <c r="F412" s="419" t="s">
        <v>1578</v>
      </c>
      <c r="G412" s="232" t="s">
        <v>1580</v>
      </c>
      <c r="H412" s="37" t="s">
        <v>1579</v>
      </c>
      <c r="I412" s="260" t="s">
        <v>181</v>
      </c>
      <c r="J412" s="37" t="s">
        <v>1581</v>
      </c>
      <c r="K412" s="148">
        <v>43663</v>
      </c>
      <c r="L412" s="148">
        <v>44759</v>
      </c>
      <c r="M412" s="5">
        <f t="shared" ref="M412:M430" si="320">S412/AE412*100</f>
        <v>83.983862931897562</v>
      </c>
      <c r="N412" s="82" t="s">
        <v>152</v>
      </c>
      <c r="O412" s="2" t="s">
        <v>335</v>
      </c>
      <c r="P412" s="2" t="s">
        <v>153</v>
      </c>
      <c r="Q412" s="90" t="s">
        <v>154</v>
      </c>
      <c r="R412" s="2" t="s">
        <v>36</v>
      </c>
      <c r="S412" s="55">
        <f>T412+U412</f>
        <v>20432953.939999998</v>
      </c>
      <c r="T412" s="234">
        <v>16477397.119999995</v>
      </c>
      <c r="U412" s="234">
        <v>3955556.8200000003</v>
      </c>
      <c r="V412" s="55">
        <f>W412+X412</f>
        <v>0</v>
      </c>
      <c r="W412" s="234">
        <v>0</v>
      </c>
      <c r="X412" s="234">
        <v>0</v>
      </c>
      <c r="Y412" s="55">
        <f>Z412+AA412</f>
        <v>3896665.14</v>
      </c>
      <c r="Z412" s="234">
        <v>2907775.95</v>
      </c>
      <c r="AA412" s="234">
        <v>988889.19</v>
      </c>
      <c r="AB412" s="55">
        <f t="shared" si="314"/>
        <v>0</v>
      </c>
      <c r="AC412" s="234">
        <v>0</v>
      </c>
      <c r="AD412" s="234">
        <v>0</v>
      </c>
      <c r="AE412" s="63">
        <f t="shared" si="319"/>
        <v>24329619.079999998</v>
      </c>
      <c r="AF412" s="95">
        <v>631784.67000000004</v>
      </c>
      <c r="AG412" s="55">
        <f t="shared" si="315"/>
        <v>24961403.75</v>
      </c>
      <c r="AH412" s="64" t="str">
        <f>AH409</f>
        <v>în implementare</v>
      </c>
      <c r="AI412" s="61" t="s">
        <v>181</v>
      </c>
      <c r="AJ412" s="62"/>
      <c r="AK412" s="62"/>
    </row>
    <row r="413" spans="1:37" ht="157.5" x14ac:dyDescent="0.25">
      <c r="A413" s="345" t="s">
        <v>2157</v>
      </c>
      <c r="B413" s="235">
        <v>127604</v>
      </c>
      <c r="C413" s="268">
        <v>587</v>
      </c>
      <c r="D413" s="235" t="s">
        <v>173</v>
      </c>
      <c r="E413" s="260" t="s">
        <v>1582</v>
      </c>
      <c r="F413" s="450" t="s">
        <v>1277</v>
      </c>
      <c r="G413" s="232" t="s">
        <v>1583</v>
      </c>
      <c r="H413" s="246" t="s">
        <v>1584</v>
      </c>
      <c r="I413" s="260" t="s">
        <v>181</v>
      </c>
      <c r="J413" s="37" t="s">
        <v>1661</v>
      </c>
      <c r="K413" s="148">
        <v>43663</v>
      </c>
      <c r="L413" s="148">
        <v>44578</v>
      </c>
      <c r="M413" s="5">
        <f t="shared" si="320"/>
        <v>83.983862842122022</v>
      </c>
      <c r="N413" s="82" t="s">
        <v>152</v>
      </c>
      <c r="O413" s="2" t="s">
        <v>335</v>
      </c>
      <c r="P413" s="2" t="s">
        <v>153</v>
      </c>
      <c r="Q413" s="90" t="s">
        <v>154</v>
      </c>
      <c r="R413" s="2" t="s">
        <v>36</v>
      </c>
      <c r="S413" s="55">
        <f>T413+U413</f>
        <v>9227267.7899999991</v>
      </c>
      <c r="T413" s="234">
        <v>7440987.5499999998</v>
      </c>
      <c r="U413" s="234">
        <v>1786280.24</v>
      </c>
      <c r="V413" s="55">
        <f>W413+X413</f>
        <v>1539946.4400000002</v>
      </c>
      <c r="W413" s="234">
        <v>1138033.3600000001</v>
      </c>
      <c r="X413" s="234">
        <v>401913.08</v>
      </c>
      <c r="Y413" s="55">
        <f>Z413+AA413</f>
        <v>219739.06999999998</v>
      </c>
      <c r="Z413" s="234">
        <v>175082.08</v>
      </c>
      <c r="AA413" s="234">
        <v>44656.99</v>
      </c>
      <c r="AB413" s="55">
        <f t="shared" si="314"/>
        <v>0</v>
      </c>
      <c r="AC413" s="234">
        <v>0</v>
      </c>
      <c r="AD413" s="234">
        <v>0</v>
      </c>
      <c r="AE413" s="63">
        <f t="shared" si="319"/>
        <v>10986953.299999999</v>
      </c>
      <c r="AF413" s="95">
        <v>0</v>
      </c>
      <c r="AG413" s="55">
        <f t="shared" si="315"/>
        <v>10986953.299999999</v>
      </c>
      <c r="AH413" s="64" t="str">
        <f>AH409</f>
        <v>în implementare</v>
      </c>
      <c r="AI413" s="61" t="s">
        <v>181</v>
      </c>
      <c r="AJ413" s="62">
        <v>0</v>
      </c>
      <c r="AK413" s="62">
        <v>0</v>
      </c>
    </row>
    <row r="414" spans="1:37" ht="157.5" x14ac:dyDescent="0.25">
      <c r="A414" s="345" t="s">
        <v>2158</v>
      </c>
      <c r="B414" s="235">
        <v>127638</v>
      </c>
      <c r="C414" s="268">
        <v>607</v>
      </c>
      <c r="D414" s="235" t="s">
        <v>173</v>
      </c>
      <c r="E414" s="260" t="s">
        <v>1582</v>
      </c>
      <c r="F414" s="451" t="s">
        <v>1277</v>
      </c>
      <c r="G414" s="232" t="s">
        <v>1590</v>
      </c>
      <c r="H414" s="247" t="s">
        <v>1591</v>
      </c>
      <c r="I414" s="260" t="s">
        <v>1662</v>
      </c>
      <c r="J414" s="37" t="s">
        <v>1596</v>
      </c>
      <c r="K414" s="148">
        <v>43670</v>
      </c>
      <c r="L414" s="148">
        <v>44766</v>
      </c>
      <c r="M414" s="5">
        <f t="shared" si="320"/>
        <v>83.983862864065983</v>
      </c>
      <c r="N414" s="82" t="s">
        <v>152</v>
      </c>
      <c r="O414" s="2" t="s">
        <v>335</v>
      </c>
      <c r="P414" s="2" t="s">
        <v>153</v>
      </c>
      <c r="Q414" s="90" t="s">
        <v>154</v>
      </c>
      <c r="R414" s="2" t="s">
        <v>36</v>
      </c>
      <c r="S414" s="55">
        <f>T414+U414</f>
        <v>17926249.02</v>
      </c>
      <c r="T414" s="234">
        <v>14455958</v>
      </c>
      <c r="U414" s="234">
        <v>3470291.02</v>
      </c>
      <c r="V414" s="55">
        <f t="shared" si="312"/>
        <v>1799975.77</v>
      </c>
      <c r="W414" s="234">
        <v>1330197.26</v>
      </c>
      <c r="X414" s="234">
        <v>469778.51</v>
      </c>
      <c r="Y414" s="55">
        <f>Z414+AA414</f>
        <v>1618648.39</v>
      </c>
      <c r="Z414" s="234">
        <v>1220854.1599999999</v>
      </c>
      <c r="AA414" s="234">
        <v>397794.23</v>
      </c>
      <c r="AB414" s="55">
        <f t="shared" si="314"/>
        <v>0</v>
      </c>
      <c r="AC414" s="234">
        <v>0</v>
      </c>
      <c r="AD414" s="234">
        <v>0</v>
      </c>
      <c r="AE414" s="63">
        <f t="shared" si="319"/>
        <v>21344873.18</v>
      </c>
      <c r="AF414" s="95">
        <v>0</v>
      </c>
      <c r="AG414" s="55">
        <f t="shared" si="315"/>
        <v>21344873.18</v>
      </c>
      <c r="AH414" s="64" t="str">
        <f>AH410</f>
        <v>în implementare</v>
      </c>
      <c r="AI414" s="61" t="s">
        <v>181</v>
      </c>
      <c r="AJ414" s="62">
        <v>0</v>
      </c>
      <c r="AK414" s="62">
        <v>0</v>
      </c>
    </row>
    <row r="415" spans="1:37" ht="141.75" x14ac:dyDescent="0.25">
      <c r="A415" s="345" t="s">
        <v>2159</v>
      </c>
      <c r="B415" s="235">
        <v>126229</v>
      </c>
      <c r="C415" s="268">
        <v>639</v>
      </c>
      <c r="D415" s="268" t="s">
        <v>164</v>
      </c>
      <c r="E415" s="268" t="s">
        <v>1582</v>
      </c>
      <c r="F415" s="451" t="s">
        <v>1592</v>
      </c>
      <c r="G415" s="232" t="s">
        <v>1593</v>
      </c>
      <c r="H415" s="247" t="s">
        <v>655</v>
      </c>
      <c r="I415" s="260" t="s">
        <v>1594</v>
      </c>
      <c r="J415" s="37" t="s">
        <v>1595</v>
      </c>
      <c r="K415" s="148">
        <v>43670</v>
      </c>
      <c r="L415" s="148">
        <v>44401</v>
      </c>
      <c r="M415" s="5">
        <f t="shared" si="320"/>
        <v>83.98386251323501</v>
      </c>
      <c r="N415" s="82" t="s">
        <v>152</v>
      </c>
      <c r="O415" s="2" t="s">
        <v>335</v>
      </c>
      <c r="P415" s="2" t="s">
        <v>153</v>
      </c>
      <c r="Q415" s="90" t="s">
        <v>154</v>
      </c>
      <c r="R415" s="2" t="s">
        <v>36</v>
      </c>
      <c r="S415" s="55">
        <f t="shared" ref="S415" si="321">T415+U415</f>
        <v>4825816.88</v>
      </c>
      <c r="T415" s="234">
        <v>3891600.89</v>
      </c>
      <c r="U415" s="234">
        <v>934215.99</v>
      </c>
      <c r="V415" s="55">
        <f t="shared" si="312"/>
        <v>0</v>
      </c>
      <c r="W415" s="234">
        <v>0</v>
      </c>
      <c r="X415" s="234">
        <v>0</v>
      </c>
      <c r="Y415" s="55">
        <f t="shared" ref="Y415" si="322">Z415+AA415</f>
        <v>920307.12</v>
      </c>
      <c r="Z415" s="234">
        <v>686753.08</v>
      </c>
      <c r="AA415" s="234">
        <v>233554.04</v>
      </c>
      <c r="AB415" s="55">
        <f t="shared" ref="AB415:AB422" si="323">AC415+AD415</f>
        <v>0</v>
      </c>
      <c r="AC415" s="234">
        <v>0</v>
      </c>
      <c r="AD415" s="234">
        <v>0</v>
      </c>
      <c r="AE415" s="63">
        <f t="shared" si="319"/>
        <v>5746124</v>
      </c>
      <c r="AF415" s="95">
        <v>0</v>
      </c>
      <c r="AG415" s="95">
        <f t="shared" si="315"/>
        <v>5746124</v>
      </c>
      <c r="AH415" s="64" t="str">
        <f>AH412</f>
        <v>în implementare</v>
      </c>
      <c r="AI415" s="61" t="s">
        <v>181</v>
      </c>
      <c r="AJ415" s="248"/>
      <c r="AK415" s="248"/>
    </row>
    <row r="416" spans="1:37" ht="409.5" x14ac:dyDescent="0.25">
      <c r="A416" s="345" t="s">
        <v>2160</v>
      </c>
      <c r="B416" s="235">
        <v>127545</v>
      </c>
      <c r="C416" s="268">
        <v>613</v>
      </c>
      <c r="D416" s="268" t="s">
        <v>170</v>
      </c>
      <c r="E416" s="268" t="s">
        <v>161</v>
      </c>
      <c r="F416" s="451" t="s">
        <v>1277</v>
      </c>
      <c r="G416" s="232" t="s">
        <v>1609</v>
      </c>
      <c r="H416" s="247" t="s">
        <v>86</v>
      </c>
      <c r="I416" s="260" t="s">
        <v>1610</v>
      </c>
      <c r="J416" s="37" t="s">
        <v>1611</v>
      </c>
      <c r="K416" s="148">
        <v>43677</v>
      </c>
      <c r="L416" s="148">
        <v>44773</v>
      </c>
      <c r="M416" s="5">
        <f t="shared" si="320"/>
        <v>83.475297132946864</v>
      </c>
      <c r="N416" s="82" t="s">
        <v>152</v>
      </c>
      <c r="O416" s="2" t="s">
        <v>335</v>
      </c>
      <c r="P416" s="2" t="s">
        <v>153</v>
      </c>
      <c r="Q416" s="90" t="s">
        <v>154</v>
      </c>
      <c r="R416" s="2" t="s">
        <v>36</v>
      </c>
      <c r="S416" s="55">
        <f>T416+U416</f>
        <v>20868817.48</v>
      </c>
      <c r="T416" s="234">
        <v>16828883.140000001</v>
      </c>
      <c r="U416" s="234">
        <v>4039934.34</v>
      </c>
      <c r="V416" s="55">
        <f t="shared" ref="V416:V421" si="324">W416+X416</f>
        <v>1188078.3899999999</v>
      </c>
      <c r="W416" s="234">
        <v>886569.82</v>
      </c>
      <c r="X416" s="234">
        <v>301508.57</v>
      </c>
      <c r="Y416" s="55">
        <f>Z416+AA416</f>
        <v>2791708.05</v>
      </c>
      <c r="Z416" s="234">
        <v>2083232.98</v>
      </c>
      <c r="AA416" s="234">
        <v>708475.07</v>
      </c>
      <c r="AB416" s="55">
        <f t="shared" si="323"/>
        <v>151387.93</v>
      </c>
      <c r="AC416" s="234">
        <v>120621.75999999999</v>
      </c>
      <c r="AD416" s="234">
        <v>30766.17</v>
      </c>
      <c r="AE416" s="63">
        <f t="shared" si="319"/>
        <v>24999991.850000001</v>
      </c>
      <c r="AF416" s="95">
        <v>0</v>
      </c>
      <c r="AG416" s="95">
        <f t="shared" ref="AG416:AG421" si="325">AE416+AF416</f>
        <v>24999991.850000001</v>
      </c>
      <c r="AH416" s="64" t="str">
        <f>AH414</f>
        <v>în implementare</v>
      </c>
      <c r="AI416" s="61" t="s">
        <v>181</v>
      </c>
      <c r="AJ416" s="62">
        <v>0</v>
      </c>
      <c r="AK416" s="62">
        <v>0</v>
      </c>
    </row>
    <row r="417" spans="1:37" ht="157.5" x14ac:dyDescent="0.25">
      <c r="A417" s="345" t="s">
        <v>2161</v>
      </c>
      <c r="B417" s="271">
        <v>127380</v>
      </c>
      <c r="C417" s="424">
        <v>577</v>
      </c>
      <c r="D417" s="424" t="s">
        <v>173</v>
      </c>
      <c r="E417" s="268" t="s">
        <v>161</v>
      </c>
      <c r="F417" s="451" t="s">
        <v>1277</v>
      </c>
      <c r="G417" s="164" t="s">
        <v>1613</v>
      </c>
      <c r="H417" s="247" t="s">
        <v>1614</v>
      </c>
      <c r="I417" s="260" t="s">
        <v>181</v>
      </c>
      <c r="J417" s="37" t="s">
        <v>1663</v>
      </c>
      <c r="K417" s="148">
        <v>43679</v>
      </c>
      <c r="L417" s="148">
        <v>44594</v>
      </c>
      <c r="M417" s="5">
        <f t="shared" si="320"/>
        <v>83.983864849196593</v>
      </c>
      <c r="N417" s="82" t="s">
        <v>152</v>
      </c>
      <c r="O417" s="2" t="s">
        <v>335</v>
      </c>
      <c r="P417" s="2" t="s">
        <v>153</v>
      </c>
      <c r="Q417" s="90" t="s">
        <v>154</v>
      </c>
      <c r="R417" s="2" t="s">
        <v>36</v>
      </c>
      <c r="S417" s="55">
        <f>T417+U417</f>
        <v>7180529.9100000001</v>
      </c>
      <c r="T417" s="234">
        <v>5790470.9400000004</v>
      </c>
      <c r="U417" s="234">
        <v>1390058.97</v>
      </c>
      <c r="V417" s="55">
        <f t="shared" si="324"/>
        <v>0</v>
      </c>
      <c r="W417" s="234">
        <v>0</v>
      </c>
      <c r="X417" s="234">
        <v>0</v>
      </c>
      <c r="Y417" s="55">
        <f>Z417+AA417</f>
        <v>1369362.29</v>
      </c>
      <c r="Z417" s="234">
        <v>1021847.83</v>
      </c>
      <c r="AA417" s="234">
        <v>347514.46</v>
      </c>
      <c r="AB417" s="55">
        <f t="shared" si="323"/>
        <v>0</v>
      </c>
      <c r="AC417" s="234">
        <v>0</v>
      </c>
      <c r="AD417" s="234">
        <v>0</v>
      </c>
      <c r="AE417" s="63">
        <f t="shared" si="319"/>
        <v>8549892.1999999993</v>
      </c>
      <c r="AF417" s="95">
        <v>0</v>
      </c>
      <c r="AG417" s="95">
        <f t="shared" si="325"/>
        <v>8549892.1999999993</v>
      </c>
      <c r="AH417" s="64" t="str">
        <f>AH415</f>
        <v>în implementare</v>
      </c>
      <c r="AI417" s="61" t="s">
        <v>181</v>
      </c>
      <c r="AJ417" s="250">
        <v>0</v>
      </c>
      <c r="AK417" s="250">
        <v>0</v>
      </c>
    </row>
    <row r="418" spans="1:37" ht="141.75" x14ac:dyDescent="0.25">
      <c r="A418" s="345" t="s">
        <v>2162</v>
      </c>
      <c r="B418" s="271">
        <v>127401</v>
      </c>
      <c r="C418" s="424">
        <v>599</v>
      </c>
      <c r="D418" s="424" t="s">
        <v>159</v>
      </c>
      <c r="E418" s="269" t="s">
        <v>161</v>
      </c>
      <c r="F418" s="269" t="s">
        <v>1277</v>
      </c>
      <c r="G418" s="164" t="s">
        <v>1616</v>
      </c>
      <c r="H418" s="126" t="s">
        <v>1615</v>
      </c>
      <c r="I418" s="260" t="s">
        <v>181</v>
      </c>
      <c r="J418" s="37" t="s">
        <v>1617</v>
      </c>
      <c r="K418" s="148">
        <v>43677</v>
      </c>
      <c r="L418" s="148" t="s">
        <v>1744</v>
      </c>
      <c r="M418" s="5">
        <f t="shared" si="320"/>
        <v>83.983862769687562</v>
      </c>
      <c r="N418" s="82" t="s">
        <v>152</v>
      </c>
      <c r="O418" s="2" t="s">
        <v>335</v>
      </c>
      <c r="P418" s="2" t="s">
        <v>153</v>
      </c>
      <c r="Q418" s="90" t="s">
        <v>154</v>
      </c>
      <c r="R418" s="2" t="s">
        <v>36</v>
      </c>
      <c r="S418" s="55">
        <f>T418+U418</f>
        <v>3643193.6799999992</v>
      </c>
      <c r="T418" s="234">
        <v>2937918.2999999993</v>
      </c>
      <c r="U418" s="234">
        <v>705275.38</v>
      </c>
      <c r="V418" s="55">
        <f t="shared" si="324"/>
        <v>0</v>
      </c>
      <c r="W418" s="234">
        <v>0</v>
      </c>
      <c r="X418" s="234">
        <v>0</v>
      </c>
      <c r="Y418" s="55">
        <f>Z418+AA418</f>
        <v>694775.02</v>
      </c>
      <c r="Z418" s="234">
        <v>518456.16</v>
      </c>
      <c r="AA418" s="234">
        <v>176318.86</v>
      </c>
      <c r="AB418" s="55">
        <f t="shared" si="323"/>
        <v>0</v>
      </c>
      <c r="AC418" s="234">
        <v>0</v>
      </c>
      <c r="AD418" s="234">
        <v>0</v>
      </c>
      <c r="AE418" s="63">
        <f t="shared" si="319"/>
        <v>4337968.6999999993</v>
      </c>
      <c r="AF418" s="95">
        <v>0</v>
      </c>
      <c r="AG418" s="95">
        <f t="shared" si="325"/>
        <v>4337968.6999999993</v>
      </c>
      <c r="AH418" s="64" t="str">
        <f>AH416</f>
        <v>în implementare</v>
      </c>
      <c r="AI418" s="61" t="s">
        <v>181</v>
      </c>
      <c r="AJ418" s="250">
        <v>0</v>
      </c>
      <c r="AK418" s="250">
        <v>0</v>
      </c>
    </row>
    <row r="419" spans="1:37" ht="409.5" x14ac:dyDescent="0.25">
      <c r="A419" s="345" t="s">
        <v>2163</v>
      </c>
      <c r="B419" s="271">
        <v>126656</v>
      </c>
      <c r="C419" s="424">
        <v>588</v>
      </c>
      <c r="D419" s="424" t="s">
        <v>668</v>
      </c>
      <c r="E419" s="268" t="s">
        <v>161</v>
      </c>
      <c r="F419" s="269" t="s">
        <v>1277</v>
      </c>
      <c r="G419" s="164" t="s">
        <v>1622</v>
      </c>
      <c r="H419" s="126" t="s">
        <v>1623</v>
      </c>
      <c r="I419" s="260" t="s">
        <v>1624</v>
      </c>
      <c r="J419" s="37" t="s">
        <v>1625</v>
      </c>
      <c r="K419" s="148">
        <v>43679</v>
      </c>
      <c r="L419" s="148">
        <v>44410</v>
      </c>
      <c r="M419" s="5">
        <f t="shared" si="320"/>
        <v>83.983862966362523</v>
      </c>
      <c r="N419" s="82" t="s">
        <v>152</v>
      </c>
      <c r="O419" s="2" t="s">
        <v>335</v>
      </c>
      <c r="P419" s="2" t="s">
        <v>153</v>
      </c>
      <c r="Q419" s="90" t="s">
        <v>154</v>
      </c>
      <c r="R419" s="2" t="s">
        <v>36</v>
      </c>
      <c r="S419" s="55">
        <f>T419+U419</f>
        <v>15554651.260000002</v>
      </c>
      <c r="T419" s="234">
        <v>12543471.050000001</v>
      </c>
      <c r="U419" s="234">
        <v>3011180.21</v>
      </c>
      <c r="V419" s="55">
        <f t="shared" si="324"/>
        <v>350403.42000000004</v>
      </c>
      <c r="W419" s="234">
        <v>258951.04000000001</v>
      </c>
      <c r="X419" s="234">
        <v>91452.38</v>
      </c>
      <c r="Y419" s="55">
        <f>Z419+AA419</f>
        <v>2615945.3199999998</v>
      </c>
      <c r="Z419" s="234">
        <v>1954602.64</v>
      </c>
      <c r="AA419" s="234">
        <v>661342.68000000005</v>
      </c>
      <c r="AB419" s="55">
        <f t="shared" si="323"/>
        <v>0</v>
      </c>
      <c r="AC419" s="234">
        <v>0</v>
      </c>
      <c r="AD419" s="234">
        <v>0</v>
      </c>
      <c r="AE419" s="63">
        <f t="shared" si="319"/>
        <v>18521000</v>
      </c>
      <c r="AF419" s="95">
        <v>0</v>
      </c>
      <c r="AG419" s="95">
        <f t="shared" si="325"/>
        <v>18521000</v>
      </c>
      <c r="AH419" s="64" t="str">
        <f>AH417</f>
        <v>în implementare</v>
      </c>
      <c r="AI419" s="249"/>
      <c r="AJ419" s="250">
        <v>0</v>
      </c>
      <c r="AK419" s="250">
        <v>0</v>
      </c>
    </row>
    <row r="420" spans="1:37" ht="173.25" x14ac:dyDescent="0.25">
      <c r="A420" s="345" t="s">
        <v>2164</v>
      </c>
      <c r="B420" s="271">
        <v>127529</v>
      </c>
      <c r="C420" s="424">
        <v>618</v>
      </c>
      <c r="D420" s="424" t="s">
        <v>159</v>
      </c>
      <c r="E420" s="268" t="s">
        <v>161</v>
      </c>
      <c r="F420" s="269" t="s">
        <v>1277</v>
      </c>
      <c r="G420" s="164" t="s">
        <v>1638</v>
      </c>
      <c r="H420" s="126" t="s">
        <v>1639</v>
      </c>
      <c r="I420" s="260" t="s">
        <v>181</v>
      </c>
      <c r="J420" s="37" t="s">
        <v>1640</v>
      </c>
      <c r="K420" s="148">
        <v>43683</v>
      </c>
      <c r="L420" s="148">
        <v>44779</v>
      </c>
      <c r="M420" s="5">
        <f t="shared" si="320"/>
        <v>83.983863227150081</v>
      </c>
      <c r="N420" s="82" t="s">
        <v>152</v>
      </c>
      <c r="O420" s="2" t="s">
        <v>335</v>
      </c>
      <c r="P420" s="2" t="s">
        <v>153</v>
      </c>
      <c r="Q420" s="90" t="s">
        <v>154</v>
      </c>
      <c r="R420" s="2" t="s">
        <v>36</v>
      </c>
      <c r="S420" s="55">
        <v>12609023.520000001</v>
      </c>
      <c r="T420" s="234">
        <v>10168078.920000002</v>
      </c>
      <c r="U420" s="234">
        <v>2440944.5999999996</v>
      </c>
      <c r="V420" s="55">
        <v>0</v>
      </c>
      <c r="W420" s="234">
        <v>0</v>
      </c>
      <c r="X420" s="234">
        <v>0</v>
      </c>
      <c r="Y420" s="55">
        <v>2404602.9499999997</v>
      </c>
      <c r="Z420" s="234">
        <v>1794366.795993312</v>
      </c>
      <c r="AA420" s="234">
        <v>610236.15400668769</v>
      </c>
      <c r="AB420" s="55">
        <v>0</v>
      </c>
      <c r="AC420" s="234">
        <v>0</v>
      </c>
      <c r="AD420" s="234">
        <v>0</v>
      </c>
      <c r="AE420" s="63">
        <v>15013626.470000001</v>
      </c>
      <c r="AF420" s="95">
        <v>0</v>
      </c>
      <c r="AG420" s="95">
        <v>15013626.470000001</v>
      </c>
      <c r="AH420" s="64" t="s">
        <v>892</v>
      </c>
      <c r="AI420" s="249"/>
      <c r="AJ420" s="250"/>
      <c r="AK420" s="250"/>
    </row>
    <row r="421" spans="1:37" ht="189" x14ac:dyDescent="0.25">
      <c r="A421" s="345" t="s">
        <v>2165</v>
      </c>
      <c r="B421" s="271">
        <v>127558</v>
      </c>
      <c r="C421" s="424">
        <v>617</v>
      </c>
      <c r="D421" s="424" t="s">
        <v>170</v>
      </c>
      <c r="E421" s="268" t="s">
        <v>161</v>
      </c>
      <c r="F421" s="269" t="s">
        <v>1277</v>
      </c>
      <c r="G421" s="164" t="s">
        <v>1648</v>
      </c>
      <c r="H421" s="126" t="s">
        <v>1556</v>
      </c>
      <c r="I421" s="260" t="s">
        <v>1649</v>
      </c>
      <c r="J421" s="37" t="s">
        <v>1652</v>
      </c>
      <c r="K421" s="148">
        <v>43690</v>
      </c>
      <c r="L421" s="148">
        <v>44421</v>
      </c>
      <c r="M421" s="5">
        <f t="shared" si="320"/>
        <v>83.983863794320328</v>
      </c>
      <c r="N421" s="82" t="s">
        <v>152</v>
      </c>
      <c r="O421" s="2" t="s">
        <v>335</v>
      </c>
      <c r="P421" s="2" t="s">
        <v>153</v>
      </c>
      <c r="Q421" s="90" t="s">
        <v>154</v>
      </c>
      <c r="R421" s="2" t="s">
        <v>36</v>
      </c>
      <c r="S421" s="55">
        <f t="shared" ref="S421:S429" si="326">T421+U421</f>
        <v>6667503.0499999998</v>
      </c>
      <c r="T421" s="234">
        <v>5376760.2599999998</v>
      </c>
      <c r="U421" s="234">
        <v>1290742.79</v>
      </c>
      <c r="V421" s="55">
        <f t="shared" si="324"/>
        <v>810245.43</v>
      </c>
      <c r="W421" s="234">
        <v>598778.27</v>
      </c>
      <c r="X421" s="234">
        <v>211467.16</v>
      </c>
      <c r="Y421" s="55">
        <f t="shared" ref="Y421:Y429" si="327">Z421+AA421</f>
        <v>461280.22</v>
      </c>
      <c r="Z421" s="234">
        <v>350061.75</v>
      </c>
      <c r="AA421" s="234">
        <v>111218.47</v>
      </c>
      <c r="AB421" s="55">
        <f t="shared" si="323"/>
        <v>0</v>
      </c>
      <c r="AC421" s="234">
        <v>0</v>
      </c>
      <c r="AD421" s="234">
        <v>0</v>
      </c>
      <c r="AE421" s="63">
        <f t="shared" si="319"/>
        <v>7939028.6999999993</v>
      </c>
      <c r="AF421" s="95">
        <v>0</v>
      </c>
      <c r="AG421" s="95">
        <f t="shared" si="325"/>
        <v>7939028.6999999993</v>
      </c>
      <c r="AH421" s="64" t="str">
        <f>AH418</f>
        <v>în implementare</v>
      </c>
      <c r="AI421" s="249" t="s">
        <v>444</v>
      </c>
      <c r="AJ421" s="62">
        <v>0</v>
      </c>
      <c r="AK421" s="62">
        <v>0</v>
      </c>
    </row>
    <row r="422" spans="1:37" ht="252" x14ac:dyDescent="0.25">
      <c r="A422" s="345" t="s">
        <v>2166</v>
      </c>
      <c r="B422" s="271">
        <v>125764</v>
      </c>
      <c r="C422" s="424">
        <v>586</v>
      </c>
      <c r="D422" s="424" t="s">
        <v>171</v>
      </c>
      <c r="E422" s="268" t="s">
        <v>161</v>
      </c>
      <c r="F422" s="269" t="s">
        <v>1277</v>
      </c>
      <c r="G422" s="164" t="s">
        <v>1650</v>
      </c>
      <c r="H422" s="126" t="s">
        <v>1407</v>
      </c>
      <c r="I422" s="260" t="s">
        <v>444</v>
      </c>
      <c r="J422" s="37" t="s">
        <v>1651</v>
      </c>
      <c r="K422" s="148">
        <v>43690</v>
      </c>
      <c r="L422" s="148">
        <v>44664</v>
      </c>
      <c r="M422" s="5">
        <f t="shared" si="320"/>
        <v>83.983863024285967</v>
      </c>
      <c r="N422" s="82" t="s">
        <v>152</v>
      </c>
      <c r="O422" s="2" t="s">
        <v>335</v>
      </c>
      <c r="P422" s="2" t="s">
        <v>153</v>
      </c>
      <c r="Q422" s="90" t="s">
        <v>154</v>
      </c>
      <c r="R422" s="2" t="s">
        <v>36</v>
      </c>
      <c r="S422" s="55">
        <f t="shared" si="326"/>
        <v>13134256.989999998</v>
      </c>
      <c r="T422" s="234">
        <v>10591633.949999999</v>
      </c>
      <c r="U422" s="234">
        <v>2542623.04</v>
      </c>
      <c r="V422" s="55">
        <f>W422+X422</f>
        <v>0</v>
      </c>
      <c r="W422" s="234">
        <v>0</v>
      </c>
      <c r="X422" s="234">
        <v>0</v>
      </c>
      <c r="Y422" s="55">
        <f t="shared" si="327"/>
        <v>2504767.6</v>
      </c>
      <c r="Z422" s="234">
        <v>1869111.83</v>
      </c>
      <c r="AA422" s="234">
        <v>635655.77</v>
      </c>
      <c r="AB422" s="55">
        <f t="shared" si="323"/>
        <v>0</v>
      </c>
      <c r="AC422" s="234"/>
      <c r="AD422" s="234"/>
      <c r="AE422" s="63">
        <f t="shared" ref="AE422:AE429" si="328">S422+V422+Y422+AB422</f>
        <v>15639024.589999998</v>
      </c>
      <c r="AF422" s="95">
        <v>0</v>
      </c>
      <c r="AG422" s="95">
        <f>AE422+AF422</f>
        <v>15639024.589999998</v>
      </c>
      <c r="AH422" s="64" t="str">
        <f>AH419</f>
        <v>în implementare</v>
      </c>
      <c r="AI422" s="249"/>
      <c r="AJ422" s="62"/>
      <c r="AK422" s="62"/>
    </row>
    <row r="423" spans="1:37" ht="189" x14ac:dyDescent="0.25">
      <c r="A423" s="345" t="s">
        <v>2167</v>
      </c>
      <c r="B423" s="271">
        <v>127462</v>
      </c>
      <c r="C423" s="424">
        <v>581</v>
      </c>
      <c r="D423" s="424" t="s">
        <v>173</v>
      </c>
      <c r="E423" s="268" t="s">
        <v>161</v>
      </c>
      <c r="F423" s="269" t="s">
        <v>1277</v>
      </c>
      <c r="G423" s="164" t="s">
        <v>1653</v>
      </c>
      <c r="H423" s="126" t="s">
        <v>1654</v>
      </c>
      <c r="I423" s="260" t="s">
        <v>1655</v>
      </c>
      <c r="J423" s="37" t="s">
        <v>1656</v>
      </c>
      <c r="K423" s="148">
        <v>43690</v>
      </c>
      <c r="L423" s="148">
        <v>44543</v>
      </c>
      <c r="M423" s="5">
        <f t="shared" si="320"/>
        <v>83.81974496254557</v>
      </c>
      <c r="N423" s="82" t="s">
        <v>152</v>
      </c>
      <c r="O423" s="2" t="s">
        <v>335</v>
      </c>
      <c r="P423" s="2" t="s">
        <v>153</v>
      </c>
      <c r="Q423" s="90" t="s">
        <v>154</v>
      </c>
      <c r="R423" s="2" t="s">
        <v>36</v>
      </c>
      <c r="S423" s="55">
        <f t="shared" si="326"/>
        <v>16722840.989999998</v>
      </c>
      <c r="T423" s="234">
        <v>13485514.289999999</v>
      </c>
      <c r="U423" s="234">
        <v>3237326.7</v>
      </c>
      <c r="V423" s="55">
        <f>W423+X423</f>
        <v>2829096.54</v>
      </c>
      <c r="W423" s="234">
        <v>2092933.21</v>
      </c>
      <c r="X423" s="234">
        <v>736163.33</v>
      </c>
      <c r="Y423" s="55">
        <f t="shared" si="327"/>
        <v>360031.77</v>
      </c>
      <c r="Z423" s="234">
        <v>286863.42</v>
      </c>
      <c r="AA423" s="234">
        <v>73168.350000000006</v>
      </c>
      <c r="AB423" s="55">
        <f>AC423+AD423</f>
        <v>38987.360000000001</v>
      </c>
      <c r="AC423" s="234">
        <v>31064.05</v>
      </c>
      <c r="AD423" s="234">
        <v>7923.31</v>
      </c>
      <c r="AE423" s="63">
        <f t="shared" si="328"/>
        <v>19950956.659999996</v>
      </c>
      <c r="AF423" s="95">
        <v>0</v>
      </c>
      <c r="AG423" s="95">
        <f>AE423+AF423</f>
        <v>19950956.659999996</v>
      </c>
      <c r="AH423" s="64" t="str">
        <f>AH420</f>
        <v>în implementare</v>
      </c>
      <c r="AI423" s="249"/>
      <c r="AJ423" s="62"/>
      <c r="AK423" s="62"/>
    </row>
    <row r="424" spans="1:37" ht="252" x14ac:dyDescent="0.25">
      <c r="A424" s="345" t="s">
        <v>2168</v>
      </c>
      <c r="B424" s="235">
        <v>129502</v>
      </c>
      <c r="C424" s="268">
        <v>746</v>
      </c>
      <c r="D424" s="235" t="s">
        <v>159</v>
      </c>
      <c r="E424" s="270" t="s">
        <v>174</v>
      </c>
      <c r="F424" s="419" t="s">
        <v>1578</v>
      </c>
      <c r="G424" s="37" t="s">
        <v>1675</v>
      </c>
      <c r="H424" s="11" t="s">
        <v>1674</v>
      </c>
      <c r="I424" s="260" t="s">
        <v>1673</v>
      </c>
      <c r="J424" s="36" t="s">
        <v>1672</v>
      </c>
      <c r="K424" s="148">
        <v>43697</v>
      </c>
      <c r="L424" s="267" t="s">
        <v>1667</v>
      </c>
      <c r="M424" s="5">
        <f t="shared" si="320"/>
        <v>83.983862795774542</v>
      </c>
      <c r="N424" s="6">
        <v>8</v>
      </c>
      <c r="O424" s="6" t="s">
        <v>1666</v>
      </c>
      <c r="P424" s="6" t="s">
        <v>335</v>
      </c>
      <c r="Q424" s="10" t="s">
        <v>154</v>
      </c>
      <c r="R424" s="8" t="s">
        <v>36</v>
      </c>
      <c r="S424" s="57">
        <f t="shared" si="326"/>
        <v>16341565.460000003</v>
      </c>
      <c r="T424" s="234">
        <v>13178048.740000002</v>
      </c>
      <c r="U424" s="234">
        <v>3163516.7200000011</v>
      </c>
      <c r="V424" s="57">
        <f>W424+X424</f>
        <v>612798.06999999983</v>
      </c>
      <c r="W424" s="234">
        <v>452862.94999999984</v>
      </c>
      <c r="X424" s="234">
        <v>159935.11999999994</v>
      </c>
      <c r="Y424" s="57">
        <f t="shared" si="327"/>
        <v>2503619.13</v>
      </c>
      <c r="Z424" s="234">
        <v>1872675.12</v>
      </c>
      <c r="AA424" s="234">
        <v>630944.01</v>
      </c>
      <c r="AB424" s="58">
        <f>AC424+AD424</f>
        <v>0</v>
      </c>
      <c r="AC424" s="234">
        <v>0</v>
      </c>
      <c r="AD424" s="234">
        <v>0</v>
      </c>
      <c r="AE424" s="63">
        <f t="shared" si="328"/>
        <v>19457982.66</v>
      </c>
      <c r="AF424" s="55">
        <v>0</v>
      </c>
      <c r="AG424" s="55">
        <f>AE424+AF424</f>
        <v>19457982.66</v>
      </c>
      <c r="AH424" s="60" t="s">
        <v>607</v>
      </c>
      <c r="AI424" s="61" t="s">
        <v>181</v>
      </c>
      <c r="AJ424" s="72"/>
      <c r="AK424" s="62"/>
    </row>
    <row r="425" spans="1:37" ht="173.25" x14ac:dyDescent="0.25">
      <c r="A425" s="345" t="s">
        <v>2169</v>
      </c>
      <c r="B425" s="235">
        <v>129865</v>
      </c>
      <c r="C425" s="268">
        <v>747</v>
      </c>
      <c r="D425" s="235" t="s">
        <v>159</v>
      </c>
      <c r="E425" s="270" t="s">
        <v>174</v>
      </c>
      <c r="F425" s="419" t="s">
        <v>1578</v>
      </c>
      <c r="G425" s="37" t="s">
        <v>1671</v>
      </c>
      <c r="H425" s="11" t="s">
        <v>1670</v>
      </c>
      <c r="I425" s="260" t="s">
        <v>1669</v>
      </c>
      <c r="J425" s="36" t="s">
        <v>1668</v>
      </c>
      <c r="K425" s="148">
        <v>43697</v>
      </c>
      <c r="L425" s="267" t="s">
        <v>1667</v>
      </c>
      <c r="M425" s="5">
        <f t="shared" si="320"/>
        <v>83.983862799999997</v>
      </c>
      <c r="N425" s="6">
        <v>8</v>
      </c>
      <c r="O425" s="6" t="s">
        <v>1666</v>
      </c>
      <c r="P425" s="6" t="s">
        <v>335</v>
      </c>
      <c r="Q425" s="10" t="s">
        <v>154</v>
      </c>
      <c r="R425" s="8" t="s">
        <v>36</v>
      </c>
      <c r="S425" s="57">
        <f t="shared" si="326"/>
        <v>20995965.699999999</v>
      </c>
      <c r="T425" s="234">
        <v>16931417.09</v>
      </c>
      <c r="U425" s="234">
        <v>4064548.61</v>
      </c>
      <c r="V425" s="57">
        <f>W425+X425</f>
        <v>517002.47000000003</v>
      </c>
      <c r="W425" s="234">
        <v>382069.15</v>
      </c>
      <c r="X425" s="234">
        <v>134933.32</v>
      </c>
      <c r="Y425" s="57">
        <f t="shared" si="327"/>
        <v>3487031.83</v>
      </c>
      <c r="Z425" s="234">
        <v>2605827.96</v>
      </c>
      <c r="AA425" s="234">
        <v>881203.87</v>
      </c>
      <c r="AB425" s="58">
        <f>AC425+AD425</f>
        <v>0</v>
      </c>
      <c r="AC425" s="234">
        <v>0</v>
      </c>
      <c r="AD425" s="234">
        <v>0</v>
      </c>
      <c r="AE425" s="63">
        <f t="shared" si="328"/>
        <v>25000000</v>
      </c>
      <c r="AF425" s="55">
        <v>0</v>
      </c>
      <c r="AG425" s="55">
        <f>AE425+AF425</f>
        <v>25000000</v>
      </c>
      <c r="AH425" s="60" t="s">
        <v>607</v>
      </c>
      <c r="AI425" s="61" t="s">
        <v>181</v>
      </c>
      <c r="AJ425" s="72"/>
      <c r="AK425" s="62"/>
    </row>
    <row r="426" spans="1:37" ht="315" x14ac:dyDescent="0.25">
      <c r="A426" s="345" t="s">
        <v>2170</v>
      </c>
      <c r="B426" s="271">
        <v>127554</v>
      </c>
      <c r="C426" s="424">
        <v>596</v>
      </c>
      <c r="D426" s="271" t="s">
        <v>172</v>
      </c>
      <c r="E426" s="452" t="str">
        <f>$E$425</f>
        <v xml:space="preserve">AP1/11i /1.2 </v>
      </c>
      <c r="F426" s="428" t="e">
        <f>#REF!</f>
        <v>#REF!</v>
      </c>
      <c r="G426" s="272" t="s">
        <v>1683</v>
      </c>
      <c r="H426" s="11" t="s">
        <v>74</v>
      </c>
      <c r="I426" s="260" t="s">
        <v>1684</v>
      </c>
      <c r="J426" s="36" t="s">
        <v>1686</v>
      </c>
      <c r="K426" s="148">
        <v>43698</v>
      </c>
      <c r="L426" s="267" t="s">
        <v>1685</v>
      </c>
      <c r="M426" s="5">
        <f t="shared" si="320"/>
        <v>83.983862444458254</v>
      </c>
      <c r="N426" s="6">
        <f t="shared" ref="N426:R426" si="329">N425</f>
        <v>8</v>
      </c>
      <c r="O426" s="6" t="str">
        <f t="shared" si="329"/>
        <v>Național</v>
      </c>
      <c r="P426" s="6" t="str">
        <f t="shared" si="329"/>
        <v>București</v>
      </c>
      <c r="Q426" s="10" t="str">
        <f t="shared" si="329"/>
        <v>APC</v>
      </c>
      <c r="R426" s="8" t="str">
        <f t="shared" si="329"/>
        <v>119 - Investiții în capacitatea instituțională și în eficiența administrațiilor și a serviciilor publice la nivel național, regional și local, în perspectiva realizării de reforme, a unei mai bune legiferări și a bunei guvernanțe</v>
      </c>
      <c r="S426" s="57">
        <f t="shared" si="326"/>
        <v>12098670.199999999</v>
      </c>
      <c r="T426" s="234">
        <v>9756523.4299999997</v>
      </c>
      <c r="U426" s="234">
        <v>2342146.77</v>
      </c>
      <c r="V426" s="57">
        <f>W426+X426</f>
        <v>0</v>
      </c>
      <c r="W426" s="234">
        <v>0</v>
      </c>
      <c r="X426" s="234">
        <v>0</v>
      </c>
      <c r="Y426" s="57">
        <f t="shared" si="327"/>
        <v>2307276.19</v>
      </c>
      <c r="Z426" s="234">
        <v>1721739.47</v>
      </c>
      <c r="AA426" s="234">
        <v>585536.72</v>
      </c>
      <c r="AB426" s="58">
        <f>AC426+AD426</f>
        <v>0</v>
      </c>
      <c r="AC426" s="234">
        <v>0</v>
      </c>
      <c r="AD426" s="234">
        <v>0</v>
      </c>
      <c r="AE426" s="63">
        <f t="shared" si="328"/>
        <v>14405946.389999999</v>
      </c>
      <c r="AF426" s="55">
        <v>1695594.64</v>
      </c>
      <c r="AG426" s="55">
        <f>AE426+AF426</f>
        <v>16101541.029999999</v>
      </c>
      <c r="AH426" s="60" t="str">
        <f>$AH$425</f>
        <v xml:space="preserve"> în implementare</v>
      </c>
      <c r="AI426" s="61" t="s">
        <v>181</v>
      </c>
      <c r="AJ426" s="72"/>
      <c r="AK426" s="62"/>
    </row>
    <row r="427" spans="1:37" ht="204.75" x14ac:dyDescent="0.25">
      <c r="A427" s="345" t="s">
        <v>2171</v>
      </c>
      <c r="B427" s="271">
        <v>127585</v>
      </c>
      <c r="C427" s="424">
        <v>622</v>
      </c>
      <c r="D427" s="271" t="s">
        <v>172</v>
      </c>
      <c r="E427" s="452" t="str">
        <f t="shared" ref="E427:F428" si="330">E426</f>
        <v xml:space="preserve">AP1/11i /1.2 </v>
      </c>
      <c r="F427" s="428" t="e">
        <f t="shared" si="330"/>
        <v>#REF!</v>
      </c>
      <c r="G427" s="272" t="s">
        <v>1693</v>
      </c>
      <c r="H427" s="11" t="s">
        <v>86</v>
      </c>
      <c r="I427" s="260" t="s">
        <v>1690</v>
      </c>
      <c r="J427" s="36" t="s">
        <v>1694</v>
      </c>
      <c r="K427" s="148">
        <v>43703</v>
      </c>
      <c r="L427" s="267" t="s">
        <v>1691</v>
      </c>
      <c r="M427" s="5">
        <f t="shared" si="320"/>
        <v>83.983863237881479</v>
      </c>
      <c r="N427" s="6">
        <f t="shared" ref="N427:N428" si="331">$N$426</f>
        <v>8</v>
      </c>
      <c r="O427" s="6" t="str">
        <f t="shared" ref="O427:R428" si="332">O426</f>
        <v>Național</v>
      </c>
      <c r="P427" s="6" t="str">
        <f t="shared" si="332"/>
        <v>București</v>
      </c>
      <c r="Q427" s="10" t="str">
        <f t="shared" si="332"/>
        <v>APC</v>
      </c>
      <c r="R427" s="8" t="str">
        <f t="shared" si="332"/>
        <v>119 - Investiții în capacitatea instituțională și în eficiența administrațiilor și a serviciilor publice la nivel național, regional și local, în perspectiva realizării de reforme, a unei mai bune legiferări și a bunei guvernanțe</v>
      </c>
      <c r="S427" s="57">
        <f t="shared" si="326"/>
        <v>8398187.4499999993</v>
      </c>
      <c r="T427" s="234">
        <v>6772406.5</v>
      </c>
      <c r="U427" s="234">
        <v>1625780.95</v>
      </c>
      <c r="V427" s="57">
        <f t="shared" ref="V427:V429" si="333">W427+X427</f>
        <v>0</v>
      </c>
      <c r="W427" s="234">
        <v>0</v>
      </c>
      <c r="X427" s="234">
        <v>0</v>
      </c>
      <c r="Y427" s="57">
        <f t="shared" si="327"/>
        <v>1601575.75</v>
      </c>
      <c r="Z427" s="234">
        <v>1195130.5</v>
      </c>
      <c r="AA427" s="234">
        <v>406445.25</v>
      </c>
      <c r="AB427" s="58">
        <f t="shared" ref="AB427:AB429" si="334">AC427+AD427</f>
        <v>0</v>
      </c>
      <c r="AC427" s="234">
        <v>0</v>
      </c>
      <c r="AD427" s="234">
        <v>0</v>
      </c>
      <c r="AE427" s="63">
        <f t="shared" si="328"/>
        <v>9999763.1999999993</v>
      </c>
      <c r="AF427" s="55">
        <v>0</v>
      </c>
      <c r="AG427" s="55">
        <v>0</v>
      </c>
      <c r="AH427" s="60" t="str">
        <f t="shared" ref="AH427:AH428" si="335">$AH$426</f>
        <v xml:space="preserve"> în implementare</v>
      </c>
      <c r="AI427" s="61" t="str">
        <f t="shared" ref="AI427:AI428" si="336">$AI$426</f>
        <v>n.a</v>
      </c>
      <c r="AJ427" s="72"/>
      <c r="AK427" s="62"/>
    </row>
    <row r="428" spans="1:37" ht="141.75" x14ac:dyDescent="0.25">
      <c r="A428" s="345" t="s">
        <v>2172</v>
      </c>
      <c r="B428" s="271">
        <v>127829</v>
      </c>
      <c r="C428" s="424">
        <v>623</v>
      </c>
      <c r="D428" s="271" t="str">
        <f>$D$427</f>
        <v>MN</v>
      </c>
      <c r="E428" s="452" t="str">
        <f t="shared" si="330"/>
        <v xml:space="preserve">AP1/11i /1.2 </v>
      </c>
      <c r="F428" s="428" t="e">
        <f t="shared" si="330"/>
        <v>#REF!</v>
      </c>
      <c r="G428" s="272" t="s">
        <v>1692</v>
      </c>
      <c r="H428" s="11" t="s">
        <v>86</v>
      </c>
      <c r="I428" s="260" t="s">
        <v>1690</v>
      </c>
      <c r="J428" s="36" t="s">
        <v>1695</v>
      </c>
      <c r="K428" s="148">
        <v>43703</v>
      </c>
      <c r="L428" s="267" t="s">
        <v>1691</v>
      </c>
      <c r="M428" s="5">
        <f t="shared" si="320"/>
        <v>83.983863016171711</v>
      </c>
      <c r="N428" s="6">
        <f t="shared" si="331"/>
        <v>8</v>
      </c>
      <c r="O428" s="6" t="str">
        <f t="shared" si="332"/>
        <v>Național</v>
      </c>
      <c r="P428" s="6" t="str">
        <f t="shared" si="332"/>
        <v>București</v>
      </c>
      <c r="Q428" s="10" t="str">
        <f t="shared" si="332"/>
        <v>APC</v>
      </c>
      <c r="R428" s="8" t="str">
        <f t="shared" si="332"/>
        <v>119 - Investiții în capacitatea instituțională și în eficiența administrațiilor și a serviciilor publice la nivel național, regional și local, în perspectiva realizării de reforme, a unei mai bune legiferări și a bunei guvernanțe</v>
      </c>
      <c r="S428" s="57">
        <f t="shared" si="326"/>
        <v>8466572.8000000007</v>
      </c>
      <c r="T428" s="234">
        <v>6827553.2999999998</v>
      </c>
      <c r="U428" s="234">
        <v>1639019.5</v>
      </c>
      <c r="V428" s="57">
        <f t="shared" si="333"/>
        <v>0</v>
      </c>
      <c r="W428" s="234">
        <v>0</v>
      </c>
      <c r="X428" s="234">
        <v>0</v>
      </c>
      <c r="Y428" s="57">
        <f t="shared" si="327"/>
        <v>1614617.2000000002</v>
      </c>
      <c r="Z428" s="234">
        <v>1204862.3400000001</v>
      </c>
      <c r="AA428" s="234">
        <v>409754.86</v>
      </c>
      <c r="AB428" s="58">
        <f t="shared" si="334"/>
        <v>0</v>
      </c>
      <c r="AC428" s="234">
        <v>0</v>
      </c>
      <c r="AD428" s="234">
        <v>0</v>
      </c>
      <c r="AE428" s="63">
        <f t="shared" si="328"/>
        <v>10081190</v>
      </c>
      <c r="AF428" s="55"/>
      <c r="AG428" s="55"/>
      <c r="AH428" s="60" t="str">
        <f t="shared" si="335"/>
        <v xml:space="preserve"> în implementare</v>
      </c>
      <c r="AI428" s="61" t="str">
        <f t="shared" si="336"/>
        <v>n.a</v>
      </c>
      <c r="AJ428" s="72"/>
      <c r="AK428" s="62"/>
    </row>
    <row r="429" spans="1:37" ht="267.75" x14ac:dyDescent="0.25">
      <c r="A429" s="345" t="s">
        <v>2173</v>
      </c>
      <c r="B429" s="271">
        <v>127591</v>
      </c>
      <c r="C429" s="424">
        <v>603</v>
      </c>
      <c r="D429" s="271" t="s">
        <v>167</v>
      </c>
      <c r="E429" s="452" t="str">
        <f>E428</f>
        <v xml:space="preserve">AP1/11i /1.2 </v>
      </c>
      <c r="F429" s="428" t="e">
        <f>F428</f>
        <v>#REF!</v>
      </c>
      <c r="G429" s="272" t="s">
        <v>1698</v>
      </c>
      <c r="H429" s="11" t="s">
        <v>86</v>
      </c>
      <c r="I429" s="260" t="s">
        <v>1690</v>
      </c>
      <c r="J429" s="122" t="s">
        <v>1699</v>
      </c>
      <c r="K429" s="148">
        <v>43704</v>
      </c>
      <c r="L429" s="267" t="s">
        <v>1700</v>
      </c>
      <c r="M429" s="5">
        <f t="shared" si="320"/>
        <v>83.98386273142458</v>
      </c>
      <c r="N429" s="6">
        <v>8</v>
      </c>
      <c r="O429" s="6" t="s">
        <v>1666</v>
      </c>
      <c r="P429" s="6" t="s">
        <v>335</v>
      </c>
      <c r="Q429" s="10" t="s">
        <v>154</v>
      </c>
      <c r="R429" s="8" t="str">
        <f>R428</f>
        <v>119 - Investiții în capacitatea instituțională și în eficiența administrațiilor și a serviciilor publice la nivel național, regional și local, în perspectiva realizării de reforme, a unei mai bune legiferări și a bunei guvernanțe</v>
      </c>
      <c r="S429" s="57">
        <f t="shared" si="326"/>
        <v>10242987.93</v>
      </c>
      <c r="T429" s="234">
        <v>8260077.3899999997</v>
      </c>
      <c r="U429" s="234">
        <v>1982910.54</v>
      </c>
      <c r="V429" s="57">
        <f t="shared" si="333"/>
        <v>0</v>
      </c>
      <c r="W429" s="234">
        <v>0</v>
      </c>
      <c r="X429" s="234">
        <v>0</v>
      </c>
      <c r="Y429" s="57">
        <f t="shared" si="327"/>
        <v>1953388.3699999999</v>
      </c>
      <c r="Z429" s="234">
        <v>1457660.67</v>
      </c>
      <c r="AA429" s="234">
        <v>495727.7</v>
      </c>
      <c r="AB429" s="58">
        <f t="shared" si="334"/>
        <v>0</v>
      </c>
      <c r="AC429" s="234">
        <v>0</v>
      </c>
      <c r="AD429" s="234">
        <v>0</v>
      </c>
      <c r="AE429" s="63">
        <f t="shared" si="328"/>
        <v>12196376.299999999</v>
      </c>
      <c r="AF429" s="55"/>
      <c r="AG429" s="55"/>
      <c r="AH429" s="60" t="s">
        <v>892</v>
      </c>
      <c r="AI429" s="61" t="s">
        <v>181</v>
      </c>
      <c r="AJ429" s="72"/>
      <c r="AK429" s="62"/>
    </row>
    <row r="430" spans="1:37" ht="362.25" x14ac:dyDescent="0.25">
      <c r="A430" s="345" t="s">
        <v>2174</v>
      </c>
      <c r="B430" s="235">
        <v>130133</v>
      </c>
      <c r="C430" s="268">
        <v>749</v>
      </c>
      <c r="D430" s="235" t="s">
        <v>159</v>
      </c>
      <c r="E430" s="270" t="s">
        <v>174</v>
      </c>
      <c r="F430" s="419" t="s">
        <v>1578</v>
      </c>
      <c r="G430" s="37" t="s">
        <v>1701</v>
      </c>
      <c r="H430" s="11" t="s">
        <v>1702</v>
      </c>
      <c r="I430" s="260" t="s">
        <v>181</v>
      </c>
      <c r="J430" s="36" t="s">
        <v>1703</v>
      </c>
      <c r="K430" s="148">
        <v>43706</v>
      </c>
      <c r="L430" s="4">
        <v>44802</v>
      </c>
      <c r="M430" s="5">
        <f t="shared" si="320"/>
        <v>83.983862863568021</v>
      </c>
      <c r="N430" s="6">
        <v>8</v>
      </c>
      <c r="O430" s="6" t="s">
        <v>1666</v>
      </c>
      <c r="P430" s="6" t="s">
        <v>335</v>
      </c>
      <c r="Q430" s="10" t="s">
        <v>154</v>
      </c>
      <c r="R430" s="8" t="s">
        <v>36</v>
      </c>
      <c r="S430" s="57">
        <f t="shared" ref="S430:S435" si="337">T430+U430</f>
        <v>15487811.129999999</v>
      </c>
      <c r="T430" s="234">
        <v>12489570.33</v>
      </c>
      <c r="U430" s="234">
        <v>2998240.8</v>
      </c>
      <c r="V430" s="57">
        <f t="shared" ref="V430:V435" si="338">W430+X430</f>
        <v>0</v>
      </c>
      <c r="W430" s="234">
        <v>0</v>
      </c>
      <c r="X430" s="234">
        <v>0</v>
      </c>
      <c r="Y430" s="57">
        <f t="shared" ref="Y430:Y435" si="339">Z430+AA430</f>
        <v>2953602.02</v>
      </c>
      <c r="Z430" s="234">
        <v>2204041.7812303277</v>
      </c>
      <c r="AA430" s="234">
        <v>749560.23876967223</v>
      </c>
      <c r="AB430" s="58">
        <f t="shared" ref="AB430:AB435" si="340">AC430+AD430</f>
        <v>0</v>
      </c>
      <c r="AC430" s="234">
        <v>0</v>
      </c>
      <c r="AD430" s="234">
        <v>0</v>
      </c>
      <c r="AE430" s="63">
        <f t="shared" ref="AE430:AE435" si="341">S430+V430+Y430+AB430</f>
        <v>18441413.149999999</v>
      </c>
      <c r="AF430" s="55">
        <v>0</v>
      </c>
      <c r="AG430" s="55">
        <f>AE430+AF430</f>
        <v>18441413.149999999</v>
      </c>
      <c r="AH430" s="60" t="s">
        <v>607</v>
      </c>
      <c r="AI430" s="61" t="s">
        <v>181</v>
      </c>
      <c r="AJ430" s="72"/>
      <c r="AK430" s="62"/>
    </row>
    <row r="431" spans="1:37" ht="157.5" x14ac:dyDescent="0.25">
      <c r="A431" s="345" t="s">
        <v>2175</v>
      </c>
      <c r="B431" s="235">
        <v>127338</v>
      </c>
      <c r="C431" s="268">
        <v>612</v>
      </c>
      <c r="D431" s="235" t="s">
        <v>170</v>
      </c>
      <c r="E431" s="270" t="str">
        <f>E430</f>
        <v xml:space="preserve">AP1/11i /1.2 </v>
      </c>
      <c r="F431" s="419" t="s">
        <v>1277</v>
      </c>
      <c r="G431" s="37" t="s">
        <v>1720</v>
      </c>
      <c r="H431" s="11" t="s">
        <v>86</v>
      </c>
      <c r="I431" s="260" t="s">
        <v>1721</v>
      </c>
      <c r="J431" s="36" t="s">
        <v>1723</v>
      </c>
      <c r="K431" s="148">
        <v>43621</v>
      </c>
      <c r="L431" s="4" t="s">
        <v>1717</v>
      </c>
      <c r="M431" s="5">
        <f>S431/AE431*100</f>
        <v>83.98386483351581</v>
      </c>
      <c r="N431" s="6">
        <v>8</v>
      </c>
      <c r="O431" s="6" t="s">
        <v>1666</v>
      </c>
      <c r="P431" s="6" t="s">
        <v>335</v>
      </c>
      <c r="Q431" s="10" t="s">
        <v>154</v>
      </c>
      <c r="R431" s="8" t="str">
        <f>R430</f>
        <v>119 - Investiții în capacitatea instituțională și în eficiența administrațiilor și a serviciilor publice la nivel național, regional și local, în perspectiva realizării de reforme, a unei mai bune legiferări și a bunei guvernanțe</v>
      </c>
      <c r="S431" s="57">
        <f t="shared" si="337"/>
        <v>12313247.32</v>
      </c>
      <c r="T431" s="234">
        <v>9929561.1799999997</v>
      </c>
      <c r="U431" s="234">
        <v>2383686.14</v>
      </c>
      <c r="V431" s="57">
        <f t="shared" si="338"/>
        <v>0</v>
      </c>
      <c r="W431" s="234">
        <v>0</v>
      </c>
      <c r="X431" s="234">
        <v>0</v>
      </c>
      <c r="Y431" s="57">
        <f t="shared" si="339"/>
        <v>2348196.69</v>
      </c>
      <c r="Z431" s="234">
        <v>1752275.21</v>
      </c>
      <c r="AA431" s="234">
        <v>595921.48</v>
      </c>
      <c r="AB431" s="58">
        <f t="shared" si="340"/>
        <v>0</v>
      </c>
      <c r="AC431" s="234">
        <v>0</v>
      </c>
      <c r="AD431" s="234">
        <v>0</v>
      </c>
      <c r="AE431" s="63">
        <f t="shared" si="341"/>
        <v>14661444.01</v>
      </c>
      <c r="AF431" s="55">
        <v>21875.91</v>
      </c>
      <c r="AG431" s="55">
        <f>AE431+AF431</f>
        <v>14683319.92</v>
      </c>
      <c r="AH431" s="60" t="s">
        <v>892</v>
      </c>
      <c r="AI431" s="61" t="s">
        <v>181</v>
      </c>
      <c r="AJ431" s="72"/>
      <c r="AK431" s="62"/>
    </row>
    <row r="432" spans="1:37" ht="141.75" x14ac:dyDescent="0.25">
      <c r="A432" s="345" t="s">
        <v>2176</v>
      </c>
      <c r="B432" s="271">
        <v>129692</v>
      </c>
      <c r="C432" s="424">
        <v>744</v>
      </c>
      <c r="D432" s="271" t="s">
        <v>172</v>
      </c>
      <c r="E432" s="270" t="str">
        <f>E431</f>
        <v xml:space="preserve">AP1/11i /1.2 </v>
      </c>
      <c r="F432" s="453" t="s">
        <v>1405</v>
      </c>
      <c r="G432" s="272" t="s">
        <v>1736</v>
      </c>
      <c r="H432" s="11" t="s">
        <v>1733</v>
      </c>
      <c r="I432" s="260" t="s">
        <v>181</v>
      </c>
      <c r="J432" s="122" t="s">
        <v>1737</v>
      </c>
      <c r="K432" s="148">
        <v>43717</v>
      </c>
      <c r="L432" s="267" t="s">
        <v>1734</v>
      </c>
      <c r="M432" s="290">
        <f>S432/AE432*100</f>
        <v>83.983863024921732</v>
      </c>
      <c r="N432" s="6">
        <f t="shared" ref="N432:R432" si="342">N431</f>
        <v>8</v>
      </c>
      <c r="O432" s="6" t="str">
        <f t="shared" si="342"/>
        <v>Național</v>
      </c>
      <c r="P432" s="6" t="str">
        <f t="shared" si="342"/>
        <v>București</v>
      </c>
      <c r="Q432" s="10" t="str">
        <f t="shared" si="342"/>
        <v>APC</v>
      </c>
      <c r="R432" s="8" t="str">
        <f t="shared" si="342"/>
        <v>119 - Investiții în capacitatea instituțională și în eficiența administrațiilor și a serviciilor publice la nivel național, regional și local, în perspectiva realizării de reforme, a unei mai bune legiferări și a bunei guvernanțe</v>
      </c>
      <c r="S432" s="254">
        <f t="shared" si="337"/>
        <v>25123266.259999998</v>
      </c>
      <c r="T432" s="234">
        <v>20259725.34</v>
      </c>
      <c r="U432" s="234">
        <v>4863540.92</v>
      </c>
      <c r="V432" s="254">
        <f t="shared" si="338"/>
        <v>0</v>
      </c>
      <c r="W432" s="234">
        <v>0</v>
      </c>
      <c r="X432" s="234">
        <v>0</v>
      </c>
      <c r="Y432" s="254">
        <f t="shared" si="339"/>
        <v>4791130.8099999996</v>
      </c>
      <c r="Z432" s="234">
        <v>3575245.63</v>
      </c>
      <c r="AA432" s="234">
        <v>1215885.18</v>
      </c>
      <c r="AB432" s="291">
        <f t="shared" si="340"/>
        <v>0</v>
      </c>
      <c r="AC432" s="234">
        <v>0</v>
      </c>
      <c r="AD432" s="234">
        <v>0</v>
      </c>
      <c r="AE432" s="234">
        <f t="shared" si="341"/>
        <v>29914397.069999997</v>
      </c>
      <c r="AF432" s="55">
        <v>0</v>
      </c>
      <c r="AG432" s="55">
        <v>0</v>
      </c>
      <c r="AH432" s="292" t="s">
        <v>892</v>
      </c>
      <c r="AI432" s="293" t="s">
        <v>181</v>
      </c>
      <c r="AJ432" s="72"/>
      <c r="AK432" s="62"/>
    </row>
    <row r="433" spans="1:37" ht="141.75" x14ac:dyDescent="0.25">
      <c r="A433" s="345" t="s">
        <v>2177</v>
      </c>
      <c r="B433" s="235">
        <v>127589</v>
      </c>
      <c r="C433" s="268">
        <v>616</v>
      </c>
      <c r="D433" s="235" t="s">
        <v>170</v>
      </c>
      <c r="E433" s="270" t="str">
        <f>E432</f>
        <v xml:space="preserve">AP1/11i /1.2 </v>
      </c>
      <c r="F433" s="419" t="s">
        <v>1277</v>
      </c>
      <c r="G433" s="37" t="s">
        <v>1741</v>
      </c>
      <c r="H433" s="11" t="s">
        <v>86</v>
      </c>
      <c r="I433" s="260" t="s">
        <v>1740</v>
      </c>
      <c r="J433" s="36" t="s">
        <v>1742</v>
      </c>
      <c r="K433" s="148">
        <v>43718</v>
      </c>
      <c r="L433" s="4">
        <v>44814</v>
      </c>
      <c r="M433" s="5">
        <f>S433/AE433*100</f>
        <v>83.222463484034193</v>
      </c>
      <c r="N433" s="6">
        <v>8</v>
      </c>
      <c r="O433" s="6" t="s">
        <v>1666</v>
      </c>
      <c r="P433" s="6" t="s">
        <v>335</v>
      </c>
      <c r="Q433" s="10" t="s">
        <v>154</v>
      </c>
      <c r="R433" s="8" t="str">
        <f>R432</f>
        <v>119 - Investiții în capacitatea instituțională și în eficiența administrațiilor și a serviciilor publice la nivel național, regional și local, în perspectiva realizării de reforme, a unei mai bune legiferări și a bunei guvernanțe</v>
      </c>
      <c r="S433" s="57">
        <f t="shared" si="337"/>
        <v>23842535.080000002</v>
      </c>
      <c r="T433" s="234">
        <v>19226927.140000001</v>
      </c>
      <c r="U433" s="234">
        <v>4615607.9400000004</v>
      </c>
      <c r="V433" s="57">
        <f t="shared" si="338"/>
        <v>2038367.99</v>
      </c>
      <c r="W433" s="234">
        <v>1521074.32</v>
      </c>
      <c r="X433" s="234">
        <v>517293.67</v>
      </c>
      <c r="Y433" s="57">
        <f t="shared" si="339"/>
        <v>2768254.96</v>
      </c>
      <c r="Z433" s="234">
        <v>2078861.75</v>
      </c>
      <c r="AA433" s="234">
        <v>689393.21</v>
      </c>
      <c r="AB433" s="58">
        <f t="shared" si="340"/>
        <v>0</v>
      </c>
      <c r="AC433" s="234">
        <v>0</v>
      </c>
      <c r="AD433" s="234">
        <v>0</v>
      </c>
      <c r="AE433" s="63">
        <f t="shared" si="341"/>
        <v>28649158.030000001</v>
      </c>
      <c r="AF433" s="55">
        <v>0</v>
      </c>
      <c r="AG433" s="55">
        <f>AE433+AF433</f>
        <v>28649158.030000001</v>
      </c>
      <c r="AH433" s="60" t="s">
        <v>892</v>
      </c>
      <c r="AI433" s="61" t="s">
        <v>181</v>
      </c>
      <c r="AJ433" s="72"/>
      <c r="AK433" s="62"/>
    </row>
    <row r="434" spans="1:37" ht="204.75" x14ac:dyDescent="0.25">
      <c r="A434" s="345" t="s">
        <v>2178</v>
      </c>
      <c r="B434" s="271">
        <v>127012</v>
      </c>
      <c r="C434" s="424">
        <v>578</v>
      </c>
      <c r="D434" s="271" t="s">
        <v>171</v>
      </c>
      <c r="E434" s="270" t="str">
        <f t="shared" ref="E434:E435" si="343">E433</f>
        <v xml:space="preserve">AP1/11i /1.2 </v>
      </c>
      <c r="F434" s="419" t="s">
        <v>1277</v>
      </c>
      <c r="G434" s="272" t="s">
        <v>1745</v>
      </c>
      <c r="H434" s="11" t="s">
        <v>1746</v>
      </c>
      <c r="I434" s="260" t="s">
        <v>181</v>
      </c>
      <c r="J434" s="36" t="s">
        <v>1748</v>
      </c>
      <c r="K434" s="148">
        <v>43721</v>
      </c>
      <c r="L434" s="4">
        <v>44694</v>
      </c>
      <c r="M434" s="5">
        <f>S434/AE434*100</f>
        <v>83.983656374999555</v>
      </c>
      <c r="N434" s="6">
        <v>8</v>
      </c>
      <c r="O434" s="6" t="s">
        <v>1666</v>
      </c>
      <c r="P434" s="6" t="s">
        <v>335</v>
      </c>
      <c r="Q434" s="10" t="s">
        <v>154</v>
      </c>
      <c r="R434" s="8" t="str">
        <f t="shared" ref="R434:R435" si="344">R433</f>
        <v>119 - Investiții în capacitatea instituțională și în eficiența administrațiilor și a serviciilor publice la nivel național, regional și local, în perspectiva realizării de reforme, a unei mai bune legiferări și a bunei guvernanțe</v>
      </c>
      <c r="S434" s="57">
        <f t="shared" si="337"/>
        <v>20491271.68</v>
      </c>
      <c r="T434" s="234">
        <v>16524425.310000001</v>
      </c>
      <c r="U434" s="234">
        <v>3966846.37</v>
      </c>
      <c r="V434" s="57">
        <f t="shared" si="338"/>
        <v>0</v>
      </c>
      <c r="W434" s="234">
        <v>0</v>
      </c>
      <c r="X434" s="234">
        <v>0</v>
      </c>
      <c r="Y434" s="57">
        <f t="shared" si="339"/>
        <v>3907846.63</v>
      </c>
      <c r="Z434" s="234">
        <v>2916075.03</v>
      </c>
      <c r="AA434" s="234">
        <v>991771.6</v>
      </c>
      <c r="AB434" s="58">
        <f t="shared" si="340"/>
        <v>0</v>
      </c>
      <c r="AC434" s="234">
        <v>0</v>
      </c>
      <c r="AD434" s="234">
        <v>0</v>
      </c>
      <c r="AE434" s="63">
        <f t="shared" si="341"/>
        <v>24399118.309999999</v>
      </c>
      <c r="AF434" s="55">
        <v>0</v>
      </c>
      <c r="AG434" s="55">
        <f>AE434+AF434</f>
        <v>24399118.309999999</v>
      </c>
      <c r="AH434" s="60" t="s">
        <v>892</v>
      </c>
      <c r="AI434" s="61"/>
      <c r="AJ434" s="72"/>
      <c r="AK434" s="62"/>
    </row>
    <row r="435" spans="1:37" ht="315" x14ac:dyDescent="0.25">
      <c r="A435" s="345" t="s">
        <v>2179</v>
      </c>
      <c r="B435" s="271">
        <v>126983</v>
      </c>
      <c r="C435" s="424">
        <v>589</v>
      </c>
      <c r="D435" s="271" t="s">
        <v>171</v>
      </c>
      <c r="E435" s="270" t="str">
        <f t="shared" si="343"/>
        <v xml:space="preserve">AP1/11i /1.2 </v>
      </c>
      <c r="F435" s="419" t="s">
        <v>1277</v>
      </c>
      <c r="G435" s="272" t="s">
        <v>1747</v>
      </c>
      <c r="H435" s="11" t="s">
        <v>1746</v>
      </c>
      <c r="I435" s="260" t="s">
        <v>181</v>
      </c>
      <c r="J435" s="36" t="s">
        <v>1749</v>
      </c>
      <c r="K435" s="148">
        <v>43721</v>
      </c>
      <c r="L435" s="4">
        <v>44694</v>
      </c>
      <c r="M435" s="5">
        <f>S435/AE435*100</f>
        <v>83.983862838975881</v>
      </c>
      <c r="N435" s="6">
        <v>8</v>
      </c>
      <c r="O435" s="6" t="s">
        <v>1666</v>
      </c>
      <c r="P435" s="6" t="s">
        <v>335</v>
      </c>
      <c r="Q435" s="10" t="s">
        <v>154</v>
      </c>
      <c r="R435" s="8" t="str">
        <f t="shared" si="344"/>
        <v>119 - Investiții în capacitatea instituțională și în eficiența administrațiilor și a serviciilor publice la nivel național, regional și local, în perspectiva realizării de reforme, a unei mai bune legiferări și a bunei guvernanțe</v>
      </c>
      <c r="S435" s="57">
        <f t="shared" si="337"/>
        <v>23507069.830000002</v>
      </c>
      <c r="T435" s="234">
        <v>18956403.760000002</v>
      </c>
      <c r="U435" s="234">
        <v>4550666.07</v>
      </c>
      <c r="V435" s="57">
        <f t="shared" si="338"/>
        <v>0</v>
      </c>
      <c r="W435" s="234">
        <v>0</v>
      </c>
      <c r="X435" s="234">
        <v>0</v>
      </c>
      <c r="Y435" s="57">
        <f t="shared" si="339"/>
        <v>4482914.24</v>
      </c>
      <c r="Z435" s="234">
        <v>3345247.72</v>
      </c>
      <c r="AA435" s="234">
        <v>1137666.52</v>
      </c>
      <c r="AB435" s="58">
        <f t="shared" si="340"/>
        <v>0</v>
      </c>
      <c r="AC435" s="234">
        <v>0</v>
      </c>
      <c r="AD435" s="234">
        <v>0</v>
      </c>
      <c r="AE435" s="63">
        <f t="shared" si="341"/>
        <v>27989984.07</v>
      </c>
      <c r="AF435" s="55">
        <v>0</v>
      </c>
      <c r="AG435" s="55">
        <f>AE435+AF435</f>
        <v>27989984.07</v>
      </c>
      <c r="AH435" s="60"/>
      <c r="AI435" s="61"/>
      <c r="AJ435" s="72"/>
      <c r="AK435" s="62"/>
    </row>
  </sheetData>
  <protectedRanges>
    <protectedRange sqref="A1:B4 I1:I2 AE1:AK4 AL1:XFD6 A6:R6 AI291:AK291 AF289:AF291 T289:U291 W289:X291 Z290:AA291 AC289:AD291 B10:D14 Z10:AA14 W10:X14 T10:U14 AF10:AF14 B20:D20 T19:U20 W19:X20 Z19:AA20 AC19:AD20 AF19:AF20 B25:D25 X25 AA25 AC25:AD25 G369:L377 C365:D377 AF25 AF365:AF384 T50:U54 W50:X54 T173:U173 T149 W149 Y149:Z149 AE6:AK6 N91:R92 AF108:AF112 F108:L112 AC121:AD123 B130:D136 I115:L116 T163:U165 AF130 X115:X116 AC130:AD130 T167:U171 AF74:AF78 W73:AA73 P132 N149 AC74:AD78 B76:D78 B159:L159 Z96:AA97 W96:X97 AL28:XFD36 U115:U116 B114:D116 AF114:AF116 B79:B81 G115:G116 W121:X123 F165:G165 U121:U123 T114:U114 W114:X114 Z114:AA114 T130:U130 W130:X130 Z130:AA130 B140:D143 AC96:AD97 C145:D145 C148 N96:N97 AL50:XFD54 P96:P97 B149:L149 AC151:AD152 AF151:AF152 T151:U152 W167:X171 B182:D185 W163:X165 W178:AA179 AL431:XFD435 H72 Q22 AF50:AF54 G50:G54 C1:H3 C4:I4 G289:L290 C289:D291 U293 AL289:XFD291 F291:L291 F293:L293 W293:X305 T294:U305 AF293:AF305 G294:L295 Z293:AA302 B28:D31 W29:X31 AC35:AD36 Z29:AA31 AC29:AD31 C305:L305 C298:L298 C293:D297 C299:D304 F299:L304 G306:L306 C306:D306 T306:AG306 AC308:AD310 Z167:AA171 AC163:AD165 X74:AA74 F317 Z314:AA316 W307:X316 T307:U316 AF307:AF316 C314:D316 AC312:AD316 F314:L316 AI308:AK309 N154 B19:C19 B9:C9 E318:L321 N318:P322 F322:L325 C196:D196 AI320:AK320 N323:N325 AL99:XFD101 C192:D192 B118:B120 N121:N123 E326:L329 R330 F330:L331 C320:C348 F44:G44 R318:R327 S66:U66 W67:AA67 X66:AA66 G148:L148 AF149 AC149:AD149 AL148:XFD148 F130:L130 S25:U25 N295:P316 R298:R316 G163 AL163:XFD163 F25:L25 F333:L347 I348:L348 AI332:AK332 AC73:AG73 C181:D181 X181:AA181 L181:L185 AL181:XFD185 F181:J185 B35:D36 J35:L36 N25:Q25 T145:U147 AF146:AF147 AI145 B66:D67 G66:L67 W90:AA92 AF121:AF123 F133:L136 F96:H97 N181:Q185 N178:U179 F145:L145 N19:N20 AF29:AF31 F15:F16 AF96:AF97 N130:Q130 B96:D97 N155:O155 N167:R167 I154:L155 Q154:R155 AC293:AD305 Z50:AA54 G9:L11 F19:L20 Q19:Q20 AI19:AI20 AL19:XFD20 R333:R339 O362:P363 W383:X384 AF160 AC383:AD384 C160:D160 F28:L31 G365:L365 H368 G197:L197 G366:H367 R365:R384 G114:L114 B73:D74 S73:U74 AH369:AH370 AC56:AD67 F366:F373 AI373:AK373 G160:L160 B90:D90 F90:L90 C186:D187 B193:D195 E323:E325 C199:D199 F196:L196 F167:L167 F154:G155 F296:L297 C307:L313 E401 C379:D384 W160:X160 T160:U160 AC160:AD160 Z160:AA160 F377:F384 G379:L384 N160:P160 B50:D54 S174:U174 F121:L123 Z121:AA123 F33:H33 N111:Q112 W108:X112 N73:Q74 N192:R192 N172:U172 F186:L186 N194:R202 AC125:AD128 AL416:XFD429 N33 N66:Q66 W154:X158 N39:Q39 T29:U31 G73:L74 W182:AA187 F56:L57 J1:R4 E356 D378:E378 E332:L332 E348:G348 N90:Q90 F192:L194 F386:F388 N67:U69 B75:L75 S1:AD6 AF159:AG159 N159:AD159 N365:P384 Z365:AA384 AC365:AD381 T365:U384 W365:X381 I366:L368 C172:D172 B200:D202 B167:D168 I168:L168 F168:G168 B68:L68 B69:D69 F69:L69 AC50:AD54 AC114:AD116 AC108:AD112 N108:N110 Q110 P121:Q123 B121:D123 AA115:AA116 Z108:AA112 T108:U112 N114:N116 T140:U143 AF140:AF143 AF164:AF165 J173:L173 F131:G132 I131:L132 T131 W131 Z131 N131:O132 B173:G173 B163:D165 F164:H164 J163:L165 R163 B154:D158 AF178:AF179 AC178:AD179 F178:L179 C178:D179 AC10:AD14 W68:AD68 W69:AA69 AC69:AD69 AC207:AD207 AI295 AL294:XFD295 AI297 AL297:XFD297 AI299:AI303 AL299:XFD303 AI306:AI307 AI313:AK313 AI310:AI312 AI314:AI316 AI318:AI319 AI322:AK322 AI321 AI324:AK325 AI323 AI326:AI331 AI335:AK335 AI333:AI334 AI341:AK341 AI336:AI340 AI342:AI346 AI350:AI351 AH356:AK363 AH371:AI372 AJ369:AK372 AH374:AK384 AI385:AK385 O26:O27 Q26:Q27 B108:D112 O173 F12:L14 N41:Q41 AC44:AD46 E45:G46 B169:L169 J44:L46 B44:D46 W172:AA172 Z44:AA46 AF44:AF46 W44:X46 G76:L78 T44:U46 N56:R65 G172:L172 F390:F399 B211:D214 AC211:AD214 AF211:AF214 W151:AA152 W211:AA214 N151:R152 F211:L214 N104:Q104 AF217:AF218 N193:Q193 B151:D152 F151:L152 AH68:AH69 AF56:AF69 S181:U185 AC181:AD187 AF181:AF187 G217:H218 B217:D218 S217:U218 W217:AA218 AC217:AD218 J217:L218 N161:AD161 AF161:AG161 E195:L195 B174:D174 Z163:AA165 W94:AA94 N94:R94 B91:L92 T96:U97 J96:L97 AC154:AD158 T154:U158 AF154:AF158 AL42:XFD42 F51:F54 I50:L54 P50:P54 I80:I81 Z154:AA158 B197:D198 F198:L202 W99:X105 AF99:AF106 AC99:AD106 Z99:AA106 T99:U106 B99:D106 F99:L104 G105:L106 N75:U78 W75:AA78 F431:F435 G140:L143 P33:Q33 N105:R106 T133:U136 Z133:AA136 AC133:AD136 W133:X136 F42 I42 N40:R40 F39:L41 B39:D41 AF39:AF41 AC140:AD147 T144 I144 F141:F144 AL144:XFD145 T39:U42 Z39:AA42 AC39:AD42 W39:X42 N174:Q174 X106 T189:U202 W189:X202 Z189:AA202 N189:N191 P189:Q191 B17:D17 Z17:AA17 W17:X17 T17:U17 AF17 AC17:AD17 F17:L17 N133:P136 B61:B65 D61:D65 G58:L60 W56:X65 Z56:AA65 T56:U65 F87:F88 B170:D171 P140:P143 N140:N143 I61:L65 F170:L171 F38 F156:L158 N156:R158 AL369:XFD414 F35:H36 N35:Q36 N186:U187 N145:Q147 W140:AA147 F402:F414 B94:L94 AL93:XFD93 J33:L33 G93:L93 C93:D93 N93:P93 AC90:AD94 Z93:AA93 AF90:AF94 W93:X93 T90:U94 D318:D348 F174:L175 C175:D175 R175 T175:U175 W173:X175 AF167:AF175 Z173:AA175 AC167:AD175 N175:P175 N326:P361 AC318:AD363 Z319:AA363 AF318:AF363 W318:X363 T318:U363 AI352:AK355 R343:R361 AL306:XFD363 C349:D363 F349:L363 E187:L187 I180 F416:F429 N211:U214 N102:R103 H22 AC33:AD33 B33:D33 N28:Q31 B189:L191 N217:P218 F127:F128 F207:F210 AC189:AD202 AF189:AF202 B161:L161 AL176:XFD177 B146:L147 B56:D60 AI186:XFD187 AI189:XFD202 AI178:XFD179 AI149:XFD149 A436:XFD1048576 AI110:XFD112 AI154:XFD159 AI125:XFD128 AI167:XFD175 AI56:XFD69 AI17:XFD17 AI39:XFD41 AI102:XFD106 AI211:XFD214 AJ217:XFD217 AI218:XFD218 AI161:XFD161 AI10:XFD14 AJ160:XFD160 AH365:XFD368 AI304:XFD305 AI298:XFD298 AJ121:XFD122 AI164:XFD164 AJ108:XFD109 AI151:XFD152 AI140:XFD143 AI94:XFD94 AI90:XFD92 AJ165:XFD165 AI130:XFD130 AI347:AK349 AI296:XFD296 AJ44:XFD44 AJ293:XFD293 AI73:XFD78 AJ96:XFD97 AI146:XFD147 AJ131:XFD136 AI123:XFD123 AJ114:XFD116 AI45:XFD46 AI25:XFD25" name="maria" securityDescriptor="O:WDG:WDD:(A;;CC;;;S-1-5-21-3048853270-2157241324-869001692-3245)(A;;CC;;;S-1-5-21-3048853270-2157241324-869001692-1007)"/>
    <protectedRange sqref="Q7:R7 Q15:R16" name="maria_1_2" securityDescriptor="O:WDG:WDD:(A;;CC;;;S-1-5-21-3048853270-2157241324-869001692-3245)(A;;CC;;;S-1-5-21-3048853270-2157241324-869001692-1007)"/>
    <protectedRange sqref="S7:AI7 AH373 AH8:AH14 AB8:AB14 AH218 S15:AI16 AB17 AH222:AH355 AC8:AD8 AI165 AH17:AH67 AH181:AH214 AH138:AH179 AH70:AH136" name="maria_1_1_1" securityDescriptor="O:WDG:WDD:(A;;CC;;;S-1-5-21-3048853270-2157241324-869001692-3245)(A;;CC;;;S-1-5-21-3048853270-2157241324-869001692-1007)"/>
    <protectedRange sqref="AF8:AF9 T8:U9 W8:X9 Z8:AA9 B8:D8 AC9:AD9 F160 AI160 F8:L8 AI369:AI370 N17:P17 N8:P14 AI8:XFD9" name="maria_3" securityDescriptor="O:WDG:WDD:(A;;CC;;;S-1-5-21-3048853270-2157241324-869001692-3245)(A;;CC;;;S-1-5-21-3048853270-2157241324-869001692-1007)"/>
    <protectedRange sqref="Q8:R9 R160 R49 R90 R119:R120 R193 R283 R340:R342 R363 Q10:Q14 R182:R185 Q17" name="maria_1_3" securityDescriptor="O:WDG:WDD:(A;;CC;;;S-1-5-21-3048853270-2157241324-869001692-3245)(A;;CC;;;S-1-5-21-3048853270-2157241324-869001692-1007)"/>
    <protectedRange sqref="AE25 S8:S14 V8:V14 Y8:Y14 AE8:AE14 AG8:AG14 S17 V17 Y17 AE17 AG17" name="maria_1_1_2" securityDescriptor="O:WDG:WDD:(A;;CC;;;S-1-5-21-3048853270-2157241324-869001692-3245)(A;;CC;;;S-1-5-21-3048853270-2157241324-869001692-1007)"/>
    <protectedRange sqref="AL18:XFD18 AF18 T18:U18 W18:X18 Z18:AD18 B18:D18 AB19:AB20 D9 D19 O19:P20 AJ19:AK20 F9 F18:L18 AL21:XFD21 AF21 T21:U21 W21:X21 Z21:AD21 B21:D21 F21:L21 N18:P18 N21:P22" name="maria_4" securityDescriptor="O:WDG:WDD:(A;;CC;;;S-1-5-21-3048853270-2157241324-869001692-3245)(A;;CC;;;S-1-5-21-3048853270-2157241324-869001692-1007)"/>
    <protectedRange sqref="Q18:R18 R19:R20 Q21:R21 R10:R14 R25:R31 R17 R35:R36 R33 R22" name="maria_1_4" securityDescriptor="O:WDG:WDD:(A;;CC;;;S-1-5-21-3048853270-2157241324-869001692-3245)(A;;CC;;;S-1-5-21-3048853270-2157241324-869001692-1007)"/>
    <protectedRange sqref="AI18 S18:S21 V18:V21 Y18:Y21 AE18:AE21 AG18:AG21 AI21" name="maria_1_1_3" securityDescriptor="O:WDG:WDD:(A;;CC;;;S-1-5-21-3048853270-2157241324-869001692-3245)(A;;CC;;;S-1-5-21-3048853270-2157241324-869001692-1007)"/>
    <protectedRange sqref="F23 U24 E20 E10:F11 E57:E58 E73:E74 E90 E100 E181 E194 E197:F197 E168 E69 E211:E214 E151:E152 N24:P24 AC24:AD24 Z24:AA24 W24:X24 B23 B24:L24 AF24 E121:E123 E174 E179 E29:E31 E200:E202 E96:E97 E114:E116 E183:E186 E126 E50:E54 E198 E140:E141 E206:E209 E102:E106 E40 E143:E144 I72:L72 E130:E136 E60:E67 E170:E172 E155:E158 E36 E33 E108:E112 E163:E165 AF70:AF72 T70:U72 W70:X72 Z70:AA72 AC70:AD72 AI70:AI72 B70:D72 AL70:XFD72 F70:L71 N70:P72 F72:G72 AJ24:XFD24" name="maria_5" securityDescriptor="O:WDG:WDD:(A;;CC;;;S-1-5-21-3048853270-2157241324-869001692-3245)(A;;CC;;;S-1-5-21-3048853270-2157241324-869001692-1007)"/>
    <protectedRange sqref="AE35 AE29:AE31 Q24:R24 AE24 Q70:R72 AE70:AE72" name="maria_1_5" securityDescriptor="O:WDG:WDD:(A;;CC;;;S-1-5-21-3048853270-2157241324-869001692-3245)(A;;CC;;;S-1-5-21-3048853270-2157241324-869001692-1007)"/>
    <protectedRange sqref="C23:D23 G23:H23 AB24:AB25 Y24:Y25 V24:V25 S24:T24 AB35:AB36 AG35:AG36 W25 Z25 J23:L23 AG29:AG31 AB29:AB31 Y29:Y31 S29:S31 V29:V31 AG24:AG25 T35:T36 W35:W36 Z35:Z36 AB33 AG33 T33 W33 Z33 N23:AG23 S70:S72 V70:V72 Y70:Y72 AB70:AB72 AG70:AG72 AI23:XFD23" name="maria_1_1_4" securityDescriptor="O:WDG:WDD:(A;;CC;;;S-1-5-21-3048853270-2157241324-869001692-3245)(A;;CC;;;S-1-5-21-3048853270-2157241324-869001692-1007)"/>
    <protectedRange sqref="AL37:XFD38 B37:D38 I35:I36 AJ28:AK31 I173 I44:I46 B34:D34 F34:L34 F37:L37 G38:L38 I33 AJ33:AK33 N34:P34 N37:P38 AJ35:AK38" name="maria_6" securityDescriptor="O:WDG:WDD:(A;;CC;;;S-1-5-21-3048853270-2157241324-869001692-3245)(A;;CC;;;S-1-5-21-3048853270-2157241324-869001692-1007)"/>
    <protectedRange sqref="Q34:R34 R39 R41 Q37:R38" name="maria_1_6" securityDescriptor="O:WDG:WDD:(A;;CC;;;S-1-5-21-3048853270-2157241324-869001692-3245)(A;;CC;;;S-1-5-21-3048853270-2157241324-869001692-1007)"/>
    <protectedRange sqref="AA35:AA36 AF35:AF36 S28:AG28 S34:AG34 AI24 AI28:AI31 Y40:Y42 AB40:AB42 AE40:AE42 V40:V42 S40:S42 AG40:AG42 S37:AG38 X35:Y36 U35:V36 S35:S36 AE36 AA33 AI33:AI38 X33:Y33 U33:V33 S33 AE33:AF33" name="maria_1_1_5" securityDescriptor="O:WDG:WDD:(A;;CC;;;S-1-5-21-3048853270-2157241324-869001692-3245)(A;;CC;;;S-1-5-21-3048853270-2157241324-869001692-1007)"/>
    <protectedRange sqref="AL47:XFD47 B47:D47 F47:L47 O48:O54 N47:P47" name="maria_8" securityDescriptor="O:WDG:WDD:(A;;CC;;;S-1-5-21-3048853270-2157241324-869001692-3245)(A;;CC;;;S-1-5-21-3048853270-2157241324-869001692-1007)"/>
    <protectedRange sqref="Q47:R47" name="maria_1_8" securityDescriptor="O:WDG:WDD:(A;;CC;;;S-1-5-21-3048853270-2157241324-869001692-3245)(A;;CC;;;S-1-5-21-3048853270-2157241324-869001692-1007)"/>
    <protectedRange sqref="S47:U47 W47:AA47 AC47:AG47 AI47 AG160 AG365:AG384 AG217:AG218 AG386:AG400 AG129:AG136 AG48:AG69 AG162:AG172 AG403:AG414 AG307:AG363 AG181:AG214 AG32 AG174:AG179 AG222:AG305 AG138:AG158 AG416:AG429 AG74:AG124 AG431:AG435" name="maria_1_1_7" securityDescriptor="O:WDG:WDD:(A;;CC;;;S-1-5-21-3048853270-2157241324-869001692-3245)(A;;CC;;;S-1-5-21-3048853270-2157241324-869001692-1007)"/>
    <protectedRange sqref="AF48:AF49 T48:U49 W48:X49 Z48:AA49 AC48:AD49 P48:P49 B48:D49 F48:L49 AI48 AL48:XFD49 H50:H54 N48:N54 AI49:AK54" name="maria_9" securityDescriptor="O:WDG:WDD:(A;;CC;;;S-1-5-21-3048853270-2157241324-869001692-3245)(A;;CC;;;S-1-5-21-3048853270-2157241324-869001692-1007)"/>
    <protectedRange sqref="Q48:R48 Q49:Q54" name="maria_1_9" securityDescriptor="O:WDG:WDD:(A;;CC;;;S-1-5-21-3048853270-2157241324-869001692-3245)(A;;CC;;;S-1-5-21-3048853270-2157241324-869001692-1007)"/>
    <protectedRange sqref="AE68:AE69 S48:S54 Y48:Y54 AE48:AE54" name="maria_1_1_8" securityDescriptor="O:WDG:WDD:(A;;CC;;;S-1-5-21-3048853270-2157241324-869001692-3245)(A;;CC;;;S-1-5-21-3048853270-2157241324-869001692-1007)"/>
    <protectedRange sqref="AI55 AF55 T55:U55 W55:X55 Z55:AA55 B55:D55 AC55:AD55 F55:L55 AL55:XFD55 N55:P55" name="maria_10" securityDescriptor="O:WDG:WDD:(A;;CC;;;S-1-5-21-3048853270-2157241324-869001692-3245)(A;;CC;;;S-1-5-21-3048853270-2157241324-869001692-1007)"/>
    <protectedRange sqref="Q55:R55 R50:R54" name="maria_1_10" securityDescriptor="O:WDG:WDD:(A;;CC;;;S-1-5-21-3048853270-2157241324-869001692-3245)(A;;CC;;;S-1-5-21-3048853270-2157241324-869001692-1007)"/>
    <protectedRange sqref="AE55:AE67 S55:S65 Y55:Y65 AE74:AE78" name="maria_1_1_9" securityDescriptor="O:WDG:WDD:(A;;CC;;;S-1-5-21-3048853270-2157241324-869001692-3245)(A;;CC;;;S-1-5-21-3048853270-2157241324-869001692-1007)"/>
    <protectedRange sqref="AI79:AI81 AF79:AF81 T79:U81 W79:X81 Z79:AA81 C79:D81 AC79:AD81 AL79:XFD81 F79:L79 G80:H81 J80:L81 N79:P81" name="maria_11" securityDescriptor="O:WDG:WDD:(A;;CC;;;S-1-5-21-3048853270-2157241324-869001692-3245)(A;;CC;;;S-1-5-21-3048853270-2157241324-869001692-1007)"/>
    <protectedRange sqref="R66 R73:R74 R114:R116 Q79:R81" name="maria_1_11" securityDescriptor="O:WDG:WDD:(A;;CC;;;S-1-5-21-3048853270-2157241324-869001692-3245)(A;;CC;;;S-1-5-21-3048853270-2157241324-869001692-1007)"/>
    <protectedRange sqref="S79:S88 Y79:Y82 AE79:AE88" name="maria_1_1_10" securityDescriptor="O:WDG:WDD:(A;;CC;;;S-1-5-21-3048853270-2157241324-869001692-3245)(A;;CC;;;S-1-5-21-3048853270-2157241324-869001692-1007)"/>
    <protectedRange sqref="B82:D82 W82:X82 AI82 AC82:AD82 T82:U82 Z82:AA82 AF82 AL82:XFD82 F82:L82 N82:R82" name="maria_12" securityDescriptor="O:WDG:WDD:(A;;CC;;;S-1-5-21-3048853270-2157241324-869001692-3245)(A;;CC;;;S-1-5-21-3048853270-2157241324-869001692-1007)"/>
    <protectedRange sqref="AF83 T83:U83 W83:X83 Z83:AA83 B83:D83 AC83:AD83 N83:P83 F83:L83 AI83:XFD83" name="maria_13" securityDescriptor="O:WDG:WDD:(A;;CC;;;S-1-5-21-3048853270-2157241324-869001692-3245)(A;;CC;;;S-1-5-21-3048853270-2157241324-869001692-1007)"/>
    <protectedRange sqref="Q83:R83" name="maria_1_12" securityDescriptor="O:WDG:WDD:(A;;CC;;;S-1-5-21-3048853270-2157241324-869001692-3245)(A;;CC;;;S-1-5-21-3048853270-2157241324-869001692-1007)"/>
    <protectedRange sqref="Y83" name="maria_1_1_11" securityDescriptor="O:WDG:WDD:(A;;CC;;;S-1-5-21-3048853270-2157241324-869001692-3245)(A;;CC;;;S-1-5-21-3048853270-2157241324-869001692-1007)"/>
    <protectedRange sqref="T84:U88 W84:X88 Z84:AA88 AC84:AD88 F80:F81 AI84 AL84:XFD84 B84:D88 AL85:XFD87 F105:F106 F84:L86 AL88:XFD88 G87:L88 N84:P88 AF84:AF88 F76:F78 AJ88:AK88 AI85:AK87" name="maria_14" securityDescriptor="O:WDG:WDD:(A;;CC;;;S-1-5-21-3048853270-2157241324-869001692-3245)(A;;CC;;;S-1-5-21-3048853270-2157241324-869001692-1007)"/>
    <protectedRange sqref="Q84:R88" name="maria_1_13" securityDescriptor="O:WDG:WDD:(A;;CC;;;S-1-5-21-3048853270-2157241324-869001692-3245)(A;;CC;;;S-1-5-21-3048853270-2157241324-869001692-1007)"/>
    <protectedRange sqref="Y84:Y88" name="maria_1_1_12" securityDescriptor="O:WDG:WDD:(A;;CC;;;S-1-5-21-3048853270-2157241324-869001692-3245)(A;;CC;;;S-1-5-21-3048853270-2157241324-869001692-1007)"/>
    <protectedRange sqref="AF89 T89:U89 W89:X89 Z89:AA89 B89:D89 AC89:AD89 F89:L89 AL89:XFD89 AI88:AI89 N89:P89" name="maria_15" securityDescriptor="O:WDG:WDD:(A;;CC;;;S-1-5-21-3048853270-2157241324-869001692-3245)(A;;CC;;;S-1-5-21-3048853270-2157241324-869001692-1007)"/>
    <protectedRange sqref="Q89:R89" name="maria_1_14" securityDescriptor="O:WDG:WDD:(A;;CC;;;S-1-5-21-3048853270-2157241324-869001692-3245)(A;;CC;;;S-1-5-21-3048853270-2157241324-869001692-1007)"/>
    <protectedRange sqref="Y89 AE89:AE92 S89:S92 S94 AE94" name="maria_1_1_13" securityDescriptor="O:WDG:WDD:(A;;CC;;;S-1-5-21-3048853270-2157241324-869001692-3245)(A;;CC;;;S-1-5-21-3048853270-2157241324-869001692-1007)"/>
    <protectedRange sqref="AF95 B95:D95 W95:AA95 AC95:AD95 O96:O97 F95:L95 L153 L203 AL95:XFD95 AI95:AI96 I96:I97 N95:U95 Q96:S97 Y96:Y97" name="maria_16" securityDescriptor="O:WDG:WDD:(A;;CC;;;S-1-5-21-3048853270-2157241324-869001692-3245)(A;;CC;;;S-1-5-21-3048853270-2157241324-869001692-1007)"/>
    <protectedRange sqref="AE95:AE97" name="maria_1_15" securityDescriptor="O:WDG:WDD:(A;;CC;;;S-1-5-21-3048853270-2157241324-869001692-3245)(A;;CC;;;S-1-5-21-3048853270-2157241324-869001692-1007)"/>
    <protectedRange sqref="B107:D107 W107:AA107 AC107:AF107 O108:S109 AE365:AE384 AI108:AI109 O110:P110 F107:L107 L226 AE386:AE400 AE217:AE218 AE181:AE214 AE93 AE307:AE363 AE32 AE174:AE179 AE222:AE305 R110:S112 Y108:Y112 N107:U107 AE403:AE429 AE108:AE136 AE138:AE172 AE431:AE435 AI107:XFD107" name="maria_17" securityDescriptor="O:WDG:WDD:(A;;CC;;;S-1-5-21-3048853270-2157241324-869001692-3245)(A;;CC;;;S-1-5-21-3048853270-2157241324-869001692-1007)"/>
    <protectedRange sqref="AL98:XFD98 B98:D98 AJ99:AK101 F98:L98 N98:P101" name="maria_18" securityDescriptor="O:WDG:WDD:(A;;CC;;;S-1-5-21-3048853270-2157241324-869001692-3245)(A;;CC;;;S-1-5-21-3048853270-2157241324-869001692-1007)"/>
    <protectedRange sqref="Q98:R101" name="maria_1_16" securityDescriptor="O:WDG:WDD:(A;;CC;;;S-1-5-21-3048853270-2157241324-869001692-3245)(A;;CC;;;S-1-5-21-3048853270-2157241324-869001692-1007)"/>
    <protectedRange sqref="S98:U98 W98:AA98 AC98:AF98 AI98:AI101 S99:S106 Y99:Y106 AE99:AE106" name="maria_1_1_14" securityDescriptor="O:WDG:WDD:(A;;CC;;;S-1-5-21-3048853270-2157241324-869001692-3245)(A;;CC;;;S-1-5-21-3048853270-2157241324-869001692-1007)"/>
    <protectedRange sqref="AI117 AF117 T117:U117 W117:X117 Z117:AA117 C117:D117 AC117:AD117 O118:P120 F117:L117 AL117:XFD117 O121:O123 N117:P117" name="maria_19" securityDescriptor="O:WDG:WDD:(A;;CC;;;S-1-5-21-3048853270-2157241324-869001692-3245)(A;;CC;;;S-1-5-21-3048853270-2157241324-869001692-1007)"/>
    <protectedRange sqref="Q117:R117" name="maria_1_17" securityDescriptor="O:WDG:WDD:(A;;CC;;;S-1-5-21-3048853270-2157241324-869001692-3245)(A;;CC;;;S-1-5-21-3048853270-2157241324-869001692-1007)"/>
    <protectedRange sqref="S117:S123 T121:T123 Y117:Y123" name="maria_1_1_15" securityDescriptor="O:WDG:WDD:(A;;CC;;;S-1-5-21-3048853270-2157241324-869001692-3245)(A;;CC;;;S-1-5-21-3048853270-2157241324-869001692-1007)"/>
    <protectedRange sqref="AF113 T113:U113 W113:X113 Z113:AA113 B113:D113 AC113:AD113 B117 F113:L113 H115:H116 AI114:AI116 O114:P116 N113:P113 AI113:XFD113" name="maria_20" securityDescriptor="O:WDG:WDD:(A;;CC;;;S-1-5-21-3048853270-2157241324-869001692-3245)(A;;CC;;;S-1-5-21-3048853270-2157241324-869001692-1007)"/>
    <protectedRange sqref="Q113:R113 Q114:Q116" name="maria_1_18" securityDescriptor="O:WDG:WDD:(A;;CC;;;S-1-5-21-3048853270-2157241324-869001692-3245)(A;;CC;;;S-1-5-21-3048853270-2157241324-869001692-1007)"/>
    <protectedRange sqref="Y113:Y116 Z115:Z116 T115:T116 S113:S116" name="maria_1_1_16" securityDescriptor="O:WDG:WDD:(A;;CC;;;S-1-5-21-3048853270-2157241324-869001692-3245)(A;;CC;;;S-1-5-21-3048853270-2157241324-869001692-1007)"/>
    <protectedRange sqref="AL129:XFD129 B129:D129 B145 B148 B150 B138:B139 F129:L129 H131:H132 P131 N129:P129" name="maria_21" securityDescriptor="O:WDG:WDD:(A;;CC;;;S-1-5-21-3048853270-2157241324-869001692-3245)(A;;CC;;;S-1-5-21-3048853270-2157241324-869001692-1007)"/>
    <protectedRange sqref="Q129:R129 Q131:Q136 Q127:Q128" name="maria_1_19" securityDescriptor="O:WDG:WDD:(A;;CC;;;S-1-5-21-3048853270-2157241324-869001692-3245)(A;;CC;;;S-1-5-21-3048853270-2157241324-869001692-1007)"/>
    <protectedRange sqref="S129:U129 W129:AA129 AF129 AI129 AC129:AD129 Y130:Y131 X131 S130:S131 U131 AA131 S132:U132 W132:AA132 AC131:AD132 AI131:AI136 S133:S136 Y133:Y136 AF131:AF136" name="maria_1_1_17" securityDescriptor="O:WDG:WDD:(A;;CC;;;S-1-5-21-3048853270-2157241324-869001692-3245)(A;;CC;;;S-1-5-21-3048853270-2157241324-869001692-1007)"/>
    <protectedRange sqref="B124:D124 P124 F124:L124 N124 AJ124:XFD124" name="maria_22" securityDescriptor="O:WDG:WDD:(A;;CC;;;S-1-5-21-3048853270-2157241324-869001692-3245)(A;;CC;;;S-1-5-21-3048853270-2157241324-869001692-1007)"/>
    <protectedRange sqref="Q124:R124" name="maria_1_20" securityDescriptor="O:WDG:WDD:(A;;CC;;;S-1-5-21-3048853270-2157241324-869001692-3245)(A;;CC;;;S-1-5-21-3048853270-2157241324-869001692-1007)"/>
    <protectedRange sqref="S124:U124 W124:AA124 AC124:AD124 AI124 AF124:AF128 S125:S128 Y125:Y128" name="maria_1_1_18" securityDescriptor="O:WDG:WDD:(A;;CC;;;S-1-5-21-3048853270-2157241324-869001692-3245)(A;;CC;;;S-1-5-21-3048853270-2157241324-869001692-1007)"/>
    <protectedRange sqref="AF138:AF139 U138:U139 W138:X139 Z138:AA139 AC138:AD139 F140 C138:D139 F138:L139 AI138:AI139 AL138:XFD139 O140:O143 N138:P139" name="maria_23" securityDescriptor="O:WDG:WDD:(A;;CC;;;S-1-5-21-3048853270-2157241324-869001692-3245)(A;;CC;;;S-1-5-21-3048853270-2157241324-869001692-1007)"/>
    <protectedRange sqref="R42 R144 Q138:R143" name="maria_1_21" securityDescriptor="O:WDG:WDD:(A;;CC;;;S-1-5-21-3048853270-2157241324-869001692-3245)(A;;CC;;;S-1-5-21-3048853270-2157241324-869001692-1007)"/>
    <protectedRange sqref="S138:T139 Y138:Y139 S149 S140:S147" name="maria_1_1_19" securityDescriptor="O:WDG:WDD:(A;;CC;;;S-1-5-21-3048853270-2157241324-869001692-3245)(A;;CC;;;S-1-5-21-3048853270-2157241324-869001692-1007)"/>
    <protectedRange sqref="AF150 T150:U150 W150:X150 Z150:AA150 C150:D150 AC150:AD150 D148 AI148 AF148 T148:U148 W148:X148 Z148:AA148 N148:P148 AC148:AD148 AJ145:AK145 AF145 AA149 F148 F150:L150 O149:P149 U149 X149 N150:P150 AI150:XFD150" name="maria_24" securityDescriptor="O:WDG:WDD:(A;;CC;;;S-1-5-21-3048853270-2157241324-869001692-3245)(A;;CC;;;S-1-5-21-3048853270-2157241324-869001692-1007)"/>
    <protectedRange sqref="Q148:R150 R145:R147" name="maria_1_22" securityDescriptor="O:WDG:WDD:(A;;CC;;;S-1-5-21-3048853270-2157241324-869001692-3245)(A;;CC;;;S-1-5-21-3048853270-2157241324-869001692-1007)"/>
    <protectedRange sqref="Y150 Y148 S148 S150:S152 S156:S158" name="maria_1_1_20" securityDescriptor="O:WDG:WDD:(A;;CC;;;S-1-5-21-3048853270-2157241324-869001692-3245)(A;;CC;;;S-1-5-21-3048853270-2157241324-869001692-1007)"/>
    <protectedRange sqref="AI162 T162:U162 W162:X162 Z162:AA162 B162:D162 AC162:AD162 B166 B172 B181 B186:B188 B192 B199 B196 H163 F163 AF162:AF163 AI163:AK163 F162:L162 F172 B178:B179 AL162:XFD162 I163:I164 H165:I165 N162:P165" name="maria_25" securityDescriptor="O:WDG:WDD:(A;;CC;;;S-1-5-21-3048853270-2157241324-869001692-3245)(A;;CC;;;S-1-5-21-3048853270-2157241324-869001692-1007)"/>
    <protectedRange sqref="Q162:R162 Q163:Q164 R164 Q165:R165" name="maria_1_23" securityDescriptor="O:WDG:WDD:(A;;CC;;;S-1-5-21-3048853270-2157241324-869001692-3245)(A;;CC;;;S-1-5-21-3048853270-2157241324-869001692-1007)"/>
    <protectedRange sqref="S162:S165 Y162:Y165" name="maria_1_1_21" securityDescriptor="O:WDG:WDD:(A;;CC;;;S-1-5-21-3048853270-2157241324-869001692-3245)(A;;CC;;;S-1-5-21-3048853270-2157241324-869001692-1007)"/>
    <protectedRange sqref="AF43 T43:U43 W43:X43 Z43:AD43 B43:D43 AB222:AB230 AI43:AI44 AB39 F43:L43 H173 N173 AB69 AL43:XFD43 R43:R46 H44:H46 P173 AB217:AB218 R173:R174 AB178:AB179 AB138:AB140 AB44:AB67 AB73:AB92 AB162:AB174 AB145:AB158 N43:P46 AB94:AB136 AB181:AB214" name="maria_26" securityDescriptor="O:WDG:WDD:(A;;CC;;;S-1-5-21-3048853270-2157241324-869001692-3245)(A;;CC;;;S-1-5-21-3048853270-2157241324-869001692-1007)"/>
    <protectedRange sqref="Q173 Q43:Q46" name="maria_1_24" securityDescriptor="O:WDG:WDD:(A;;CC;;;S-1-5-21-3048853270-2157241324-869001692-3245)(A;;CC;;;S-1-5-21-3048853270-2157241324-869001692-1007)"/>
    <protectedRange sqref="W115:W116 W66 S39 V39 AE39 AG39 Y39 W181 W74 V217:V218 S173 AE173 AG173 AG43:AG46 Y173:Y174 AE43:AE46 Y43:Y46 S43:S46 V178:V179 V43:V69 V73:V92 V162:V174 V138:V158 V94:V136 V181:V214" name="maria_1_1_22" securityDescriptor="O:WDG:WDD:(A;;CC;;;S-1-5-21-3048853270-2157241324-869001692-3245)(A;;CC;;;S-1-5-21-3048853270-2157241324-869001692-1007)"/>
    <protectedRange sqref="B203:D203 W203:AA203 AF203 AI203 AC203:AD203 N203:U203 AL203:XFD203 F93 F203:K203 Y204:Y210 S204:S210" name="maria_28" securityDescriptor="O:WDG:WDD:(A;;CC;;;S-1-5-21-3048853270-2157241324-869001692-3245)(A;;CC;;;S-1-5-21-3048853270-2157241324-869001692-1007)"/>
    <protectedRange sqref="AF204:AF210 T204:U210 W204:X210 Z204:AA210 B204:D210 AC204:AD206 F50 F73:F74 AC208:AD210 F204:L206 G207:L210 AI204:AI205 AL204:XFD205 F114:F116 F126 N204:P210 F58:F67 AI206:XFD210" name="maria_29" securityDescriptor="O:WDG:WDD:(A;;CC;;;S-1-5-21-3048853270-2157241324-869001692-3245)(A;;CC;;;S-1-5-21-3048853270-2157241324-869001692-1007)"/>
    <protectedRange sqref="R121:R123 R127:R128 R130:R136 Q204:R210" name="maria_1_25" securityDescriptor="O:WDG:WDD:(A;;CC;;;S-1-5-21-3048853270-2157241324-869001692-3245)(A;;CC;;;S-1-5-21-3048853270-2157241324-869001692-1007)"/>
    <protectedRange sqref="AI188 AF188 T188:U188 W188:X188 Z188:AA188 C188:D188 AI181:AK185 F188:L188 AL188:XFD188 K181:K185 O189:O191 N188:P188" name="maria_30" securityDescriptor="O:WDG:WDD:(A;;CC;;;S-1-5-21-3048853270-2157241324-869001692-3245)(A;;CC;;;S-1-5-21-3048853270-2157241324-869001692-1007)"/>
    <protectedRange sqref="Q188:R188 R181 R189:R191" name="maria_1_26" securityDescriptor="O:WDG:WDD:(A;;CC;;;S-1-5-21-3048853270-2157241324-869001692-3245)(A;;CC;;;S-1-5-21-3048853270-2157241324-869001692-1007)"/>
    <protectedRange sqref="S188:S202 Y188:Y202" name="maria_1_1_24" securityDescriptor="O:WDG:WDD:(A;;CC;;;S-1-5-21-3048853270-2157241324-869001692-3245)(A;;CC;;;S-1-5-21-3048853270-2157241324-869001692-1007)"/>
    <protectedRange sqref="AI166 AF166 T166:U166 W166:X166 Z166:AA166 C166:D166 AC166:AD166 F166:L166 H168 AL166:XFD166 N168:P171 N166:P166" name="maria_31" securityDescriptor="O:WDG:WDD:(A;;CC;;;S-1-5-21-3048853270-2157241324-869001692-3245)(A;;CC;;;S-1-5-21-3048853270-2157241324-869001692-1007)"/>
    <protectedRange sqref="Q166:R166 R104 Q168:R171" name="maria_1_27" securityDescriptor="O:WDG:WDD:(A;;CC;;;S-1-5-21-3048853270-2157241324-869001692-3245)(A;;CC;;;S-1-5-21-3048853270-2157241324-869001692-1007)"/>
    <protectedRange sqref="Y154 S154 S166:S171 Y166:Y171" name="maria_1_1_25" securityDescriptor="O:WDG:WDD:(A;;CC;;;S-1-5-21-3048853270-2157241324-869001692-3245)(A;;CC;;;S-1-5-21-3048853270-2157241324-869001692-1007)"/>
    <protectedRange sqref="B153 F153" name="maria_32" securityDescriptor="O:WDG:WDD:(A;;CC;;;S-1-5-21-3048853270-2157241324-869001692-3245)(A;;CC;;;S-1-5-21-3048853270-2157241324-869001692-1007)"/>
    <protectedRange sqref="C153:D153 G153:H153 W153:AA153 AF153 AI153 AC153:AD153 S155 O154:P154 H154:H155 P155 J153:K153 N153:U153 AL153:XFD153 Y155:Y158" name="maria_1_28" securityDescriptor="O:WDG:WDD:(A;;CC;;;S-1-5-21-3048853270-2157241324-869001692-3245)(A;;CC;;;S-1-5-21-3048853270-2157241324-869001692-1007)"/>
    <protectedRange sqref="C266:H266 C223:H258 C267:I270 J258:L258 T224:U270 W240:X270 Z240:AA270 I223:L225 AF222:AF270 AC222:AD270 W223:AA239 N224:R270 N223:U223 C318:C319 C259:L265 Y160 AB160 B160 S160 V160 J266:L270 B379:B385 B222:L222 V365:V384 S365:S384 B365:B377 AB365:AB384 Y365:Y384 AL222:XFD222 I227:L257 I226:K226 AI222 Y386:Y400 V386:V400 S386:S400 S402 Y402 U144 S403:AD414 S93 B93 AB93 Y93 V93 S324:S363 B320:B363 AB307:AB363 Y308:Y363 V307:V363 B32 V32 Y32 AB32 S32 B175:B177 V175:V177 Y175:Y177 AB175:AB177 S175:S177 S224:S322 AB231:AB305 Y240:Y305 V223:V305 B223:B316 AB386:AB400 S415 V415 Y415 AB415 N222:AA222 S416:AD429 Z432 AB431:AD432 Z431:AA431 S431:Y432 S433:AD435 AI223:XFD270" name="maria_33" securityDescriptor="O:WDG:WDD:(A;;CC;;;S-1-5-21-3048853270-2157241324-869001692-3245)(A;;CC;;;S-1-5-21-3048853270-2157241324-869001692-1007)"/>
    <protectedRange sqref="AI271 AF271 T271:U271 W271:X271 Z271:AA271 C271:L271 AC271:AD271 N271:P271 E337:E340 AL271:XFD271" name="maria_34" securityDescriptor="O:WDG:WDD:(A;;CC;;;S-1-5-21-3048853270-2157241324-869001692-3245)(A;;CC;;;S-1-5-21-3048853270-2157241324-869001692-1007)"/>
    <protectedRange sqref="Q271:R271" name="maria_1_29" securityDescriptor="O:WDG:WDD:(A;;CC;;;S-1-5-21-3048853270-2157241324-869001692-3245)(A;;CC;;;S-1-5-21-3048853270-2157241324-869001692-1007)"/>
    <protectedRange sqref="F32:L32 N176 R176:R177 AF176:AF177 T176:U177 AI32 W176:X177 Z177:AA177 AC176:AD177 R93 R328:R329 R331:R332 N177:O177 C176:D177 F176:L177 AI176:AI177 AI93 R32 AF32 T32:U32 W32:X32 Z32:AA32 AC32:AD32 N32:P32 C32:D32 AA176 O33 AI97" name="maria_35" securityDescriptor="O:WDG:WDD:(A;;CC;;;S-1-5-21-3048853270-2157241324-869001692-3245)(A;;CC;;;S-1-5-21-3048853270-2157241324-869001692-1007)"/>
    <protectedRange sqref="Q176:Q177 Q32" name="maria_1_30" securityDescriptor="O:WDG:WDD:(A;;CC;;;S-1-5-21-3048853270-2157241324-869001692-3245)(A;;CC;;;S-1-5-21-3048853270-2157241324-869001692-1007)"/>
    <protectedRange sqref="Z176" name="maria_1_1_27" securityDescriptor="O:WDG:WDD:(A;;CC;;;S-1-5-21-3048853270-2157241324-869001692-3245)(A;;CC;;;S-1-5-21-3048853270-2157241324-869001692-1007)"/>
    <protectedRange sqref="AF272:AF279 T272:U279 W272:X279 Z272:AA279 AC272:AD279 C272:L279 N272:P279 E283 E288:E290 E294:E295 E297 E299:E303 E306 E314:E316 E322 E330:E331 E333:E336 E362:E363 E366:E373 E341:E347 E199 E196 E192:E193 E182 E167 E154 E145 E119:E120 E101 E49 E44 E35 E19 E9 E99 E377 E357:E360 E379:E384 E178 AI272:AI279 AL272:XFD279 E25:E28 E396:E397 E400:F400 E12:E14 E17 E41:E42 E142 E210 E38:E39 E408:E414 E175 E349:E355 E416:E429 E127:E128 E22 E431:E435" name="maria_36" securityDescriptor="O:WDG:WDD:(A;;CC;;;S-1-5-21-3048853270-2157241324-869001692-3245)(A;;CC;;;S-1-5-21-3048853270-2157241324-869001692-1007)"/>
    <protectedRange sqref="Q272:R279" name="maria_1_31" securityDescriptor="O:WDG:WDD:(A;;CC;;;S-1-5-21-3048853270-2157241324-869001692-3245)(A;;CC;;;S-1-5-21-3048853270-2157241324-869001692-1007)"/>
    <protectedRange sqref="AF280:AF281 T280:U281 W280:X281 Z281 AA280:AA281 C280:L281 AC280:AD281 N280:P281 AF292 T292:U292 W292:X292 AA292 C292:L292 AC292:AD292 AI292:XFD292 E291 E293 N292:P293 AI293 E304 E296 AI281 AL281:XFD281 E398 AI280:XFD280" name="maria_37" securityDescriptor="O:WDG:WDD:(A;;CC;;;S-1-5-21-3048853270-2157241324-869001692-3245)(A;;CC;;;S-1-5-21-3048853270-2157241324-869001692-1007)"/>
    <protectedRange sqref="Q280:R281 Q292:R293" name="maria_1_32" securityDescriptor="O:WDG:WDD:(A;;CC;;;S-1-5-21-3048853270-2157241324-869001692-3245)(A;;CC;;;S-1-5-21-3048853270-2157241324-869001692-1007)"/>
    <protectedRange sqref="Z280 Z292" name="maria_1_1_29" securityDescriptor="O:WDG:WDD:(A;;CC;;;S-1-5-21-3048853270-2157241324-869001692-3245)(A;;CC;;;S-1-5-21-3048853270-2157241324-869001692-1007)"/>
    <protectedRange sqref="AF282:AF283 T282:U283 W282:X283 Z283:AA283 AC282:AD283 C282:L282 N282:P283 C283:D283 F283:L283 AI282:AI283 AL282:XFD283" name="maria_38" securityDescriptor="O:WDG:WDD:(A;;CC;;;S-1-5-21-3048853270-2157241324-869001692-3245)(A;;CC;;;S-1-5-21-3048853270-2157241324-869001692-1007)"/>
    <protectedRange sqref="Q282:R282 Q283" name="maria_1_33" securityDescriptor="O:WDG:WDD:(A;;CC;;;S-1-5-21-3048853270-2157241324-869001692-3245)(A;;CC;;;S-1-5-21-3048853270-2157241324-869001692-1007)"/>
    <protectedRange sqref="H286:I286 G284:I285 AF284:AF286 C284:F286 T284:U286 W284:X286 Z284:AA286 J284:L286 AC284:AD286 N291:P291 N284:P286 AI284:AI285 AL284:XFD285 AI286:XFD286" name="maria_39" securityDescriptor="O:WDG:WDD:(A;;CC;;;S-1-5-21-3048853270-2157241324-869001692-3245)(A;;CC;;;S-1-5-21-3048853270-2157241324-869001692-1007)"/>
    <protectedRange sqref="Q284:R286 R291" name="maria_1_34" securityDescriptor="O:WDG:WDD:(A;;CC;;;S-1-5-21-3048853270-2157241324-869001692-3245)(A;;CC;;;S-1-5-21-3048853270-2157241324-869001692-1007)"/>
    <protectedRange sqref="AF287:AF288 T287:U288 W287:X288 C287:L287 AC287:AD288 Z287:AA289 AI289:AK289 N287:P290 AI294 N294:P294 C288:D288 F288:L288 F289:F290 F294:F295 F306 AI288 AL288:XFD288 AI290 AI287:XFD287" name="maria_40" securityDescriptor="O:WDG:WDD:(A;;CC;;;S-1-5-21-3048853270-2157241324-869001692-3245)(A;;CC;;;S-1-5-21-3048853270-2157241324-869001692-1007)"/>
    <protectedRange sqref="Q287:R290 Q294:R294 R295:R297" name="maria_1_35" securityDescriptor="O:WDG:WDD:(A;;CC;;;S-1-5-21-3048853270-2157241324-869001692-3245)(A;;CC;;;S-1-5-21-3048853270-2157241324-869001692-1007)"/>
    <protectedRange sqref="AF118:AF120 T118:U120 W118:X120 Z118:AA120 AC118:AD120 C118:D120 F118:L120 AI121:AI122 N118:N120 AI118:XFD120" name="maria_42" securityDescriptor="O:WDG:WDD:(A;;CC;;;S-1-5-21-3048853270-2157241324-869001692-3245)(A;;CC;;;S-1-5-21-3048853270-2157241324-869001692-1007)"/>
    <protectedRange sqref="Q118:R118 Q119:Q120" name="maria_1_37" securityDescriptor="O:WDG:WDD:(A;;CC;;;S-1-5-21-3048853270-2157241324-869001692-3245)(A;;CC;;;S-1-5-21-3048853270-2157241324-869001692-1007)"/>
    <protectedRange sqref="T364:U364 W364:X364 AF364 Z364:AA364 AC364:AD364 C364:D364 N364:P364 AH364:AI364 F364:L364 F365 F374:F376 AL364:XFD364" name="maria_7" securityDescriptor="O:WDG:WDD:(A;;CC;;;S-1-5-21-3048853270-2157241324-869001692-3245)(A;;CC;;;S-1-5-21-3048853270-2157241324-869001692-1007)"/>
    <protectedRange sqref="Q364" name="maria_1_7" securityDescriptor="O:WDG:WDD:(A;;CC;;;S-1-5-21-3048853270-2157241324-869001692-3245)(A;;CC;;;S-1-5-21-3048853270-2157241324-869001692-1007)"/>
    <protectedRange sqref="AG364" name="maria_1_1_7_1" securityDescriptor="O:WDG:WDD:(A;;CC;;;S-1-5-21-3048853270-2157241324-869001692-3245)(A;;CC;;;S-1-5-21-3048853270-2157241324-869001692-1007)"/>
    <protectedRange sqref="AE364" name="maria_17_1" securityDescriptor="O:WDG:WDD:(A;;CC;;;S-1-5-21-3048853270-2157241324-869001692-3245)(A;;CC;;;S-1-5-21-3048853270-2157241324-869001692-1007)"/>
    <protectedRange sqref="V364 Y364 AB364 B364 S364" name="maria_33_1" securityDescriptor="O:WDG:WDD:(A;;CC;;;S-1-5-21-3048853270-2157241324-869001692-3245)(A;;CC;;;S-1-5-21-3048853270-2157241324-869001692-1007)"/>
    <protectedRange sqref="E364:E365 E374:E376" name="maria_36_1" securityDescriptor="O:WDG:WDD:(A;;CC;;;S-1-5-21-3048853270-2157241324-869001692-3245)(A;;CC;;;S-1-5-21-3048853270-2157241324-869001692-1007)"/>
    <protectedRange sqref="T401:U401 W401:X401 AF401 Z401:AA401 AC401:AD401 C401:D401 F401:G401 AH401:AK401" name="maria_27" securityDescriptor="O:WDG:WDD:(A;;CC;;;S-1-5-21-3048853270-2157241324-869001692-3245)(A;;CC;;;S-1-5-21-3048853270-2157241324-869001692-1007)"/>
    <protectedRange sqref="AG401:AG402" name="maria_1_1_7_2" securityDescriptor="O:WDG:WDD:(A;;CC;;;S-1-5-21-3048853270-2157241324-869001692-3245)(A;;CC;;;S-1-5-21-3048853270-2157241324-869001692-1007)"/>
    <protectedRange sqref="AE401:AE402" name="maria_17_2" securityDescriptor="O:WDG:WDD:(A;;CC;;;S-1-5-21-3048853270-2157241324-869001692-3245)(A;;CC;;;S-1-5-21-3048853270-2157241324-869001692-1007)"/>
    <protectedRange sqref="Y401 B401 S401 AB401:AB402 V401:V402" name="maria_33_2" securityDescriptor="O:WDG:WDD:(A;;CC;;;S-1-5-21-3048853270-2157241324-869001692-3245)(A;;CC;;;S-1-5-21-3048853270-2157241324-869001692-1007)"/>
    <protectedRange sqref="O401:P401" name="maria_10_1" securityDescriptor="O:WDG:WDD:(A;;CC;;;S-1-5-21-3048853270-2157241324-869001692-3245)(A;;CC;;;S-1-5-21-3048853270-2157241324-869001692-1007)"/>
    <protectedRange sqref="B125:D128 G125:H128" name="maria_41" securityDescriptor="O:WDG:WDD:(A;;CC;;;S-1-5-21-3048853270-2157241324-869001692-3245)(A;;CC;;;S-1-5-21-3048853270-2157241324-869001692-1007)"/>
    <protectedRange sqref="F125" name="maria_22_1" securityDescriptor="O:WDG:WDD:(A;;CC;;;S-1-5-21-3048853270-2157241324-869001692-3245)(A;;CC;;;S-1-5-21-3048853270-2157241324-869001692-1007)"/>
    <protectedRange sqref="J125:J128" name="maria_43" securityDescriptor="O:WDG:WDD:(A;;CC;;;S-1-5-21-3048853270-2157241324-869001692-3245)(A;;CC;;;S-1-5-21-3048853270-2157241324-869001692-1007)"/>
    <protectedRange sqref="I125:I128" name="maria_22_2" securityDescriptor="O:WDG:WDD:(A;;CC;;;S-1-5-21-3048853270-2157241324-869001692-3245)(A;;CC;;;S-1-5-21-3048853270-2157241324-869001692-1007)"/>
    <protectedRange sqref="K125:L128" name="maria_44" securityDescriptor="O:WDG:WDD:(A;;CC;;;S-1-5-21-3048853270-2157241324-869001692-3245)(A;;CC;;;S-1-5-21-3048853270-2157241324-869001692-1007)"/>
    <protectedRange sqref="P125 N125:N128" name="maria_22_3" securityDescriptor="O:WDG:WDD:(A;;CC;;;S-1-5-21-3048853270-2157241324-869001692-3245)(A;;CC;;;S-1-5-21-3048853270-2157241324-869001692-1007)"/>
    <protectedRange sqref="Q125:R126" name="maria_1_20_1" securityDescriptor="O:WDG:WDD:(A;;CC;;;S-1-5-21-3048853270-2157241324-869001692-3245)(A;;CC;;;S-1-5-21-3048853270-2157241324-869001692-1007)"/>
    <protectedRange sqref="T125:U128" name="maria_45" securityDescriptor="O:WDG:WDD:(A;;CC;;;S-1-5-21-3048853270-2157241324-869001692-3245)(A;;CC;;;S-1-5-21-3048853270-2157241324-869001692-1007)"/>
    <protectedRange sqref="W125:X128" name="maria_46" securityDescriptor="O:WDG:WDD:(A;;CC;;;S-1-5-21-3048853270-2157241324-869001692-3245)(A;;CC;;;S-1-5-21-3048853270-2157241324-869001692-1007)"/>
    <protectedRange sqref="Z125:AA128" name="maria_47" securityDescriptor="O:WDG:WDD:(A;;CC;;;S-1-5-21-3048853270-2157241324-869001692-3245)(A;;CC;;;S-1-5-21-3048853270-2157241324-869001692-1007)"/>
    <protectedRange sqref="AG125:AG128" name="maria_1_1_7_3" securityDescriptor="O:WDG:WDD:(A;;CC;;;S-1-5-21-3048853270-2157241324-869001692-3245)(A;;CC;;;S-1-5-21-3048853270-2157241324-869001692-1007)"/>
    <protectedRange sqref="W385:X385 AF385 AC385:AD385 C385:D385 T385:U385 Z385:AA385 F385:L385 AH385 O389:P389 N385:P388 R385:R388 R390:R393 N390:P400 O42:P42 O144:P144 O402:P429 O431:P435" name="maria_48" securityDescriptor="O:WDG:WDD:(A;;CC;;;S-1-5-21-3048853270-2157241324-869001692-3245)(A;;CC;;;S-1-5-21-3048853270-2157241324-869001692-1007)"/>
    <protectedRange sqref="Q385:Q400" name="maria_1_36" securityDescriptor="O:WDG:WDD:(A;;CC;;;S-1-5-21-3048853270-2157241324-869001692-3245)(A;;CC;;;S-1-5-21-3048853270-2157241324-869001692-1007)"/>
    <protectedRange sqref="AG385" name="maria_1_1_7_4" securityDescriptor="O:WDG:WDD:(A;;CC;;;S-1-5-21-3048853270-2157241324-869001692-3245)(A;;CC;;;S-1-5-21-3048853270-2157241324-869001692-1007)"/>
    <protectedRange sqref="AE385" name="maria_17_3" securityDescriptor="O:WDG:WDD:(A;;CC;;;S-1-5-21-3048853270-2157241324-869001692-3245)(A;;CC;;;S-1-5-21-3048853270-2157241324-869001692-1007)"/>
    <protectedRange sqref="Y385 AB385 S385 V385" name="maria_33_3" securityDescriptor="O:WDG:WDD:(A;;CC;;;S-1-5-21-3048853270-2157241324-869001692-3245)(A;;CC;;;S-1-5-21-3048853270-2157241324-869001692-1007)"/>
    <protectedRange sqref="E385" name="maria_36_2" securityDescriptor="O:WDG:WDD:(A;;CC;;;S-1-5-21-3048853270-2157241324-869001692-3245)(A;;CC;;;S-1-5-21-3048853270-2157241324-869001692-1007)"/>
    <protectedRange sqref="E361" name="maria_1_4_1" securityDescriptor="O:WDG:WDD:(A;;CC;;;S-1-5-21-3048853270-2157241324-869001692-3245)(A;;CC;;;S-1-5-21-3048853270-2157241324-869001692-1007)"/>
    <protectedRange sqref="E389" name="maria_1_1" securityDescriptor="O:WDG:WDD:(A;;CC;;;S-1-5-21-3048853270-2157241324-869001692-3245)(A;;CC;;;S-1-5-21-3048853270-2157241324-869001692-1007)"/>
    <protectedRange sqref="F389" name="maria_49" securityDescriptor="O:WDG:WDD:(A;;CC;;;S-1-5-21-3048853270-2157241324-869001692-3245)(A;;CC;;;S-1-5-21-3048853270-2157241324-869001692-1007)"/>
    <protectedRange sqref="N389" name="maria_2_1" securityDescriptor="O:WDG:WDD:(A;;CC;;;S-1-5-21-3048853270-2157241324-869001692-3245)(A;;CC;;;S-1-5-21-3048853270-2157241324-869001692-1007)"/>
    <protectedRange sqref="R389 R394:R400" name="maria_3_1" securityDescriptor="O:WDG:WDD:(A;;CC;;;S-1-5-21-3048853270-2157241324-869001692-3245)(A;;CC;;;S-1-5-21-3048853270-2157241324-869001692-1007)"/>
    <protectedRange sqref="AJ271:AK271" name="maria_34_2" securityDescriptor="O:WDG:WDD:(A;;CC;;;S-1-5-21-3048853270-2157241324-869001692-3245)(A;;CC;;;S-1-5-21-3048853270-2157241324-869001692-1007)"/>
    <protectedRange sqref="AJ272:AK272" name="maria_36_4" securityDescriptor="O:WDG:WDD:(A;;CC;;;S-1-5-21-3048853270-2157241324-869001692-3245)(A;;CC;;;S-1-5-21-3048853270-2157241324-869001692-1007)"/>
    <protectedRange sqref="AJ273:AK273" name="maria_36_6" securityDescriptor="O:WDG:WDD:(A;;CC;;;S-1-5-21-3048853270-2157241324-869001692-3245)(A;;CC;;;S-1-5-21-3048853270-2157241324-869001692-1007)"/>
    <protectedRange sqref="AJ274:AK274" name="maria_36_7" securityDescriptor="O:WDG:WDD:(A;;CC;;;S-1-5-21-3048853270-2157241324-869001692-3245)(A;;CC;;;S-1-5-21-3048853270-2157241324-869001692-1007)"/>
    <protectedRange sqref="AJ275:AK275" name="maria_36_8" securityDescriptor="O:WDG:WDD:(A;;CC;;;S-1-5-21-3048853270-2157241324-869001692-3245)(A;;CC;;;S-1-5-21-3048853270-2157241324-869001692-1007)"/>
    <protectedRange sqref="AJ276:AK276" name="maria_36_9" securityDescriptor="O:WDG:WDD:(A;;CC;;;S-1-5-21-3048853270-2157241324-869001692-3245)(A;;CC;;;S-1-5-21-3048853270-2157241324-869001692-1007)"/>
    <protectedRange sqref="AJ277:AK277" name="maria_36_10" securityDescriptor="O:WDG:WDD:(A;;CC;;;S-1-5-21-3048853270-2157241324-869001692-3245)(A;;CC;;;S-1-5-21-3048853270-2157241324-869001692-1007)"/>
    <protectedRange sqref="AJ278:AK278" name="maria_36_12" securityDescriptor="O:WDG:WDD:(A;;CC;;;S-1-5-21-3048853270-2157241324-869001692-3245)(A;;CC;;;S-1-5-21-3048853270-2157241324-869001692-1007)"/>
    <protectedRange sqref="AJ279:AK279" name="maria_36_14" securityDescriptor="O:WDG:WDD:(A;;CC;;;S-1-5-21-3048853270-2157241324-869001692-3245)(A;;CC;;;S-1-5-21-3048853270-2157241324-869001692-1007)"/>
    <protectedRange sqref="AJ281:AK281" name="maria_37_1" securityDescriptor="O:WDG:WDD:(A;;CC;;;S-1-5-21-3048853270-2157241324-869001692-3245)(A;;CC;;;S-1-5-21-3048853270-2157241324-869001692-1007)"/>
    <protectedRange sqref="AJ282:AK282" name="maria_38_1" securityDescriptor="O:WDG:WDD:(A;;CC;;;S-1-5-21-3048853270-2157241324-869001692-3245)(A;;CC;;;S-1-5-21-3048853270-2157241324-869001692-1007)"/>
    <protectedRange sqref="AJ283:AK283" name="maria_38_3" securityDescriptor="O:WDG:WDD:(A;;CC;;;S-1-5-21-3048853270-2157241324-869001692-3245)(A;;CC;;;S-1-5-21-3048853270-2157241324-869001692-1007)"/>
    <protectedRange sqref="AJ284:AK284" name="maria_39_2" securityDescriptor="O:WDG:WDD:(A;;CC;;;S-1-5-21-3048853270-2157241324-869001692-3245)(A;;CC;;;S-1-5-21-3048853270-2157241324-869001692-1007)"/>
    <protectedRange sqref="AJ285:AK285" name="maria_39_3" securityDescriptor="O:WDG:WDD:(A;;CC;;;S-1-5-21-3048853270-2157241324-869001692-3245)(A;;CC;;;S-1-5-21-3048853270-2157241324-869001692-1007)"/>
    <protectedRange sqref="AJ288:AK288" name="maria_40_1" securityDescriptor="O:WDG:WDD:(A;;CC;;;S-1-5-21-3048853270-2157241324-869001692-3245)(A;;CC;;;S-1-5-21-3048853270-2157241324-869001692-1007)"/>
    <protectedRange sqref="AJ290:AK290" name="maria_40_2" securityDescriptor="O:WDG:WDD:(A;;CC;;;S-1-5-21-3048853270-2157241324-869001692-3245)(A;;CC;;;S-1-5-21-3048853270-2157241324-869001692-1007)"/>
    <protectedRange sqref="AJ294:AK294" name="maria_40_4" securityDescriptor="O:WDG:WDD:(A;;CC;;;S-1-5-21-3048853270-2157241324-869001692-3245)(A;;CC;;;S-1-5-21-3048853270-2157241324-869001692-1007)"/>
    <protectedRange sqref="AJ295:AK295" name="maria_50" securityDescriptor="O:WDG:WDD:(A;;CC;;;S-1-5-21-3048853270-2157241324-869001692-3245)(A;;CC;;;S-1-5-21-3048853270-2157241324-869001692-1007)"/>
    <protectedRange sqref="AJ297:AK297" name="maria_51" securityDescriptor="O:WDG:WDD:(A;;CC;;;S-1-5-21-3048853270-2157241324-869001692-3245)(A;;CC;;;S-1-5-21-3048853270-2157241324-869001692-1007)"/>
    <protectedRange sqref="AJ299:AK299" name="maria_52" securityDescriptor="O:WDG:WDD:(A;;CC;;;S-1-5-21-3048853270-2157241324-869001692-3245)(A;;CC;;;S-1-5-21-3048853270-2157241324-869001692-1007)"/>
    <protectedRange sqref="AJ300:AK300" name="maria_53" securityDescriptor="O:WDG:WDD:(A;;CC;;;S-1-5-21-3048853270-2157241324-869001692-3245)(A;;CC;;;S-1-5-21-3048853270-2157241324-869001692-1007)"/>
    <protectedRange sqref="AJ301:AK301" name="maria_54" securityDescriptor="O:WDG:WDD:(A;;CC;;;S-1-5-21-3048853270-2157241324-869001692-3245)(A;;CC;;;S-1-5-21-3048853270-2157241324-869001692-1007)"/>
    <protectedRange sqref="AJ302:AK302" name="maria_55" securityDescriptor="O:WDG:WDD:(A;;CC;;;S-1-5-21-3048853270-2157241324-869001692-3245)(A;;CC;;;S-1-5-21-3048853270-2157241324-869001692-1007)"/>
    <protectedRange sqref="AJ303:AK303" name="maria_57" securityDescriptor="O:WDG:WDD:(A;;CC;;;S-1-5-21-3048853270-2157241324-869001692-3245)(A;;CC;;;S-1-5-21-3048853270-2157241324-869001692-1007)"/>
    <protectedRange sqref="AJ306:AK306" name="maria_58" securityDescriptor="O:WDG:WDD:(A;;CC;;;S-1-5-21-3048853270-2157241324-869001692-3245)(A;;CC;;;S-1-5-21-3048853270-2157241324-869001692-1007)"/>
    <protectedRange sqref="AJ307:AK307" name="maria_60" securityDescriptor="O:WDG:WDD:(A;;CC;;;S-1-5-21-3048853270-2157241324-869001692-3245)(A;;CC;;;S-1-5-21-3048853270-2157241324-869001692-1007)"/>
    <protectedRange sqref="AJ310:AK310" name="maria_62" securityDescriptor="O:WDG:WDD:(A;;CC;;;S-1-5-21-3048853270-2157241324-869001692-3245)(A;;CC;;;S-1-5-21-3048853270-2157241324-869001692-1007)"/>
    <protectedRange sqref="AJ311:AK311" name="maria_64" securityDescriptor="O:WDG:WDD:(A;;CC;;;S-1-5-21-3048853270-2157241324-869001692-3245)(A;;CC;;;S-1-5-21-3048853270-2157241324-869001692-1007)"/>
    <protectedRange sqref="AJ312:AK312" name="maria_65" securityDescriptor="O:WDG:WDD:(A;;CC;;;S-1-5-21-3048853270-2157241324-869001692-3245)(A;;CC;;;S-1-5-21-3048853270-2157241324-869001692-1007)"/>
    <protectedRange sqref="AJ314:AK314" name="maria_66" securityDescriptor="O:WDG:WDD:(A;;CC;;;S-1-5-21-3048853270-2157241324-869001692-3245)(A;;CC;;;S-1-5-21-3048853270-2157241324-869001692-1007)"/>
    <protectedRange sqref="AJ315:AK315" name="maria_68" securityDescriptor="O:WDG:WDD:(A;;CC;;;S-1-5-21-3048853270-2157241324-869001692-3245)(A;;CC;;;S-1-5-21-3048853270-2157241324-869001692-1007)"/>
    <protectedRange sqref="AJ316:AK316" name="maria_69" securityDescriptor="O:WDG:WDD:(A;;CC;;;S-1-5-21-3048853270-2157241324-869001692-3245)(A;;CC;;;S-1-5-21-3048853270-2157241324-869001692-1007)"/>
    <protectedRange sqref="AJ318:AK318" name="maria_70" securityDescriptor="O:WDG:WDD:(A;;CC;;;S-1-5-21-3048853270-2157241324-869001692-3245)(A;;CC;;;S-1-5-21-3048853270-2157241324-869001692-1007)"/>
    <protectedRange sqref="AJ319:AK319" name="maria_71" securityDescriptor="O:WDG:WDD:(A;;CC;;;S-1-5-21-3048853270-2157241324-869001692-3245)(A;;CC;;;S-1-5-21-3048853270-2157241324-869001692-1007)"/>
    <protectedRange sqref="AJ321:AK321" name="maria_72" securityDescriptor="O:WDG:WDD:(A;;CC;;;S-1-5-21-3048853270-2157241324-869001692-3245)(A;;CC;;;S-1-5-21-3048853270-2157241324-869001692-1007)"/>
    <protectedRange sqref="AJ323:AK323" name="maria_74" securityDescriptor="O:WDG:WDD:(A;;CC;;;S-1-5-21-3048853270-2157241324-869001692-3245)(A;;CC;;;S-1-5-21-3048853270-2157241324-869001692-1007)"/>
    <protectedRange sqref="AJ326:AK326" name="maria_76" securityDescriptor="O:WDG:WDD:(A;;CC;;;S-1-5-21-3048853270-2157241324-869001692-3245)(A;;CC;;;S-1-5-21-3048853270-2157241324-869001692-1007)"/>
    <protectedRange sqref="AJ327:AK327" name="maria_77" securityDescriptor="O:WDG:WDD:(A;;CC;;;S-1-5-21-3048853270-2157241324-869001692-3245)(A;;CC;;;S-1-5-21-3048853270-2157241324-869001692-1007)"/>
    <protectedRange sqref="AJ328:AK328" name="maria_78" securityDescriptor="O:WDG:WDD:(A;;CC;;;S-1-5-21-3048853270-2157241324-869001692-3245)(A;;CC;;;S-1-5-21-3048853270-2157241324-869001692-1007)"/>
    <protectedRange sqref="AJ329:AK329" name="maria_79" securityDescriptor="O:WDG:WDD:(A;;CC;;;S-1-5-21-3048853270-2157241324-869001692-3245)(A;;CC;;;S-1-5-21-3048853270-2157241324-869001692-1007)"/>
    <protectedRange sqref="AJ330:AK330" name="maria_80" securityDescriptor="O:WDG:WDD:(A;;CC;;;S-1-5-21-3048853270-2157241324-869001692-3245)(A;;CC;;;S-1-5-21-3048853270-2157241324-869001692-1007)"/>
    <protectedRange sqref="AJ331:AK331" name="maria_81" securityDescriptor="O:WDG:WDD:(A;;CC;;;S-1-5-21-3048853270-2157241324-869001692-3245)(A;;CC;;;S-1-5-21-3048853270-2157241324-869001692-1007)"/>
    <protectedRange sqref="AJ333:AK333" name="maria_82" securityDescriptor="O:WDG:WDD:(A;;CC;;;S-1-5-21-3048853270-2157241324-869001692-3245)(A;;CC;;;S-1-5-21-3048853270-2157241324-869001692-1007)"/>
    <protectedRange sqref="AJ334:AK334" name="maria_83" securityDescriptor="O:WDG:WDD:(A;;CC;;;S-1-5-21-3048853270-2157241324-869001692-3245)(A;;CC;;;S-1-5-21-3048853270-2157241324-869001692-1007)"/>
    <protectedRange sqref="AJ336:AK336" name="maria_84" securityDescriptor="O:WDG:WDD:(A;;CC;;;S-1-5-21-3048853270-2157241324-869001692-3245)(A;;CC;;;S-1-5-21-3048853270-2157241324-869001692-1007)"/>
    <protectedRange sqref="AJ337:AK337" name="maria_85" securityDescriptor="O:WDG:WDD:(A;;CC;;;S-1-5-21-3048853270-2157241324-869001692-3245)(A;;CC;;;S-1-5-21-3048853270-2157241324-869001692-1007)"/>
    <protectedRange sqref="AJ338:AK338" name="maria_87" securityDescriptor="O:WDG:WDD:(A;;CC;;;S-1-5-21-3048853270-2157241324-869001692-3245)(A;;CC;;;S-1-5-21-3048853270-2157241324-869001692-1007)"/>
    <protectedRange sqref="AJ339:AK339" name="maria_88" securityDescriptor="O:WDG:WDD:(A;;CC;;;S-1-5-21-3048853270-2157241324-869001692-3245)(A;;CC;;;S-1-5-21-3048853270-2157241324-869001692-1007)"/>
    <protectedRange sqref="AJ340:AK340" name="maria_89" securityDescriptor="O:WDG:WDD:(A;;CC;;;S-1-5-21-3048853270-2157241324-869001692-3245)(A;;CC;;;S-1-5-21-3048853270-2157241324-869001692-1007)"/>
    <protectedRange sqref="AJ342:AK342" name="maria_91" securityDescriptor="O:WDG:WDD:(A;;CC;;;S-1-5-21-3048853270-2157241324-869001692-3245)(A;;CC;;;S-1-5-21-3048853270-2157241324-869001692-1007)"/>
    <protectedRange sqref="AJ343:AK343" name="maria_92" securityDescriptor="O:WDG:WDD:(A;;CC;;;S-1-5-21-3048853270-2157241324-869001692-3245)(A;;CC;;;S-1-5-21-3048853270-2157241324-869001692-1007)"/>
    <protectedRange sqref="AJ344:AK344" name="maria_93" securityDescriptor="O:WDG:WDD:(A;;CC;;;S-1-5-21-3048853270-2157241324-869001692-3245)(A;;CC;;;S-1-5-21-3048853270-2157241324-869001692-1007)"/>
    <protectedRange sqref="AJ345:AK345" name="maria_95" securityDescriptor="O:WDG:WDD:(A;;CC;;;S-1-5-21-3048853270-2157241324-869001692-3245)(A;;CC;;;S-1-5-21-3048853270-2157241324-869001692-1007)"/>
    <protectedRange sqref="AJ346:AK346" name="maria_96" securityDescriptor="O:WDG:WDD:(A;;CC;;;S-1-5-21-3048853270-2157241324-869001692-3245)(A;;CC;;;S-1-5-21-3048853270-2157241324-869001692-1007)"/>
    <protectedRange sqref="AJ350:AK350" name="maria_98" securityDescriptor="O:WDG:WDD:(A;;CC;;;S-1-5-21-3048853270-2157241324-869001692-3245)(A;;CC;;;S-1-5-21-3048853270-2157241324-869001692-1007)"/>
    <protectedRange sqref="AJ351:AK351" name="maria_99" securityDescriptor="O:WDG:WDD:(A;;CC;;;S-1-5-21-3048853270-2157241324-869001692-3245)(A;;CC;;;S-1-5-21-3048853270-2157241324-869001692-1007)"/>
    <protectedRange sqref="AJ364:AK364" name="maria_7_1" securityDescriptor="O:WDG:WDD:(A;;CC;;;S-1-5-21-3048853270-2157241324-869001692-3245)(A;;CC;;;S-1-5-21-3048853270-2157241324-869001692-1007)"/>
    <protectedRange sqref="AJ55:AK55" name="maria_10_3" securityDescriptor="O:WDG:WDD:(A;;CC;;;S-1-5-21-3048853270-2157241324-869001692-3245)(A;;CC;;;S-1-5-21-3048853270-2157241324-869001692-1007)"/>
    <protectedRange sqref="AJ18:AK18 AJ21:AK21" name="maria_4_2" securityDescriptor="O:WDG:WDD:(A;;CC;;;S-1-5-21-3048853270-2157241324-869001692-3245)(A;;CC;;;S-1-5-21-3048853270-2157241324-869001692-1007)"/>
    <protectedRange sqref="AJ70:AK72" name="maria_5_2" securityDescriptor="O:WDG:WDD:(A;;CC;;;S-1-5-21-3048853270-2157241324-869001692-3245)(A;;CC;;;S-1-5-21-3048853270-2157241324-869001692-1007)"/>
    <protectedRange sqref="AJ34:AK34" name="maria_6_1" securityDescriptor="O:WDG:WDD:(A;;CC;;;S-1-5-21-3048853270-2157241324-869001692-3245)(A;;CC;;;S-1-5-21-3048853270-2157241324-869001692-1007)"/>
    <protectedRange sqref="AJ43:AK43" name="maria_26_1" securityDescriptor="O:WDG:WDD:(A;;CC;;;S-1-5-21-3048853270-2157241324-869001692-3245)(A;;CC;;;S-1-5-21-3048853270-2157241324-869001692-1007)"/>
    <protectedRange sqref="AJ47:AK47" name="maria_8_1" securityDescriptor="O:WDG:WDD:(A;;CC;;;S-1-5-21-3048853270-2157241324-869001692-3245)(A;;CC;;;S-1-5-21-3048853270-2157241324-869001692-1007)"/>
    <protectedRange sqref="AJ48:AK48" name="maria_9_2" securityDescriptor="O:WDG:WDD:(A;;CC;;;S-1-5-21-3048853270-2157241324-869001692-3245)(A;;CC;;;S-1-5-21-3048853270-2157241324-869001692-1007)"/>
    <protectedRange sqref="AJ79:AK81" name="maria_11_1" securityDescriptor="O:WDG:WDD:(A;;CC;;;S-1-5-21-3048853270-2157241324-869001692-3245)(A;;CC;;;S-1-5-21-3048853270-2157241324-869001692-1007)"/>
    <protectedRange sqref="AJ82:AK82" name="maria_12_2" securityDescriptor="O:WDG:WDD:(A;;CC;;;S-1-5-21-3048853270-2157241324-869001692-3245)(A;;CC;;;S-1-5-21-3048853270-2157241324-869001692-1007)"/>
    <protectedRange sqref="AJ84:AK84" name="maria_14_1" securityDescriptor="O:WDG:WDD:(A;;CC;;;S-1-5-21-3048853270-2157241324-869001692-3245)(A;;CC;;;S-1-5-21-3048853270-2157241324-869001692-1007)"/>
    <protectedRange sqref="AJ89:AK89" name="maria_15_1" securityDescriptor="O:WDG:WDD:(A;;CC;;;S-1-5-21-3048853270-2157241324-869001692-3245)(A;;CC;;;S-1-5-21-3048853270-2157241324-869001692-1007)"/>
    <protectedRange sqref="AJ95:AK95" name="maria_16_2" securityDescriptor="O:WDG:WDD:(A;;CC;;;S-1-5-21-3048853270-2157241324-869001692-3245)(A;;CC;;;S-1-5-21-3048853270-2157241324-869001692-1007)"/>
    <protectedRange sqref="AJ98:AK98" name="maria_18_1" securityDescriptor="O:WDG:WDD:(A;;CC;;;S-1-5-21-3048853270-2157241324-869001692-3245)(A;;CC;;;S-1-5-21-3048853270-2157241324-869001692-1007)"/>
    <protectedRange sqref="AJ117:AK117" name="maria_19_2" securityDescriptor="O:WDG:WDD:(A;;CC;;;S-1-5-21-3048853270-2157241324-869001692-3245)(A;;CC;;;S-1-5-21-3048853270-2157241324-869001692-1007)"/>
    <protectedRange sqref="AJ129:AK129" name="maria_21_1" securityDescriptor="O:WDG:WDD:(A;;CC;;;S-1-5-21-3048853270-2157241324-869001692-3245)(A;;CC;;;S-1-5-21-3048853270-2157241324-869001692-1007)"/>
    <protectedRange sqref="AJ138:AK138" name="maria_23_1" securityDescriptor="O:WDG:WDD:(A;;CC;;;S-1-5-21-3048853270-2157241324-869001692-3245)(A;;CC;;;S-1-5-21-3048853270-2157241324-869001692-1007)"/>
    <protectedRange sqref="AJ139:AK139" name="maria_23_3" securityDescriptor="O:WDG:WDD:(A;;CC;;;S-1-5-21-3048853270-2157241324-869001692-3245)(A;;CC;;;S-1-5-21-3048853270-2157241324-869001692-1007)"/>
    <protectedRange sqref="AJ148:AK148" name="maria_24_1" securityDescriptor="O:WDG:WDD:(A;;CC;;;S-1-5-21-3048853270-2157241324-869001692-3245)(A;;CC;;;S-1-5-21-3048853270-2157241324-869001692-1007)"/>
    <protectedRange sqref="AJ153:AK153" name="maria_1_28_1" securityDescriptor="O:WDG:WDD:(A;;CC;;;S-1-5-21-3048853270-2157241324-869001692-3245)(A;;CC;;;S-1-5-21-3048853270-2157241324-869001692-1007)"/>
    <protectedRange sqref="AJ162:AK162" name="maria_25_1" securityDescriptor="O:WDG:WDD:(A;;CC;;;S-1-5-21-3048853270-2157241324-869001692-3245)(A;;CC;;;S-1-5-21-3048853270-2157241324-869001692-1007)"/>
    <protectedRange sqref="AK166" name="maria_31_2" securityDescriptor="O:WDG:WDD:(A;;CC;;;S-1-5-21-3048853270-2157241324-869001692-3245)(A;;CC;;;S-1-5-21-3048853270-2157241324-869001692-1007)"/>
    <protectedRange sqref="AJ188:AK188" name="maria_30_1" securityDescriptor="O:WDG:WDD:(A;;CC;;;S-1-5-21-3048853270-2157241324-869001692-3245)(A;;CC;;;S-1-5-21-3048853270-2157241324-869001692-1007)"/>
    <protectedRange sqref="AJ203:AK203" name="maria_28_1" securityDescriptor="O:WDG:WDD:(A;;CC;;;S-1-5-21-3048853270-2157241324-869001692-3245)(A;;CC;;;S-1-5-21-3048853270-2157241324-869001692-1007)"/>
    <protectedRange sqref="AJ204:AK204" name="maria_29_1" securityDescriptor="O:WDG:WDD:(A;;CC;;;S-1-5-21-3048853270-2157241324-869001692-3245)(A;;CC;;;S-1-5-21-3048853270-2157241324-869001692-1007)"/>
    <protectedRange sqref="AJ205:AK205" name="maria_29_2" securityDescriptor="O:WDG:WDD:(A;;CC;;;S-1-5-21-3048853270-2157241324-869001692-3245)(A;;CC;;;S-1-5-21-3048853270-2157241324-869001692-1007)"/>
    <protectedRange sqref="AJ32:AK32" name="maria_35_1" securityDescriptor="O:WDG:WDD:(A;;CC;;;S-1-5-21-3048853270-2157241324-869001692-3245)(A;;CC;;;S-1-5-21-3048853270-2157241324-869001692-1007)"/>
    <protectedRange sqref="AJ176:AK176" name="maria_35_3" securityDescriptor="O:WDG:WDD:(A;;CC;;;S-1-5-21-3048853270-2157241324-869001692-3245)(A;;CC;;;S-1-5-21-3048853270-2157241324-869001692-1007)"/>
    <protectedRange sqref="AJ177:AK177" name="maria_35_4" securityDescriptor="O:WDG:WDD:(A;;CC;;;S-1-5-21-3048853270-2157241324-869001692-3245)(A;;CC;;;S-1-5-21-3048853270-2157241324-869001692-1007)"/>
    <protectedRange sqref="AJ93:AK93" name="maria_35_5" securityDescriptor="O:WDG:WDD:(A;;CC;;;S-1-5-21-3048853270-2157241324-869001692-3245)(A;;CC;;;S-1-5-21-3048853270-2157241324-869001692-1007)"/>
    <protectedRange sqref="AJ166" name="maria_31_3" securityDescriptor="O:WDG:WDD:(A;;CC;;;S-1-5-21-3048853270-2157241324-869001692-3245)(A;;CC;;;S-1-5-21-3048853270-2157241324-869001692-1007)"/>
    <protectedRange sqref="AJ222:AK222" name="maria_33_4" securityDescriptor="O:WDG:WDD:(A;;CC;;;S-1-5-21-3048853270-2157241324-869001692-3245)(A;;CC;;;S-1-5-21-3048853270-2157241324-869001692-1007)"/>
    <protectedRange sqref="AL215:XFD216 F215:F218 Q215:R218" name="maria_56" securityDescriptor="O:WDG:WDD:(A;;CC;;;S-1-5-21-3048853270-2157241324-869001692-3245)(A;;CC;;;S-1-5-21-3048853270-2157241324-869001692-1007)"/>
    <protectedRange sqref="E215:E218" name="maria_5_1" securityDescriptor="O:WDG:WDD:(A;;CC;;;S-1-5-21-3048853270-2157241324-869001692-3245)(A;;CC;;;S-1-5-21-3048853270-2157241324-869001692-1007)"/>
    <protectedRange sqref="AG215:AG216" name="maria_1_1_7_5" securityDescriptor="O:WDG:WDD:(A;;CC;;;S-1-5-21-3048853270-2157241324-869001692-3245)(A;;CC;;;S-1-5-21-3048853270-2157241324-869001692-1007)"/>
    <protectedRange sqref="AE215:AE216" name="maria_17_4" securityDescriptor="O:WDG:WDD:(A;;CC;;;S-1-5-21-3048853270-2157241324-869001692-3245)(A;;CC;;;S-1-5-21-3048853270-2157241324-869001692-1007)"/>
    <protectedRange sqref="S215:AD216" name="maria_33_5" securityDescriptor="O:WDG:WDD:(A;;CC;;;S-1-5-21-3048853270-2157241324-869001692-3245)(A;;CC;;;S-1-5-21-3048853270-2157241324-869001692-1007)"/>
    <protectedRange sqref="N215:P216" name="maria_48_1" securityDescriptor="O:WDG:WDD:(A;;CC;;;S-1-5-21-3048853270-2157241324-869001692-3245)(A;;CC;;;S-1-5-21-3048853270-2157241324-869001692-1007)"/>
    <protectedRange sqref="AF219:AF221 G219:H221 B219:D221 S219:U221 W219:AA221 AC219:AD221 J219:L221 N219:P221 AI219:XFD221" name="maria_59" securityDescriptor="O:WDG:WDD:(A;;CC;;;S-1-5-21-3048853270-2157241324-869001692-3245)(A;;CC;;;S-1-5-21-3048853270-2157241324-869001692-1007)"/>
    <protectedRange sqref="AH219:AH221" name="maria_1_1_1_1" securityDescriptor="O:WDG:WDD:(A;;CC;;;S-1-5-21-3048853270-2157241324-869001692-3245)(A;;CC;;;S-1-5-21-3048853270-2157241324-869001692-1007)"/>
    <protectedRange sqref="AG219:AG221" name="maria_1_1_7_6" securityDescriptor="O:WDG:WDD:(A;;CC;;;S-1-5-21-3048853270-2157241324-869001692-3245)(A;;CC;;;S-1-5-21-3048853270-2157241324-869001692-1007)"/>
    <protectedRange sqref="AE219:AE221" name="maria_17_5" securityDescriptor="O:WDG:WDD:(A;;CC;;;S-1-5-21-3048853270-2157241324-869001692-3245)(A;;CC;;;S-1-5-21-3048853270-2157241324-869001692-1007)"/>
    <protectedRange sqref="AB219:AB221" name="maria_26_2" securityDescriptor="O:WDG:WDD:(A;;CC;;;S-1-5-21-3048853270-2157241324-869001692-3245)(A;;CC;;;S-1-5-21-3048853270-2157241324-869001692-1007)"/>
    <protectedRange sqref="V219:V221" name="maria_1_1_22_1" securityDescriptor="O:WDG:WDD:(A;;CC;;;S-1-5-21-3048853270-2157241324-869001692-3245)(A;;CC;;;S-1-5-21-3048853270-2157241324-869001692-1007)"/>
    <protectedRange sqref="F219:F221 Q219:R221" name="maria_56_1" securityDescriptor="O:WDG:WDD:(A;;CC;;;S-1-5-21-3048853270-2157241324-869001692-3245)(A;;CC;;;S-1-5-21-3048853270-2157241324-869001692-1007)"/>
    <protectedRange sqref="E219:E221" name="maria_5_1_1" securityDescriptor="O:WDG:WDD:(A;;CC;;;S-1-5-21-3048853270-2157241324-869001692-3245)(A;;CC;;;S-1-5-21-3048853270-2157241324-869001692-1007)"/>
    <protectedRange sqref="W106"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61" name="Aurelian" securityDescriptor="O:WDG:WDD:(A;;CC;;;S-1-5-21-3048853270-2157241324-869001692-3245)"/>
    <protectedRange algorithmName="SHA-512" hashValue="lGxgJO7OrK4RnR9Q5GyLdphtXSoKHWuU/DeqTwJZs4H1lZxtBvfwyidbkva9W10WZdVConxSMgW/uAS6mxdKPg==" saltValue="rUT2GzIQhp6pti72S74yRQ==" spinCount="100000" sqref="C62:C63" name="Aurelian_1" securityDescriptor="O:WDG:WDD:(A;;CC;;;S-1-5-21-3048853270-2157241324-869001692-3245)"/>
    <protectedRange algorithmName="SHA-512" hashValue="lGxgJO7OrK4RnR9Q5GyLdphtXSoKHWuU/DeqTwJZs4H1lZxtBvfwyidbkva9W10WZdVConxSMgW/uAS6mxdKPg==" saltValue="rUT2GzIQhp6pti72S74yRQ==" spinCount="100000" sqref="C64:C65" name="Aurelian_2" securityDescriptor="O:WDG:WDD:(A;;CC;;;S-1-5-21-3048853270-2157241324-869001692-3245)"/>
    <protectedRange algorithmName="SHA-512" hashValue="lGxgJO7OrK4RnR9Q5GyLdphtXSoKHWuU/DeqTwJZs4H1lZxtBvfwyidbkva9W10WZdVConxSMgW/uAS6mxdKPg==" saltValue="rUT2GzIQhp6pti72S74yRQ==" spinCount="100000" sqref="G61" name="Aurelian_3" securityDescriptor="O:WDG:WDD:(A;;CC;;;S-1-5-21-3048853270-2157241324-869001692-3245)"/>
    <protectedRange algorithmName="SHA-512" hashValue="lGxgJO7OrK4RnR9Q5GyLdphtXSoKHWuU/DeqTwJZs4H1lZxtBvfwyidbkva9W10WZdVConxSMgW/uAS6mxdKPg==" saltValue="rUT2GzIQhp6pti72S74yRQ==" spinCount="100000" sqref="G62:G63" name="Aurelian_4" securityDescriptor="O:WDG:WDD:(A;;CC;;;S-1-5-21-3048853270-2157241324-869001692-3245)"/>
    <protectedRange algorithmName="SHA-512" hashValue="lGxgJO7OrK4RnR9Q5GyLdphtXSoKHWuU/DeqTwJZs4H1lZxtBvfwyidbkva9W10WZdVConxSMgW/uAS6mxdKPg==" saltValue="rUT2GzIQhp6pti72S74yRQ==" spinCount="100000" sqref="G64:G65" name="Aurelian_5" securityDescriptor="O:WDG:WDD:(A;;CC;;;S-1-5-21-3048853270-2157241324-869001692-3245)"/>
    <protectedRange algorithmName="SHA-512" hashValue="lGxgJO7OrK4RnR9Q5GyLdphtXSoKHWuU/DeqTwJZs4H1lZxtBvfwyidbkva9W10WZdVConxSMgW/uAS6mxdKPg==" saltValue="rUT2GzIQhp6pti72S74yRQ==" spinCount="100000" sqref="H61" name="Aurelian_6" securityDescriptor="O:WDG:WDD:(A;;CC;;;S-1-5-21-3048853270-2157241324-869001692-3245)"/>
    <protectedRange algorithmName="SHA-512" hashValue="lGxgJO7OrK4RnR9Q5GyLdphtXSoKHWuU/DeqTwJZs4H1lZxtBvfwyidbkva9W10WZdVConxSMgW/uAS6mxdKPg==" saltValue="rUT2GzIQhp6pti72S74yRQ==" spinCount="100000" sqref="H62:H63" name="Aurelian_7" securityDescriptor="O:WDG:WDD:(A;;CC;;;S-1-5-21-3048853270-2157241324-869001692-3245)"/>
    <protectedRange algorithmName="SHA-512" hashValue="lGxgJO7OrK4RnR9Q5GyLdphtXSoKHWuU/DeqTwJZs4H1lZxtBvfwyidbkva9W10WZdVConxSMgW/uAS6mxdKPg==" saltValue="rUT2GzIQhp6pti72S74yRQ==" spinCount="100000" sqref="H64:H65" name="Aurelian_8" securityDescriptor="O:WDG:WDD:(A;;CC;;;S-1-5-21-3048853270-2157241324-869001692-3245)"/>
    <protectedRange sqref="B137:F137 H137:K137 N137:P137 S137:XFD137" name="maria_67" securityDescriptor="O:WDG:WDD:(A;;CC;;;S-1-5-21-3048853270-2157241324-869001692-3245)(A;;CC;;;S-1-5-21-3048853270-2157241324-869001692-1007)"/>
    <protectedRange sqref="Q137:R137" name="maria_1_2_2" securityDescriptor="O:WDG:WDD:(A;;CC;;;S-1-5-21-3048853270-2157241324-869001692-3245)(A;;CC;;;S-1-5-21-3048853270-2157241324-869001692-1007)"/>
    <protectedRange sqref="B180:F180 H180 N180:P180 J180:L180 S180:XFD180" name="maria_1" securityDescriptor="O:WDG:WDD:(A;;CC;;;S-1-5-21-3048853270-2157241324-869001692-3245)(A;;CC;;;S-1-5-21-3048853270-2157241324-869001692-1007)"/>
    <protectedRange sqref="Q180:R180" name="maria_1_2_1" securityDescriptor="O:WDG:WDD:(A;;CC;;;S-1-5-21-3048853270-2157241324-869001692-3245)(A;;CC;;;S-1-5-21-3048853270-2157241324-869001692-1007)"/>
    <protectedRange sqref="B430:L430 N430:Q430 S430:XFD430" name="maria_73" securityDescriptor="O:WDG:WDD:(A;;CC;;;S-1-5-21-3048853270-2157241324-869001692-3245)(A;;CC;;;S-1-5-21-3048853270-2157241324-869001692-1007)"/>
    <protectedRange sqref="R430" name="maria_1_2_4" securityDescriptor="O:WDG:WDD:(A;;CC;;;S-1-5-21-3048853270-2157241324-869001692-3245)(A;;CC;;;S-1-5-21-3048853270-2157241324-869001692-1007)"/>
  </protectedRanges>
  <autoFilter ref="A1:AK435" xr:uid="{CABD1B88-073A-42C2-8FA6-93A1BA656AA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112">
    <sortCondition descending="1" ref="E7:E48"/>
    <sortCondition ref="C7:C48"/>
  </sortState>
  <customSheetViews>
    <customSheetView guid="{FE50EAC0-52A5-4C33-B973-65E93D03D3EA}" scale="73" showPageBreaks="1" fitToPage="1" printArea="1" showAutoFilter="1" topLeftCell="P481">
      <selection activeCell="AF483" sqref="AF483"/>
      <pageMargins left="0.70866141732283472" right="0.70866141732283472" top="0.74803149606299213" bottom="0.74803149606299213" header="0.31496062992125984" footer="0.31496062992125984"/>
      <pageSetup paperSize="8" scale="19" fitToHeight="0" orientation="landscape" horizontalDpi="4294967294" verticalDpi="4294967294" r:id="rId1"/>
      <headerFooter>
        <oddHeader>&amp;CLISTA PROIECTELOR CONTRACTATE - PROGRAMUL OPERATIONAl CAPACITATE ADMINISTRATIVĂ</oddHeader>
        <oddFooter>Page &amp;P of &amp;N</oddFooter>
      </headerFooter>
      <autoFilter ref="A1:AL48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filter="1" showAutoFilter="1">
      <selection activeCell="E532" sqref="E532"/>
      <pageMargins left="0.70866141732283472" right="0.70866141732283472" top="0.74803149606299213" bottom="0.74803149606299213" header="0.31496062992125984" footer="0.31496062992125984"/>
      <pageSetup paperSize="8" scale="19" fitToHeight="0" orientation="landscape" horizontalDpi="4294967294" verticalDpi="4294967294" r:id="rId2"/>
      <headerFooter>
        <oddHeader>&amp;CLISTA PROIECTELOR CONTRACTATE - PROGRAMUL OPERATIONAl CAPACITATE ADMINISTRATIVĂ</oddHeader>
        <oddFooter>Page &amp;P of &amp;N</oddFooter>
      </headerFooter>
      <autoFilter ref="C1:C528" xr:uid="{00000000-0000-0000-0000-000000000000}">
        <filterColumn colId="0">
          <filters>
            <filter val="445"/>
          </filters>
        </filterColumn>
      </autoFilter>
    </customSheetView>
    <customSheetView guid="{9980B309-0131-4577-BF29-212714399FDF}" scale="70" showPageBreaks="1" fitToPage="1" printArea="1" showAutoFilter="1" topLeftCell="C1">
      <pane ySplit="3" topLeftCell="A479" activePane="bottomLeft"/>
      <selection pane="bottomLeft" activeCell="J481" sqref="J481"/>
      <pageMargins left="0.70866141732283472" right="0.70866141732283472" top="0.74803149606299213" bottom="0.74803149606299213" header="0.31496062992125984" footer="0.31496062992125984"/>
      <pageSetup paperSize="8" scale="19" fitToHeight="0" orientation="landscape" horizontalDpi="4294967294" verticalDpi="4294967294" r:id="rId3"/>
      <headerFooter>
        <oddHeader>&amp;CLISTA PROIECTELOR CONTRACTATE - PROGRAMUL OPERATIONAl CAPACITATE ADMINISTRATIVĂ</oddHeader>
        <oddFooter>Page &amp;P of &amp;N</oddFooter>
      </headerFooter>
      <autoFilter ref="A1:AL48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AN4">
      <pane ySplit="5" topLeftCell="A478" activePane="bottomLeft" state="frozen"/>
      <selection pane="bottomLeft" activeCell="J479" sqref="J479"/>
      <pageMargins left="0.70866141732283472" right="0.70866141732283472" top="0.74803149606299213" bottom="0.74803149606299213" header="0.31496062992125984" footer="0.31496062992125984"/>
      <pageSetup paperSize="8" scale="19" fitToHeight="0" orientation="landscape" r:id="rId4"/>
      <headerFooter>
        <oddHeader>&amp;CLISTA PROIECTELOR CONTRACTATE - PROGRAMUL OPERATIONAl CAPACITATE ADMINISTRATIVĂ</oddHeader>
        <oddFooter>Page &amp;P of &amp;N</oddFooter>
      </headerFooter>
      <autoFilter ref="A6:AL515" xr:uid="{00000000-0000-0000-0000-000000000000}"/>
    </customSheetView>
    <customSheetView guid="{65C35D6D-934F-4431-BA92-90255FC17BA4}" scale="70" showPageBreaks="1" fitToPage="1" printArea="1" showAutoFilter="1" topLeftCell="E59">
      <selection activeCell="AH61" sqref="AH61:AH62"/>
      <pageMargins left="0.70866141732283472" right="0.70866141732283472" top="0.74803149606299213" bottom="0.74803149606299213" header="0.31496062992125984" footer="0.31496062992125984"/>
      <pageSetup paperSize="8" scale="19" fitToHeight="0" orientation="landscape" horizontalDpi="4294967294" verticalDpi="4294967294" r:id="rId5"/>
      <headerFooter>
        <oddHeader>&amp;CLISTA PROIECTELOR CONTRACTATE - PROGRAMUL OPERATIONAl CAPACITATE ADMINISTRATIVĂ</oddHeader>
        <oddFooter>Page &amp;P of &amp;N</oddFooter>
      </headerFooter>
      <autoFilter ref="A1:AL48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pane xSplit="1.8918918918918919" ySplit="0.5368421052631579" topLeftCell="W62" activePane="bottomRight"/>
      <selection pane="bottomRight" activeCell="AJ64" sqref="AJ64"/>
      <pageMargins left="0.70866141732283472" right="0.70866141732283472" top="0.74803149606299213" bottom="0.74803149606299213" header="0.31496062992125984" footer="0.31496062992125984"/>
      <pageSetup paperSize="8" scale="19" fitToHeight="0" orientation="landscape" r:id="rId6"/>
      <headerFooter>
        <oddHeader>&amp;CLISTA PROIECTELOR CONTRACTATE - PROGRAMUL OPERATIONAl CAPACITATE ADMINISTRATIVĂ</oddHeader>
        <oddFooter>Page &amp;P of &amp;N</oddFooter>
      </headerFooter>
    </customSheetView>
    <customSheetView guid="{EEA37434-2D22-478B-B49F-C3E8CD4AC2E1}" scale="60" showPageBreaks="1" fitToPage="1" printArea="1" showAutoFilter="1">
      <pane xSplit="9" ySplit="8" topLeftCell="J218" activePane="bottomRight" state="frozen"/>
      <selection pane="bottomRight" activeCell="J219" sqref="J219"/>
      <pageMargins left="0.70866141732283472" right="0.70866141732283472" top="0.74803149606299213" bottom="0.74803149606299213" header="0.31496062992125984" footer="0.31496062992125984"/>
      <pageSetup paperSize="8" scale="19" fitToHeight="0" orientation="landscape" r:id="rId7"/>
      <headerFooter>
        <oddHeader>&amp;CLISTA PROIECTELOR CONTRACTATE - PROGRAMUL OPERATIONAl CAPACITATE ADMINISTRATIVĂ</oddHeader>
        <oddFooter>Page &amp;P of &amp;N</oddFooter>
      </headerFooter>
      <autoFilter ref="A6:DG478" xr:uid="{00000000-0000-0000-0000-000000000000}"/>
    </customSheetView>
    <customSheetView guid="{A87F3E0E-3A8E-4B82-8170-33752259B7DB}" scale="80" showPageBreaks="1" fitToPage="1" printArea="1" filter="1" showAutoFilter="1">
      <pane xSplit="4" ySplit="1" topLeftCell="AA5" activePane="bottomRight" state="frozen"/>
      <selection pane="bottomRight" activeCell="AK512" sqref="AK512:AK513"/>
      <pageMargins left="0.70866141732283472" right="0.70866141732283472" top="0.74803149606299213" bottom="0.74803149606299213" header="0.31496062992125984" footer="0.31496062992125984"/>
      <pageSetup paperSize="8" scale="14" fitToHeight="0" orientation="portrait" horizontalDpi="4294967294" verticalDpi="4294967294" r:id="rId8"/>
      <headerFooter>
        <oddHeader>&amp;CLISTA PROIECTELOR CONTRACTATE - PROGRAMUL OPERATIONAl CAPACITATE ADMINISTRATIVĂ</oddHeader>
        <oddFooter>Page &amp;P of &amp;N</oddFooter>
      </headerFooter>
      <autoFilter ref="A6:AL511" xr:uid="{00000000-0000-0000-0000-000000000000}">
        <filterColumn colId="5">
          <filters>
            <filter val="CP6 less /2017"/>
          </filters>
        </filterColumn>
      </autoFilter>
    </customSheetView>
    <customSheetView guid="{7C1B4D6D-D666-48DD-AB17-E00791B6F0B6}" scale="55" showPageBreaks="1" fitToPage="1" printArea="1" showAutoFilter="1" hiddenColumns="1">
      <pane ySplit="6" topLeftCell="A470" activePane="bottomLeft" state="frozen"/>
      <selection pane="bottomLeft" activeCell="V472" sqref="V472"/>
      <pageMargins left="0.70866141732283472" right="0.70866141732283472" top="0.74803149606299213" bottom="0.74803149606299213" header="0.31496062992125984" footer="0.31496062992125984"/>
      <pageSetup paperSize="8" scale="38" fitToHeight="0" orientation="landscape" r:id="rId9"/>
      <headerFooter>
        <oddHeader>&amp;CLISTA PROIECTELOR CONTRACTATE - PROGRAMUL OPERATIONAl CAPACITATE ADMINISTRATIVĂ</oddHeader>
        <oddFooter>Page &amp;P of &amp;N</oddFooter>
      </headerFooter>
      <autoFilter ref="A6:DG475" xr:uid="{00000000-0000-0000-0000-000000000000}"/>
    </customSheetView>
    <customSheetView guid="{A5B1481C-EF26-486A-984F-85CDDC2FD94F}" scale="70" showPageBreaks="1" fitToPage="1" printArea="1" filter="1" showAutoFilter="1" topLeftCell="U1">
      <pane ySplit="5" topLeftCell="A6" activePane="bottomLeft" state="frozen"/>
      <selection pane="bottomLeft" activeCell="AI472" sqref="AI472"/>
      <pageMargins left="0.70866141732283472" right="0.70866141732283472" top="0.74803149606299213" bottom="0.74803149606299213" header="0.31496062992125984" footer="0.31496062992125984"/>
      <pageSetup paperSize="8" scale="21" fitToHeight="0" orientation="landscape" horizontalDpi="4294967294" verticalDpi="4294967294" r:id="rId10"/>
      <headerFooter>
        <oddHeader>&amp;CLISTA PROIECTELOR CONTRACTATE - PROGRAMUL OPERATIONAl CAPACITATE ADMINISTRATIVĂ</oddHeader>
        <oddFooter>Page &amp;P of &amp;N</oddFooter>
      </headerFooter>
      <autoFilter ref="A6:DG471" xr:uid="{00000000-0000-0000-0000-000000000000}">
        <filterColumn colId="2">
          <filters>
            <filter val="238"/>
          </filters>
        </filterColumn>
      </autoFilter>
    </customSheetView>
    <customSheetView guid="{0781B6C2-B440-4971-9809-BD16245A70FD}" scale="85" showPageBreaks="1" fitToPage="1" printArea="1" topLeftCell="N1">
      <pane ySplit="6" topLeftCell="A180" activePane="bottomLeft"/>
      <selection pane="bottomLeft" activeCell="Z180" sqref="Z180"/>
      <pageMargins left="0.70866141732283472" right="0.70866141732283472" top="0.74803149606299213" bottom="0.74803149606299213" header="0.31496062992125984" footer="0.31496062992125984"/>
      <pageSetup paperSize="8" scale="22" fitToHeight="0" orientation="landscape" horizontalDpi="4294967294" verticalDpi="4294967294" r:id="rId11"/>
      <headerFooter>
        <oddHeader>&amp;CLISTA PROIECTELOR CONTRACTATE - PROGRAMUL OPERATIONAl CAPACITATE ADMINISTRATIVĂ</oddHeader>
        <oddFooter>Page &amp;P of &amp;N</oddFooter>
      </headerFoo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4"/>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7"/>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8"/>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9"/>
      <headerFooter>
        <oddHeader>&amp;CLISTA PROIECTELOR CONTRACTATE - PROGRAMUL OPERATIONAl CAPACITATE ADMINISTRATIVĂ</oddHeader>
        <oddFooter>Page &amp;P of &amp;N</oddFooter>
      </headerFooter>
    </customSheetView>
    <customSheetView guid="{53ED3D47-B2C0-43A1-9A1E-F030D529F74C}" scale="70" showPageBreaks="1" fitToPage="1" printArea="1" filter="1" showAutoFilter="1" topLeftCell="C1">
      <selection activeCell="J460" sqref="J460"/>
      <pageMargins left="0.70866141732283472" right="0.70866141732283472" top="0.74803149606299213" bottom="0.74803149606299213" header="0.31496062992125984" footer="0.31496062992125984"/>
      <pageSetup paperSize="8" scale="22" fitToHeight="0" orientation="landscape" horizontalDpi="4294967294" verticalDpi="4294967294" r:id="rId20"/>
      <headerFooter>
        <oddHeader>&amp;CLISTA PROIECTELOR CONTRACTATE - PROGRAMUL OPERATIONAl CAPACITATE ADMINISTRATIVĂ</oddHeader>
        <oddFooter>Page &amp;P of &amp;N</oddFooter>
      </headerFooter>
      <autoFilter ref="A6:AL495" xr:uid="{00000000-0000-0000-0000-000000000000}">
        <filterColumn colId="2">
          <filters>
            <filter val="613"/>
            <filter val="617"/>
          </filters>
        </filterColumn>
        <filterColumn colId="5">
          <filters>
            <filter val="IP12/2018_x000a_(MySMIS: _x000a_POCA/ 399/1/1)"/>
          </filters>
        </filterColumn>
      </autoFilter>
    </customSheetView>
    <customSheetView guid="{EA64E7D7-BA48-4965-B650-778AE412FE0C}" scale="70" showPageBreaks="1" fitToPage="1" printArea="1" filter="1" showAutoFilter="1">
      <pane xSplit="9" ySplit="128" topLeftCell="AJ130" activePane="bottomRight" state="frozen"/>
      <selection pane="bottomRight" activeCell="G530" sqref="G530"/>
      <pageMargins left="0.70866141732283472" right="0.70866141732283472" top="0.74803149606299213" bottom="0.74803149606299213" header="0.31496062992125984" footer="0.31496062992125984"/>
      <pageSetup paperSize="8" scale="21" fitToHeight="0" orientation="landscape" horizontalDpi="4294967294" verticalDpi="4294967294" r:id="rId21"/>
      <headerFooter>
        <oddHeader>&amp;CLISTA PROIECTELOR CONTRACTATE - PROGRAMUL OPERATIONAl CAPACITATE ADMINISTRATIVĂ</oddHeader>
        <oddFooter>Page &amp;P of &amp;N</oddFooter>
      </headerFooter>
      <autoFilter ref="B1:B517" xr:uid="{00000000-0000-0000-0000-000000000000}">
        <filterColumn colId="0">
          <filters>
            <filter val="111610"/>
          </filters>
        </filterColumn>
      </autoFilter>
    </customSheetView>
    <customSheetView guid="{905D93EA-5662-45AB-8995-A9908B3E5D52}" scale="70" showPageBreaks="1" fitToPage="1" printArea="1" filter="1" showAutoFilter="1">
      <selection activeCell="K221" sqref="K221"/>
      <pageMargins left="0.70866141732283472" right="0.70866141732283472" top="0.74803149606299213" bottom="0.74803149606299213" header="0.31496062992125984" footer="0.31496062992125984"/>
      <pageSetup paperSize="8" scale="19" fitToHeight="0" orientation="landscape" r:id="rId22"/>
      <headerFooter>
        <oddHeader>&amp;CLISTA PROIECTELOR CONTRACTATE - PROGRAMUL OPERATIONAl CAPACITATE ADMINISTRATIVĂ</oddHeader>
        <oddFooter>Page &amp;P of &amp;N</oddFooter>
      </headerFooter>
      <autoFilter ref="C1:C524" xr:uid="{00000000-0000-0000-0000-000000000000}">
        <filterColumn colId="0">
          <filters>
            <filter val="416"/>
          </filters>
        </filterColumn>
      </autoFilter>
    </customSheetView>
    <customSheetView guid="{36624B2D-80F9-4F79-AC4A-B3547C36F23F}" scale="70" showPageBreaks="1" fitToPage="1" printArea="1" filter="1" showAutoFilter="1" topLeftCell="W1">
      <selection activeCell="AI64" sqref="AI64"/>
      <pageMargins left="0.70866141732283472" right="0.70866141732283472" top="0.74803149606299213" bottom="0.74803149606299213" header="0.31496062992125984" footer="0.31496062992125984"/>
      <pageSetup paperSize="8" scale="19" fitToHeight="0" orientation="landscape" horizontalDpi="4294967294" verticalDpi="4294967294" r:id="rId23"/>
      <headerFooter>
        <oddHeader>&amp;CLISTA PROIECTELOR CONTRACTATE - PROGRAMUL OPERATIONAl CAPACITATE ADMINISTRATIVĂ</oddHeader>
        <oddFooter>Page &amp;P of &amp;N</oddFooter>
      </headerFooter>
      <autoFilter ref="A6:DG480" xr:uid="{00000000-0000-0000-0000-000000000000}">
        <filterColumn colId="2">
          <filters>
            <filter val="103"/>
          </filters>
        </filterColumn>
      </autoFilter>
    </customSheetView>
    <customSheetView guid="{C408A2F1-296F-4EAD-B15B-336D73846FDD}" scale="85" showPageBreaks="1" fitToPage="1" printArea="1" showAutoFilter="1" topLeftCell="V398">
      <selection activeCell="AI400" sqref="AI400"/>
      <pageMargins left="0.70866141732283472" right="0.70866141732283472" top="0.74803149606299213" bottom="0.74803149606299213" header="0.31496062992125984" footer="0.31496062992125984"/>
      <pageSetup paperSize="8" scale="21" fitToHeight="0" orientation="landscape" horizontalDpi="4294967294" verticalDpi="4294967294" r:id="rId24"/>
      <headerFooter>
        <oddHeader>&amp;CLISTA PROIECTELOR CONTRACTATE - PROGRAMUL OPERATIONAl CAPACITATE ADMINISTRATIVĂ</oddHeader>
        <oddFooter>Page &amp;P of &amp;N</oddFooter>
      </headerFooter>
      <autoFilter ref="A1:AL48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AAA4DFE-88B1-4674-95ED-5FCD7A50BC22}" scale="70" showPageBreaks="1" fitToPage="1" printArea="1" showAutoFilter="1" topLeftCell="I1">
      <selection activeCell="K7" sqref="K7"/>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1:AL48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5">
    <mergeCell ref="AH4:AH5"/>
    <mergeCell ref="AI4:AI5"/>
    <mergeCell ref="AJ4:AJ5"/>
    <mergeCell ref="AK4:AK5"/>
    <mergeCell ref="Q4:Q5"/>
    <mergeCell ref="R4:R5"/>
    <mergeCell ref="AE4:AE5"/>
    <mergeCell ref="AF4:AF5"/>
    <mergeCell ref="AG4:AG5"/>
    <mergeCell ref="S4:AB4"/>
    <mergeCell ref="A4:A5"/>
    <mergeCell ref="C4:C5"/>
    <mergeCell ref="D4:D5"/>
    <mergeCell ref="E4:E5"/>
    <mergeCell ref="F4:F5"/>
    <mergeCell ref="B4:B5"/>
    <mergeCell ref="G4:G5"/>
    <mergeCell ref="H4:H5"/>
    <mergeCell ref="I4:I5"/>
    <mergeCell ref="J4:J5"/>
    <mergeCell ref="L4:L5"/>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Y2:Y3"/>
    <mergeCell ref="P1:P3"/>
    <mergeCell ref="Q1:Q3"/>
    <mergeCell ref="R1:R3"/>
    <mergeCell ref="S1:AB1"/>
    <mergeCell ref="S2:X2"/>
    <mergeCell ref="AJ1:AK1"/>
    <mergeCell ref="AJ2:AJ3"/>
    <mergeCell ref="AK2:AK3"/>
    <mergeCell ref="AB2:AB3"/>
    <mergeCell ref="AG1:AG3"/>
    <mergeCell ref="AH1:AH3"/>
    <mergeCell ref="AI1:AI3"/>
    <mergeCell ref="AF2:AF3"/>
    <mergeCell ref="AE1:AE3"/>
  </mergeCells>
  <phoneticPr fontId="60"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viorel.zlotariu</cp:lastModifiedBy>
  <cp:lastPrinted>2019-08-23T10:23:58Z</cp:lastPrinted>
  <dcterms:created xsi:type="dcterms:W3CDTF">2019-05-03T10:06:35Z</dcterms:created>
  <dcterms:modified xsi:type="dcterms:W3CDTF">2019-09-17T07:53:45Z</dcterms:modified>
</cp:coreProperties>
</file>