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rcea.pavel\Downloads\"/>
    </mc:Choice>
  </mc:AlternateContent>
  <xr:revisionPtr revIDLastSave="0" documentId="13_ncr:1_{0FCEDABC-01FA-4371-A966-6B50924AA846}" xr6:coauthVersionLast="45" xr6:coauthVersionMax="45" xr10:uidLastSave="{00000000-0000-0000-0000-000000000000}"/>
  <bookViews>
    <workbookView xWindow="-120" yWindow="-120" windowWidth="29040" windowHeight="15840" xr2:uid="{E0DA09A8-AAD7-4708-ACAF-3264BBD24B21}"/>
  </bookViews>
  <sheets>
    <sheet name="Sheet1" sheetId="1" r:id="rId1"/>
  </sheets>
  <definedNames>
    <definedName name="_xlnm._FilterDatabase" localSheetId="0" hidden="1">Sheet1!$A$3:$AM$482</definedName>
    <definedName name="_xlnm.Print_Titles" localSheetId="0">Sheet1!$1:$3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482" i="1" l="1"/>
  <c r="Z482" i="1"/>
  <c r="AA481" i="1" l="1"/>
  <c r="X481" i="1"/>
  <c r="U481" i="1"/>
  <c r="R481" i="1"/>
  <c r="AA480" i="1"/>
  <c r="X480" i="1"/>
  <c r="U480" i="1"/>
  <c r="R480" i="1"/>
  <c r="AA479" i="1"/>
  <c r="X479" i="1"/>
  <c r="U479" i="1"/>
  <c r="R479" i="1"/>
  <c r="AM479" i="1" s="1"/>
  <c r="AI478" i="1"/>
  <c r="X478" i="1"/>
  <c r="U478" i="1"/>
  <c r="R478" i="1"/>
  <c r="AA477" i="1"/>
  <c r="X477" i="1"/>
  <c r="U477" i="1"/>
  <c r="R477" i="1"/>
  <c r="AA476" i="1"/>
  <c r="X476" i="1"/>
  <c r="U476" i="1"/>
  <c r="R476" i="1"/>
  <c r="AA475" i="1"/>
  <c r="X475" i="1"/>
  <c r="U475" i="1"/>
  <c r="R475" i="1"/>
  <c r="AA474" i="1"/>
  <c r="X474" i="1"/>
  <c r="U474" i="1"/>
  <c r="R474" i="1"/>
  <c r="X473" i="1"/>
  <c r="U473" i="1"/>
  <c r="R473" i="1"/>
  <c r="X472" i="1"/>
  <c r="U472" i="1"/>
  <c r="R472" i="1"/>
  <c r="X471" i="1"/>
  <c r="U471" i="1"/>
  <c r="R471" i="1"/>
  <c r="X470" i="1"/>
  <c r="AD470" i="1" s="1"/>
  <c r="U470" i="1"/>
  <c r="R470" i="1"/>
  <c r="X469" i="1"/>
  <c r="U469" i="1"/>
  <c r="R469" i="1"/>
  <c r="AA468" i="1"/>
  <c r="X468" i="1"/>
  <c r="U468" i="1"/>
  <c r="R468" i="1"/>
  <c r="AA467" i="1"/>
  <c r="X467" i="1"/>
  <c r="U467" i="1"/>
  <c r="R467" i="1"/>
  <c r="AI466" i="1"/>
  <c r="AA466" i="1"/>
  <c r="X466" i="1"/>
  <c r="U466" i="1"/>
  <c r="R466" i="1"/>
  <c r="AI465" i="1"/>
  <c r="AA465" i="1"/>
  <c r="X465" i="1"/>
  <c r="U465" i="1"/>
  <c r="R465" i="1"/>
  <c r="AA464" i="1"/>
  <c r="X464" i="1"/>
  <c r="U464" i="1"/>
  <c r="R464" i="1"/>
  <c r="AI463" i="1"/>
  <c r="AA463" i="1"/>
  <c r="X463" i="1"/>
  <c r="U463" i="1"/>
  <c r="R463" i="1"/>
  <c r="AI462" i="1"/>
  <c r="AA462" i="1"/>
  <c r="X462" i="1"/>
  <c r="U462" i="1"/>
  <c r="AD462" i="1" s="1"/>
  <c r="AF462" i="1" s="1"/>
  <c r="R462" i="1"/>
  <c r="AI461" i="1"/>
  <c r="AA461" i="1"/>
  <c r="X461" i="1"/>
  <c r="U461" i="1"/>
  <c r="R461" i="1"/>
  <c r="AA460" i="1"/>
  <c r="X460" i="1"/>
  <c r="U460" i="1"/>
  <c r="R460" i="1"/>
  <c r="AA459" i="1"/>
  <c r="X459" i="1"/>
  <c r="U459" i="1"/>
  <c r="R459" i="1"/>
  <c r="AI458" i="1"/>
  <c r="AA458" i="1"/>
  <c r="X458" i="1"/>
  <c r="U458" i="1"/>
  <c r="R458" i="1"/>
  <c r="AA457" i="1"/>
  <c r="X457" i="1"/>
  <c r="U457" i="1"/>
  <c r="R457" i="1"/>
  <c r="AA456" i="1"/>
  <c r="X456" i="1"/>
  <c r="U456" i="1"/>
  <c r="R456" i="1"/>
  <c r="AA455" i="1"/>
  <c r="X455" i="1"/>
  <c r="U455" i="1"/>
  <c r="R455" i="1"/>
  <c r="AI454" i="1"/>
  <c r="AA454" i="1"/>
  <c r="X454" i="1"/>
  <c r="U454" i="1"/>
  <c r="R454" i="1"/>
  <c r="AA453" i="1"/>
  <c r="X453" i="1"/>
  <c r="U453" i="1"/>
  <c r="R453" i="1"/>
  <c r="AI452" i="1"/>
  <c r="AA452" i="1"/>
  <c r="X452" i="1"/>
  <c r="U452" i="1"/>
  <c r="R452" i="1"/>
  <c r="AA451" i="1"/>
  <c r="X451" i="1"/>
  <c r="U451" i="1"/>
  <c r="R451" i="1"/>
  <c r="AA450" i="1"/>
  <c r="X450" i="1"/>
  <c r="U450" i="1"/>
  <c r="R450" i="1"/>
  <c r="AA449" i="1"/>
  <c r="X449" i="1"/>
  <c r="U449" i="1"/>
  <c r="R449" i="1"/>
  <c r="AJ448" i="1"/>
  <c r="AI448" i="1"/>
  <c r="AA448" i="1"/>
  <c r="X448" i="1"/>
  <c r="U448" i="1"/>
  <c r="R448" i="1"/>
  <c r="AA447" i="1"/>
  <c r="X447" i="1"/>
  <c r="U447" i="1"/>
  <c r="R447" i="1"/>
  <c r="AA446" i="1"/>
  <c r="X446" i="1"/>
  <c r="U446" i="1"/>
  <c r="R446" i="1"/>
  <c r="AJ445" i="1"/>
  <c r="AA445" i="1"/>
  <c r="X445" i="1"/>
  <c r="U445" i="1"/>
  <c r="R445" i="1"/>
  <c r="AA444" i="1"/>
  <c r="X444" i="1"/>
  <c r="U444" i="1"/>
  <c r="R444" i="1"/>
  <c r="P444" i="1"/>
  <c r="O444" i="1"/>
  <c r="N444" i="1"/>
  <c r="M444" i="1"/>
  <c r="D444" i="1"/>
  <c r="AA443" i="1"/>
  <c r="X443" i="1"/>
  <c r="U443" i="1"/>
  <c r="R443" i="1"/>
  <c r="AM443" i="1" s="1"/>
  <c r="Q443" i="1"/>
  <c r="Q444" i="1" s="1"/>
  <c r="Q445" i="1" s="1"/>
  <c r="Q446" i="1" s="1"/>
  <c r="Q447" i="1" s="1"/>
  <c r="Q448" i="1" s="1"/>
  <c r="AA442" i="1"/>
  <c r="X442" i="1"/>
  <c r="U442" i="1"/>
  <c r="R442" i="1"/>
  <c r="AM442" i="1" s="1"/>
  <c r="M442" i="1"/>
  <c r="AA441" i="1"/>
  <c r="X441" i="1"/>
  <c r="U441" i="1"/>
  <c r="R441" i="1"/>
  <c r="N441" i="1"/>
  <c r="N442" i="1" s="1"/>
  <c r="M441" i="1"/>
  <c r="AH440" i="1"/>
  <c r="AA440" i="1"/>
  <c r="X440" i="1"/>
  <c r="U440" i="1"/>
  <c r="R440" i="1"/>
  <c r="AH439" i="1"/>
  <c r="AA439" i="1"/>
  <c r="X439" i="1"/>
  <c r="U439" i="1"/>
  <c r="R439" i="1"/>
  <c r="AA438" i="1"/>
  <c r="X438" i="1"/>
  <c r="U438" i="1"/>
  <c r="R438" i="1"/>
  <c r="Q438" i="1"/>
  <c r="Q439" i="1" s="1"/>
  <c r="Q440" i="1" s="1"/>
  <c r="Q441" i="1" s="1"/>
  <c r="P438" i="1"/>
  <c r="P439" i="1" s="1"/>
  <c r="P440" i="1" s="1"/>
  <c r="O438" i="1"/>
  <c r="O439" i="1" s="1"/>
  <c r="O440" i="1" s="1"/>
  <c r="AJ437" i="1"/>
  <c r="AA437" i="1"/>
  <c r="X437" i="1"/>
  <c r="U437" i="1"/>
  <c r="R437" i="1"/>
  <c r="AA436" i="1"/>
  <c r="X436" i="1"/>
  <c r="U436" i="1"/>
  <c r="R436" i="1"/>
  <c r="AA435" i="1"/>
  <c r="X435" i="1"/>
  <c r="U435" i="1"/>
  <c r="R435" i="1"/>
  <c r="AI434" i="1"/>
  <c r="AA434" i="1"/>
  <c r="X434" i="1"/>
  <c r="U434" i="1"/>
  <c r="R434" i="1"/>
  <c r="AJ433" i="1"/>
  <c r="AI433" i="1"/>
  <c r="AA433" i="1"/>
  <c r="X433" i="1"/>
  <c r="U433" i="1"/>
  <c r="R433" i="1"/>
  <c r="AI432" i="1"/>
  <c r="L432" i="1"/>
  <c r="AA431" i="1"/>
  <c r="X431" i="1"/>
  <c r="U431" i="1"/>
  <c r="R431" i="1"/>
  <c r="AA430" i="1"/>
  <c r="X430" i="1"/>
  <c r="U430" i="1"/>
  <c r="R430" i="1"/>
  <c r="AA429" i="1"/>
  <c r="X429" i="1"/>
  <c r="U429" i="1"/>
  <c r="R429" i="1"/>
  <c r="AJ428" i="1"/>
  <c r="AA428" i="1"/>
  <c r="X428" i="1"/>
  <c r="U428" i="1"/>
  <c r="R428" i="1"/>
  <c r="AI427" i="1"/>
  <c r="AA427" i="1"/>
  <c r="X427" i="1"/>
  <c r="U427" i="1"/>
  <c r="R427" i="1"/>
  <c r="AJ426" i="1"/>
  <c r="AA426" i="1"/>
  <c r="X426" i="1"/>
  <c r="U426" i="1"/>
  <c r="R426" i="1"/>
  <c r="AJ425" i="1"/>
  <c r="AI425" i="1"/>
  <c r="AA425" i="1"/>
  <c r="X425" i="1"/>
  <c r="U425" i="1"/>
  <c r="R425" i="1"/>
  <c r="AI424" i="1"/>
  <c r="AA424" i="1"/>
  <c r="X424" i="1"/>
  <c r="U424" i="1"/>
  <c r="R424" i="1"/>
  <c r="AJ423" i="1"/>
  <c r="AI423" i="1"/>
  <c r="AA423" i="1"/>
  <c r="X423" i="1"/>
  <c r="U423" i="1"/>
  <c r="R423" i="1"/>
  <c r="AA422" i="1"/>
  <c r="X422" i="1"/>
  <c r="U422" i="1"/>
  <c r="R422" i="1"/>
  <c r="AJ421" i="1"/>
  <c r="AI421" i="1"/>
  <c r="AA421" i="1"/>
  <c r="X421" i="1"/>
  <c r="U421" i="1"/>
  <c r="R421" i="1"/>
  <c r="X420" i="1"/>
  <c r="U420" i="1"/>
  <c r="R420" i="1"/>
  <c r="AJ419" i="1"/>
  <c r="AI419" i="1"/>
  <c r="AH419" i="1"/>
  <c r="AA419" i="1"/>
  <c r="X419" i="1"/>
  <c r="U419" i="1"/>
  <c r="R419" i="1"/>
  <c r="AJ418" i="1"/>
  <c r="AI418" i="1"/>
  <c r="AA418" i="1"/>
  <c r="X418" i="1"/>
  <c r="U418" i="1"/>
  <c r="R418" i="1"/>
  <c r="AJ417" i="1"/>
  <c r="AI417" i="1"/>
  <c r="AA417" i="1"/>
  <c r="X417" i="1"/>
  <c r="U417" i="1"/>
  <c r="R417" i="1"/>
  <c r="AA416" i="1"/>
  <c r="X416" i="1"/>
  <c r="U416" i="1"/>
  <c r="R416" i="1"/>
  <c r="AI415" i="1"/>
  <c r="AA415" i="1"/>
  <c r="X415" i="1"/>
  <c r="U415" i="1"/>
  <c r="R415" i="1"/>
  <c r="AI414" i="1"/>
  <c r="AA414" i="1"/>
  <c r="X414" i="1"/>
  <c r="U414" i="1"/>
  <c r="R414" i="1"/>
  <c r="AI413" i="1"/>
  <c r="AA413" i="1"/>
  <c r="X413" i="1"/>
  <c r="U413" i="1"/>
  <c r="R413" i="1"/>
  <c r="AA412" i="1"/>
  <c r="U412" i="1"/>
  <c r="R412" i="1"/>
  <c r="AI411" i="1"/>
  <c r="AA411" i="1"/>
  <c r="X411" i="1"/>
  <c r="U411" i="1"/>
  <c r="R411" i="1"/>
  <c r="AJ410" i="1"/>
  <c r="AI410" i="1"/>
  <c r="AA410" i="1"/>
  <c r="X410" i="1"/>
  <c r="U410" i="1"/>
  <c r="R410" i="1"/>
  <c r="AA409" i="1"/>
  <c r="X409" i="1"/>
  <c r="U409" i="1"/>
  <c r="R409" i="1"/>
  <c r="AA408" i="1"/>
  <c r="X408" i="1"/>
  <c r="U408" i="1"/>
  <c r="R408" i="1"/>
  <c r="AI407" i="1"/>
  <c r="AA407" i="1"/>
  <c r="X407" i="1"/>
  <c r="U407" i="1"/>
  <c r="R407" i="1"/>
  <c r="AA406" i="1"/>
  <c r="X406" i="1"/>
  <c r="U406" i="1"/>
  <c r="R406" i="1"/>
  <c r="AD406" i="1" s="1"/>
  <c r="AJ405" i="1"/>
  <c r="AI405" i="1"/>
  <c r="AA405" i="1"/>
  <c r="X405" i="1"/>
  <c r="U405" i="1"/>
  <c r="R405" i="1"/>
  <c r="AA404" i="1"/>
  <c r="X404" i="1"/>
  <c r="U404" i="1"/>
  <c r="R404" i="1"/>
  <c r="AA403" i="1"/>
  <c r="X403" i="1"/>
  <c r="U403" i="1"/>
  <c r="R403" i="1"/>
  <c r="AJ402" i="1"/>
  <c r="AI402" i="1"/>
  <c r="AA402" i="1"/>
  <c r="X402" i="1"/>
  <c r="U402" i="1"/>
  <c r="R402" i="1"/>
  <c r="AI401" i="1"/>
  <c r="AA401" i="1"/>
  <c r="X401" i="1"/>
  <c r="U401" i="1"/>
  <c r="R401" i="1"/>
  <c r="AJ400" i="1"/>
  <c r="AI400" i="1"/>
  <c r="AA400" i="1"/>
  <c r="X400" i="1"/>
  <c r="U400" i="1"/>
  <c r="R400" i="1"/>
  <c r="AJ399" i="1"/>
  <c r="AI399" i="1"/>
  <c r="AA399" i="1"/>
  <c r="X399" i="1"/>
  <c r="U399" i="1"/>
  <c r="R399" i="1"/>
  <c r="AA398" i="1"/>
  <c r="X398" i="1"/>
  <c r="U398" i="1"/>
  <c r="R398" i="1"/>
  <c r="AA397" i="1"/>
  <c r="X397" i="1"/>
  <c r="U397" i="1"/>
  <c r="R397" i="1"/>
  <c r="AJ396" i="1"/>
  <c r="AI396" i="1"/>
  <c r="AA396" i="1"/>
  <c r="X396" i="1"/>
  <c r="U396" i="1"/>
  <c r="R396" i="1"/>
  <c r="AJ395" i="1"/>
  <c r="AI395" i="1"/>
  <c r="AA395" i="1"/>
  <c r="X395" i="1"/>
  <c r="U395" i="1"/>
  <c r="R395" i="1"/>
  <c r="AI394" i="1"/>
  <c r="AA394" i="1"/>
  <c r="X394" i="1"/>
  <c r="U394" i="1"/>
  <c r="R394" i="1"/>
  <c r="AJ393" i="1"/>
  <c r="AI393" i="1"/>
  <c r="AA393" i="1"/>
  <c r="X393" i="1"/>
  <c r="U393" i="1"/>
  <c r="R393" i="1"/>
  <c r="AJ392" i="1"/>
  <c r="AI392" i="1"/>
  <c r="AA392" i="1"/>
  <c r="X392" i="1"/>
  <c r="U392" i="1"/>
  <c r="R392" i="1"/>
  <c r="AA391" i="1"/>
  <c r="X391" i="1"/>
  <c r="U391" i="1"/>
  <c r="R391" i="1"/>
  <c r="AI390" i="1"/>
  <c r="AA390" i="1"/>
  <c r="X390" i="1"/>
  <c r="U390" i="1"/>
  <c r="R390" i="1"/>
  <c r="AA389" i="1"/>
  <c r="X389" i="1"/>
  <c r="U389" i="1"/>
  <c r="R389" i="1"/>
  <c r="AJ388" i="1"/>
  <c r="AI388" i="1"/>
  <c r="AA388" i="1"/>
  <c r="X388" i="1"/>
  <c r="U388" i="1"/>
  <c r="R388" i="1"/>
  <c r="AJ387" i="1"/>
  <c r="AI387" i="1"/>
  <c r="AA387" i="1"/>
  <c r="AD387" i="1" s="1"/>
  <c r="AF387" i="1" s="1"/>
  <c r="X387" i="1"/>
  <c r="U387" i="1"/>
  <c r="R387" i="1"/>
  <c r="AJ386" i="1"/>
  <c r="AI386" i="1"/>
  <c r="AA386" i="1"/>
  <c r="X386" i="1"/>
  <c r="U386" i="1"/>
  <c r="R386" i="1"/>
  <c r="AJ385" i="1"/>
  <c r="AI385" i="1"/>
  <c r="AA385" i="1"/>
  <c r="X385" i="1"/>
  <c r="U385" i="1"/>
  <c r="R385" i="1"/>
  <c r="AJ384" i="1"/>
  <c r="AI384" i="1"/>
  <c r="AA384" i="1"/>
  <c r="X384" i="1"/>
  <c r="U384" i="1"/>
  <c r="R384" i="1"/>
  <c r="AJ383" i="1"/>
  <c r="AI383" i="1"/>
  <c r="AA383" i="1"/>
  <c r="X383" i="1"/>
  <c r="U383" i="1"/>
  <c r="R383" i="1"/>
  <c r="AJ382" i="1"/>
  <c r="AI382" i="1"/>
  <c r="AA382" i="1"/>
  <c r="X382" i="1"/>
  <c r="U382" i="1"/>
  <c r="R382" i="1"/>
  <c r="AJ381" i="1"/>
  <c r="AI381" i="1"/>
  <c r="AD381" i="1"/>
  <c r="AF381" i="1" s="1"/>
  <c r="AA381" i="1"/>
  <c r="X381" i="1"/>
  <c r="U381" i="1"/>
  <c r="R381" i="1"/>
  <c r="AJ380" i="1"/>
  <c r="AI380" i="1"/>
  <c r="AA380" i="1"/>
  <c r="X380" i="1"/>
  <c r="U380" i="1"/>
  <c r="R380" i="1"/>
  <c r="AJ379" i="1"/>
  <c r="AI379" i="1"/>
  <c r="AA379" i="1"/>
  <c r="X379" i="1"/>
  <c r="U379" i="1"/>
  <c r="R379" i="1"/>
  <c r="AJ378" i="1"/>
  <c r="AI378" i="1"/>
  <c r="AA378" i="1"/>
  <c r="X378" i="1"/>
  <c r="U378" i="1"/>
  <c r="R378" i="1"/>
  <c r="AJ377" i="1"/>
  <c r="AI377" i="1"/>
  <c r="AA377" i="1"/>
  <c r="X377" i="1"/>
  <c r="U377" i="1"/>
  <c r="R377" i="1"/>
  <c r="AJ376" i="1"/>
  <c r="AI376" i="1"/>
  <c r="AA376" i="1"/>
  <c r="X376" i="1"/>
  <c r="U376" i="1"/>
  <c r="R376" i="1"/>
  <c r="AJ375" i="1"/>
  <c r="AI375" i="1"/>
  <c r="AA375" i="1"/>
  <c r="X375" i="1"/>
  <c r="U375" i="1"/>
  <c r="R375" i="1"/>
  <c r="AA374" i="1"/>
  <c r="X374" i="1"/>
  <c r="U374" i="1"/>
  <c r="R374" i="1"/>
  <c r="AJ373" i="1"/>
  <c r="AI373" i="1"/>
  <c r="AA373" i="1"/>
  <c r="X373" i="1"/>
  <c r="U373" i="1"/>
  <c r="R373" i="1"/>
  <c r="AJ372" i="1"/>
  <c r="AI372" i="1"/>
  <c r="AA372" i="1"/>
  <c r="X372" i="1"/>
  <c r="U372" i="1"/>
  <c r="R372" i="1"/>
  <c r="AJ371" i="1"/>
  <c r="AI371" i="1"/>
  <c r="AA371" i="1"/>
  <c r="X371" i="1"/>
  <c r="AD371" i="1" s="1"/>
  <c r="U371" i="1"/>
  <c r="R371" i="1"/>
  <c r="AJ370" i="1"/>
  <c r="AI370" i="1"/>
  <c r="AC370" i="1"/>
  <c r="AC482" i="1" s="1"/>
  <c r="AB370" i="1"/>
  <c r="AA370" i="1" s="1"/>
  <c r="X370" i="1"/>
  <c r="W370" i="1"/>
  <c r="W482" i="1" s="1"/>
  <c r="V370" i="1"/>
  <c r="T370" i="1"/>
  <c r="T482" i="1" s="1"/>
  <c r="S370" i="1"/>
  <c r="AJ369" i="1"/>
  <c r="AI369" i="1"/>
  <c r="AA369" i="1"/>
  <c r="X369" i="1"/>
  <c r="U369" i="1"/>
  <c r="R369" i="1"/>
  <c r="AJ368" i="1"/>
  <c r="AI368" i="1"/>
  <c r="AA368" i="1"/>
  <c r="X368" i="1"/>
  <c r="U368" i="1"/>
  <c r="R368" i="1"/>
  <c r="AJ367" i="1"/>
  <c r="AI367" i="1"/>
  <c r="AA367" i="1"/>
  <c r="X367" i="1"/>
  <c r="U367" i="1"/>
  <c r="R367" i="1"/>
  <c r="AJ366" i="1"/>
  <c r="AI366" i="1"/>
  <c r="AA366" i="1"/>
  <c r="X366" i="1"/>
  <c r="U366" i="1"/>
  <c r="R366" i="1"/>
  <c r="AJ365" i="1"/>
  <c r="AI365" i="1"/>
  <c r="AA365" i="1"/>
  <c r="X365" i="1"/>
  <c r="U365" i="1"/>
  <c r="R365" i="1"/>
  <c r="AJ364" i="1"/>
  <c r="AI364" i="1"/>
  <c r="AA364" i="1"/>
  <c r="X364" i="1"/>
  <c r="U364" i="1"/>
  <c r="R364" i="1"/>
  <c r="AJ363" i="1"/>
  <c r="AI363" i="1"/>
  <c r="AA363" i="1"/>
  <c r="X363" i="1"/>
  <c r="U363" i="1"/>
  <c r="R363" i="1"/>
  <c r="AJ362" i="1"/>
  <c r="AI362" i="1"/>
  <c r="AA362" i="1"/>
  <c r="X362" i="1"/>
  <c r="U362" i="1"/>
  <c r="R362" i="1"/>
  <c r="AJ361" i="1"/>
  <c r="AI361" i="1"/>
  <c r="AB361" i="1"/>
  <c r="X361" i="1"/>
  <c r="U361" i="1"/>
  <c r="R361" i="1"/>
  <c r="AJ360" i="1"/>
  <c r="AI360" i="1"/>
  <c r="AA360" i="1"/>
  <c r="X360" i="1"/>
  <c r="U360" i="1"/>
  <c r="R360" i="1"/>
  <c r="AA359" i="1"/>
  <c r="X359" i="1"/>
  <c r="U359" i="1"/>
  <c r="R359" i="1"/>
  <c r="AA358" i="1"/>
  <c r="X358" i="1"/>
  <c r="U358" i="1"/>
  <c r="R358" i="1"/>
  <c r="AJ357" i="1"/>
  <c r="AI357" i="1"/>
  <c r="AA357" i="1"/>
  <c r="X357" i="1"/>
  <c r="U357" i="1"/>
  <c r="R357" i="1"/>
  <c r="AJ356" i="1"/>
  <c r="AI356" i="1"/>
  <c r="AA356" i="1"/>
  <c r="X356" i="1"/>
  <c r="U356" i="1"/>
  <c r="R356" i="1"/>
  <c r="AJ355" i="1"/>
  <c r="AI355" i="1"/>
  <c r="AA355" i="1"/>
  <c r="X355" i="1"/>
  <c r="U355" i="1"/>
  <c r="R355" i="1"/>
  <c r="AJ354" i="1"/>
  <c r="AI354" i="1"/>
  <c r="AA354" i="1"/>
  <c r="X354" i="1"/>
  <c r="U354" i="1"/>
  <c r="R354" i="1"/>
  <c r="AJ353" i="1"/>
  <c r="AI353" i="1"/>
  <c r="AA353" i="1"/>
  <c r="X353" i="1"/>
  <c r="U353" i="1"/>
  <c r="R353" i="1"/>
  <c r="AJ352" i="1"/>
  <c r="AI352" i="1"/>
  <c r="AA352" i="1"/>
  <c r="X352" i="1"/>
  <c r="U352" i="1"/>
  <c r="R352" i="1"/>
  <c r="AJ351" i="1"/>
  <c r="AI351" i="1"/>
  <c r="AA351" i="1"/>
  <c r="X351" i="1"/>
  <c r="U351" i="1"/>
  <c r="R351" i="1"/>
  <c r="AJ350" i="1"/>
  <c r="AI350" i="1"/>
  <c r="AA350" i="1"/>
  <c r="X350" i="1"/>
  <c r="U350" i="1"/>
  <c r="R350" i="1"/>
  <c r="AJ349" i="1"/>
  <c r="AI349" i="1"/>
  <c r="AA349" i="1"/>
  <c r="X349" i="1"/>
  <c r="U349" i="1"/>
  <c r="AJ348" i="1"/>
  <c r="AI348" i="1"/>
  <c r="AA348" i="1"/>
  <c r="X348" i="1"/>
  <c r="U348" i="1"/>
  <c r="R348" i="1"/>
  <c r="AJ347" i="1"/>
  <c r="AI347" i="1"/>
  <c r="AA347" i="1"/>
  <c r="X347" i="1"/>
  <c r="U347" i="1"/>
  <c r="R347" i="1"/>
  <c r="AJ346" i="1"/>
  <c r="AI346" i="1"/>
  <c r="AA346" i="1"/>
  <c r="X346" i="1"/>
  <c r="U346" i="1"/>
  <c r="R346" i="1"/>
  <c r="AJ345" i="1"/>
  <c r="AI345" i="1"/>
  <c r="AA345" i="1"/>
  <c r="X345" i="1"/>
  <c r="U345" i="1"/>
  <c r="R345" i="1"/>
  <c r="AJ344" i="1"/>
  <c r="AI344" i="1"/>
  <c r="AA344" i="1"/>
  <c r="X344" i="1"/>
  <c r="U344" i="1"/>
  <c r="R344" i="1"/>
  <c r="AJ343" i="1"/>
  <c r="AI343" i="1"/>
  <c r="AA343" i="1"/>
  <c r="X343" i="1"/>
  <c r="U343" i="1"/>
  <c r="R343" i="1"/>
  <c r="AJ342" i="1"/>
  <c r="AI342" i="1"/>
  <c r="AA342" i="1"/>
  <c r="X342" i="1"/>
  <c r="U342" i="1"/>
  <c r="R342" i="1"/>
  <c r="AJ341" i="1"/>
  <c r="AI341" i="1"/>
  <c r="AA341" i="1"/>
  <c r="X341" i="1"/>
  <c r="U341" i="1"/>
  <c r="R341" i="1"/>
  <c r="AA340" i="1"/>
  <c r="X340" i="1"/>
  <c r="U340" i="1"/>
  <c r="R340" i="1"/>
  <c r="AJ339" i="1"/>
  <c r="AI339" i="1"/>
  <c r="AA339" i="1"/>
  <c r="X339" i="1"/>
  <c r="U339" i="1"/>
  <c r="R339" i="1"/>
  <c r="AJ338" i="1"/>
  <c r="AI338" i="1"/>
  <c r="AA338" i="1"/>
  <c r="X338" i="1"/>
  <c r="U338" i="1"/>
  <c r="R338" i="1"/>
  <c r="AJ337" i="1"/>
  <c r="AI337" i="1"/>
  <c r="AA337" i="1"/>
  <c r="X337" i="1"/>
  <c r="U337" i="1"/>
  <c r="R337" i="1"/>
  <c r="AI336" i="1"/>
  <c r="AA336" i="1"/>
  <c r="X336" i="1"/>
  <c r="U336" i="1"/>
  <c r="R336" i="1"/>
  <c r="AJ335" i="1"/>
  <c r="AI335" i="1"/>
  <c r="AA335" i="1"/>
  <c r="X335" i="1"/>
  <c r="U335" i="1"/>
  <c r="R335" i="1"/>
  <c r="AJ334" i="1"/>
  <c r="AI334" i="1"/>
  <c r="AA334" i="1"/>
  <c r="X334" i="1"/>
  <c r="U334" i="1"/>
  <c r="R334" i="1"/>
  <c r="AJ333" i="1"/>
  <c r="AI333" i="1"/>
  <c r="AA333" i="1"/>
  <c r="X333" i="1"/>
  <c r="U333" i="1"/>
  <c r="R333" i="1"/>
  <c r="AJ332" i="1"/>
  <c r="AI332" i="1"/>
  <c r="AA332" i="1"/>
  <c r="X332" i="1"/>
  <c r="U332" i="1"/>
  <c r="R332" i="1"/>
  <c r="AJ331" i="1"/>
  <c r="AI331" i="1"/>
  <c r="AA331" i="1"/>
  <c r="X331" i="1"/>
  <c r="U331" i="1"/>
  <c r="R331" i="1"/>
  <c r="AJ330" i="1"/>
  <c r="AI330" i="1"/>
  <c r="AA330" i="1"/>
  <c r="X330" i="1"/>
  <c r="U330" i="1"/>
  <c r="R330" i="1"/>
  <c r="AJ329" i="1"/>
  <c r="AI329" i="1"/>
  <c r="AA329" i="1"/>
  <c r="U329" i="1"/>
  <c r="R329" i="1"/>
  <c r="AJ328" i="1"/>
  <c r="AI328" i="1"/>
  <c r="AA328" i="1"/>
  <c r="X328" i="1"/>
  <c r="U328" i="1"/>
  <c r="R328" i="1"/>
  <c r="AJ327" i="1"/>
  <c r="AI327" i="1"/>
  <c r="AA327" i="1"/>
  <c r="X327" i="1"/>
  <c r="U327" i="1"/>
  <c r="R327" i="1"/>
  <c r="AJ326" i="1"/>
  <c r="AI326" i="1"/>
  <c r="AA326" i="1"/>
  <c r="X326" i="1"/>
  <c r="U326" i="1"/>
  <c r="R326" i="1"/>
  <c r="AJ325" i="1"/>
  <c r="AI325" i="1"/>
  <c r="AA325" i="1"/>
  <c r="X325" i="1"/>
  <c r="U325" i="1"/>
  <c r="R325" i="1"/>
  <c r="AJ324" i="1"/>
  <c r="AI324" i="1"/>
  <c r="AA324" i="1"/>
  <c r="X324" i="1"/>
  <c r="U324" i="1"/>
  <c r="R324" i="1"/>
  <c r="AJ323" i="1"/>
  <c r="AI323" i="1"/>
  <c r="AA323" i="1"/>
  <c r="X323" i="1"/>
  <c r="U323" i="1"/>
  <c r="R323" i="1"/>
  <c r="AA322" i="1"/>
  <c r="X322" i="1"/>
  <c r="U322" i="1"/>
  <c r="R322" i="1"/>
  <c r="AA321" i="1"/>
  <c r="X321" i="1"/>
  <c r="U321" i="1"/>
  <c r="R321" i="1"/>
  <c r="AA320" i="1"/>
  <c r="X320" i="1"/>
  <c r="U320" i="1"/>
  <c r="R320" i="1"/>
  <c r="AJ319" i="1"/>
  <c r="AI319" i="1"/>
  <c r="AA319" i="1"/>
  <c r="X319" i="1"/>
  <c r="U319" i="1"/>
  <c r="R319" i="1"/>
  <c r="AJ318" i="1"/>
  <c r="AI318" i="1"/>
  <c r="AA318" i="1"/>
  <c r="X318" i="1"/>
  <c r="U318" i="1"/>
  <c r="R318" i="1"/>
  <c r="AI317" i="1"/>
  <c r="AA317" i="1"/>
  <c r="X317" i="1"/>
  <c r="U317" i="1"/>
  <c r="R317" i="1"/>
  <c r="AA316" i="1"/>
  <c r="X316" i="1"/>
  <c r="U316" i="1"/>
  <c r="R316" i="1"/>
  <c r="AJ315" i="1"/>
  <c r="AI315" i="1"/>
  <c r="AA315" i="1"/>
  <c r="X315" i="1"/>
  <c r="U315" i="1"/>
  <c r="R315" i="1"/>
  <c r="AJ314" i="1"/>
  <c r="AI314" i="1"/>
  <c r="AA314" i="1"/>
  <c r="X314" i="1"/>
  <c r="U314" i="1"/>
  <c r="R314" i="1"/>
  <c r="AJ313" i="1"/>
  <c r="AI313" i="1"/>
  <c r="AA313" i="1"/>
  <c r="X313" i="1"/>
  <c r="U313" i="1"/>
  <c r="R313" i="1"/>
  <c r="AJ312" i="1"/>
  <c r="AI312" i="1"/>
  <c r="AA312" i="1"/>
  <c r="X312" i="1"/>
  <c r="U312" i="1"/>
  <c r="R312" i="1"/>
  <c r="AJ311" i="1"/>
  <c r="AI311" i="1"/>
  <c r="AA311" i="1"/>
  <c r="X311" i="1"/>
  <c r="U311" i="1"/>
  <c r="R311" i="1"/>
  <c r="AI310" i="1"/>
  <c r="AA310" i="1"/>
  <c r="X310" i="1"/>
  <c r="U310" i="1"/>
  <c r="R310" i="1"/>
  <c r="AJ309" i="1"/>
  <c r="AI309" i="1"/>
  <c r="AA309" i="1"/>
  <c r="X309" i="1"/>
  <c r="U309" i="1"/>
  <c r="R309" i="1"/>
  <c r="AI308" i="1"/>
  <c r="AA308" i="1"/>
  <c r="X308" i="1"/>
  <c r="U308" i="1"/>
  <c r="R308" i="1"/>
  <c r="AJ307" i="1"/>
  <c r="AI307" i="1"/>
  <c r="AA307" i="1"/>
  <c r="X307" i="1"/>
  <c r="U307" i="1"/>
  <c r="R307" i="1"/>
  <c r="AJ306" i="1"/>
  <c r="AI306" i="1"/>
  <c r="AA306" i="1"/>
  <c r="X306" i="1"/>
  <c r="U306" i="1"/>
  <c r="R306" i="1"/>
  <c r="AI305" i="1"/>
  <c r="AA305" i="1"/>
  <c r="X305" i="1"/>
  <c r="U305" i="1"/>
  <c r="R305" i="1"/>
  <c r="AJ304" i="1"/>
  <c r="AI304" i="1"/>
  <c r="AA304" i="1"/>
  <c r="X304" i="1"/>
  <c r="U304" i="1"/>
  <c r="R304" i="1"/>
  <c r="AI303" i="1"/>
  <c r="AA303" i="1"/>
  <c r="X303" i="1"/>
  <c r="U303" i="1"/>
  <c r="R303" i="1"/>
  <c r="AJ302" i="1"/>
  <c r="AI302" i="1"/>
  <c r="AA302" i="1"/>
  <c r="X302" i="1"/>
  <c r="U302" i="1"/>
  <c r="R302" i="1"/>
  <c r="AJ301" i="1"/>
  <c r="AI301" i="1"/>
  <c r="AA301" i="1"/>
  <c r="X301" i="1"/>
  <c r="U301" i="1"/>
  <c r="R301" i="1"/>
  <c r="AA300" i="1"/>
  <c r="X300" i="1"/>
  <c r="U300" i="1"/>
  <c r="R300" i="1"/>
  <c r="AA299" i="1"/>
  <c r="X299" i="1"/>
  <c r="U299" i="1"/>
  <c r="R299" i="1"/>
  <c r="AA298" i="1"/>
  <c r="X298" i="1"/>
  <c r="U298" i="1"/>
  <c r="R298" i="1"/>
  <c r="AJ297" i="1"/>
  <c r="AI297" i="1"/>
  <c r="AA297" i="1"/>
  <c r="X297" i="1"/>
  <c r="U297" i="1"/>
  <c r="R297" i="1"/>
  <c r="AJ296" i="1"/>
  <c r="AI296" i="1"/>
  <c r="AA296" i="1"/>
  <c r="X296" i="1"/>
  <c r="U296" i="1"/>
  <c r="R296" i="1"/>
  <c r="AJ295" i="1"/>
  <c r="AI295" i="1"/>
  <c r="AA295" i="1"/>
  <c r="X295" i="1"/>
  <c r="U295" i="1"/>
  <c r="R295" i="1"/>
  <c r="AJ294" i="1"/>
  <c r="AI294" i="1"/>
  <c r="AA294" i="1"/>
  <c r="X294" i="1"/>
  <c r="U294" i="1"/>
  <c r="R294" i="1"/>
  <c r="AJ293" i="1"/>
  <c r="AI293" i="1"/>
  <c r="AA293" i="1"/>
  <c r="X293" i="1"/>
  <c r="U293" i="1"/>
  <c r="R293" i="1"/>
  <c r="AA292" i="1"/>
  <c r="X292" i="1"/>
  <c r="U292" i="1"/>
  <c r="R292" i="1"/>
  <c r="AA291" i="1"/>
  <c r="X291" i="1"/>
  <c r="U291" i="1"/>
  <c r="R291" i="1"/>
  <c r="AJ290" i="1"/>
  <c r="AI290" i="1"/>
  <c r="AA290" i="1"/>
  <c r="X290" i="1"/>
  <c r="U290" i="1"/>
  <c r="R290" i="1"/>
  <c r="AA289" i="1"/>
  <c r="X289" i="1"/>
  <c r="U289" i="1"/>
  <c r="R289" i="1"/>
  <c r="AJ288" i="1"/>
  <c r="AI288" i="1"/>
  <c r="AA288" i="1"/>
  <c r="X288" i="1"/>
  <c r="U288" i="1"/>
  <c r="R288" i="1"/>
  <c r="AJ287" i="1"/>
  <c r="AI287" i="1"/>
  <c r="AA287" i="1"/>
  <c r="X287" i="1"/>
  <c r="U287" i="1"/>
  <c r="R287" i="1"/>
  <c r="AJ286" i="1"/>
  <c r="AI286" i="1"/>
  <c r="AA286" i="1"/>
  <c r="X286" i="1"/>
  <c r="U286" i="1"/>
  <c r="R286" i="1"/>
  <c r="AJ285" i="1"/>
  <c r="AI285" i="1"/>
  <c r="AA285" i="1"/>
  <c r="X285" i="1"/>
  <c r="U285" i="1"/>
  <c r="R285" i="1"/>
  <c r="AJ284" i="1"/>
  <c r="AI284" i="1"/>
  <c r="AA284" i="1"/>
  <c r="X284" i="1"/>
  <c r="U284" i="1"/>
  <c r="R284" i="1"/>
  <c r="AJ283" i="1"/>
  <c r="AI283" i="1"/>
  <c r="AA283" i="1"/>
  <c r="X283" i="1"/>
  <c r="U283" i="1"/>
  <c r="R283" i="1"/>
  <c r="AI282" i="1"/>
  <c r="AA282" i="1"/>
  <c r="X282" i="1"/>
  <c r="U282" i="1"/>
  <c r="R282" i="1"/>
  <c r="AI281" i="1"/>
  <c r="AA281" i="1"/>
  <c r="X281" i="1"/>
  <c r="U281" i="1"/>
  <c r="R281" i="1"/>
  <c r="AI280" i="1"/>
  <c r="AA280" i="1"/>
  <c r="X280" i="1"/>
  <c r="U280" i="1"/>
  <c r="R280" i="1"/>
  <c r="AJ279" i="1"/>
  <c r="AI279" i="1"/>
  <c r="AA279" i="1"/>
  <c r="X279" i="1"/>
  <c r="U279" i="1"/>
  <c r="R279" i="1"/>
  <c r="AJ278" i="1"/>
  <c r="AI278" i="1"/>
  <c r="AA278" i="1"/>
  <c r="X278" i="1"/>
  <c r="U278" i="1"/>
  <c r="R278" i="1"/>
  <c r="AA277" i="1"/>
  <c r="X277" i="1"/>
  <c r="U277" i="1"/>
  <c r="R277" i="1"/>
  <c r="AI276" i="1"/>
  <c r="AA276" i="1"/>
  <c r="X276" i="1"/>
  <c r="U276" i="1"/>
  <c r="R276" i="1"/>
  <c r="AI275" i="1"/>
  <c r="AA275" i="1"/>
  <c r="X275" i="1"/>
  <c r="U275" i="1"/>
  <c r="R275" i="1"/>
  <c r="AI274" i="1"/>
  <c r="AA274" i="1"/>
  <c r="X274" i="1"/>
  <c r="U274" i="1"/>
  <c r="R274" i="1"/>
  <c r="AA273" i="1"/>
  <c r="X273" i="1"/>
  <c r="U273" i="1"/>
  <c r="R273" i="1"/>
  <c r="AA272" i="1"/>
  <c r="X272" i="1"/>
  <c r="U272" i="1"/>
  <c r="R272" i="1"/>
  <c r="AI271" i="1"/>
  <c r="AA271" i="1"/>
  <c r="X271" i="1"/>
  <c r="U271" i="1"/>
  <c r="R271" i="1"/>
  <c r="AI270" i="1"/>
  <c r="AA270" i="1"/>
  <c r="X270" i="1"/>
  <c r="U270" i="1"/>
  <c r="R270" i="1"/>
  <c r="AJ269" i="1"/>
  <c r="AI269" i="1"/>
  <c r="AA269" i="1"/>
  <c r="X269" i="1"/>
  <c r="U269" i="1"/>
  <c r="R269" i="1"/>
  <c r="AJ268" i="1"/>
  <c r="AI268" i="1"/>
  <c r="AA268" i="1"/>
  <c r="X268" i="1"/>
  <c r="U268" i="1"/>
  <c r="R268" i="1"/>
  <c r="AI267" i="1"/>
  <c r="AA267" i="1"/>
  <c r="X267" i="1"/>
  <c r="U267" i="1"/>
  <c r="R267" i="1"/>
  <c r="AI266" i="1"/>
  <c r="AA266" i="1"/>
  <c r="X266" i="1"/>
  <c r="U266" i="1"/>
  <c r="R266" i="1"/>
  <c r="AA265" i="1"/>
  <c r="X265" i="1"/>
  <c r="U265" i="1"/>
  <c r="R265" i="1"/>
  <c r="AI264" i="1"/>
  <c r="AA264" i="1"/>
  <c r="X264" i="1"/>
  <c r="U264" i="1"/>
  <c r="R264" i="1"/>
  <c r="AD264" i="1" s="1"/>
  <c r="AA263" i="1"/>
  <c r="X263" i="1"/>
  <c r="U263" i="1"/>
  <c r="R263" i="1"/>
  <c r="AA262" i="1"/>
  <c r="X262" i="1"/>
  <c r="U262" i="1"/>
  <c r="R262" i="1"/>
  <c r="AI261" i="1"/>
  <c r="AA261" i="1"/>
  <c r="X261" i="1"/>
  <c r="U261" i="1"/>
  <c r="R261" i="1"/>
  <c r="AA260" i="1"/>
  <c r="X260" i="1"/>
  <c r="U260" i="1"/>
  <c r="R260" i="1"/>
  <c r="AA259" i="1"/>
  <c r="X259" i="1"/>
  <c r="U259" i="1"/>
  <c r="R259" i="1"/>
  <c r="AA258" i="1"/>
  <c r="X258" i="1"/>
  <c r="U258" i="1"/>
  <c r="R258" i="1"/>
  <c r="AA257" i="1"/>
  <c r="X257" i="1"/>
  <c r="U257" i="1"/>
  <c r="R257" i="1"/>
  <c r="AA256" i="1"/>
  <c r="X256" i="1"/>
  <c r="U256" i="1"/>
  <c r="R256" i="1"/>
  <c r="AA255" i="1"/>
  <c r="X255" i="1"/>
  <c r="U255" i="1"/>
  <c r="R255" i="1"/>
  <c r="AA254" i="1"/>
  <c r="X254" i="1"/>
  <c r="U254" i="1"/>
  <c r="R254" i="1"/>
  <c r="AA253" i="1"/>
  <c r="X253" i="1"/>
  <c r="U253" i="1"/>
  <c r="R253" i="1"/>
  <c r="AA252" i="1"/>
  <c r="X252" i="1"/>
  <c r="U252" i="1"/>
  <c r="R252" i="1"/>
  <c r="AA251" i="1"/>
  <c r="X251" i="1"/>
  <c r="U251" i="1"/>
  <c r="R251" i="1"/>
  <c r="AA250" i="1"/>
  <c r="X250" i="1"/>
  <c r="U250" i="1"/>
  <c r="R250" i="1"/>
  <c r="AA249" i="1"/>
  <c r="X249" i="1"/>
  <c r="U249" i="1"/>
  <c r="R249" i="1"/>
  <c r="AA248" i="1"/>
  <c r="X248" i="1"/>
  <c r="U248" i="1"/>
  <c r="R248" i="1"/>
  <c r="AA247" i="1"/>
  <c r="X247" i="1"/>
  <c r="U247" i="1"/>
  <c r="R247" i="1"/>
  <c r="AA246" i="1"/>
  <c r="X246" i="1"/>
  <c r="U246" i="1"/>
  <c r="R246" i="1"/>
  <c r="AA245" i="1"/>
  <c r="X245" i="1"/>
  <c r="U245" i="1"/>
  <c r="R245" i="1"/>
  <c r="AA244" i="1"/>
  <c r="X244" i="1"/>
  <c r="U244" i="1"/>
  <c r="R244" i="1"/>
  <c r="AA243" i="1"/>
  <c r="X243" i="1"/>
  <c r="U243" i="1"/>
  <c r="R243" i="1"/>
  <c r="AA242" i="1"/>
  <c r="X242" i="1"/>
  <c r="U242" i="1"/>
  <c r="R242" i="1"/>
  <c r="AA241" i="1"/>
  <c r="X241" i="1"/>
  <c r="R241" i="1"/>
  <c r="AA240" i="1"/>
  <c r="X240" i="1"/>
  <c r="U240" i="1"/>
  <c r="R240" i="1"/>
  <c r="AA239" i="1"/>
  <c r="X239" i="1"/>
  <c r="U239" i="1"/>
  <c r="R239" i="1"/>
  <c r="AA238" i="1"/>
  <c r="X238" i="1"/>
  <c r="U238" i="1"/>
  <c r="R238" i="1"/>
  <c r="AA237" i="1"/>
  <c r="X237" i="1"/>
  <c r="U237" i="1"/>
  <c r="R237" i="1"/>
  <c r="AA236" i="1"/>
  <c r="X236" i="1"/>
  <c r="U236" i="1"/>
  <c r="R236" i="1"/>
  <c r="AA235" i="1"/>
  <c r="X235" i="1"/>
  <c r="U235" i="1"/>
  <c r="R235" i="1"/>
  <c r="AA234" i="1"/>
  <c r="X234" i="1"/>
  <c r="U234" i="1"/>
  <c r="R234" i="1"/>
  <c r="AJ233" i="1"/>
  <c r="AA233" i="1"/>
  <c r="X233" i="1"/>
  <c r="U233" i="1"/>
  <c r="R233" i="1"/>
  <c r="AJ232" i="1"/>
  <c r="AA232" i="1"/>
  <c r="X232" i="1"/>
  <c r="U232" i="1"/>
  <c r="R232" i="1"/>
  <c r="AA231" i="1"/>
  <c r="X231" i="1"/>
  <c r="U231" i="1"/>
  <c r="R231" i="1"/>
  <c r="AA230" i="1"/>
  <c r="X230" i="1"/>
  <c r="U230" i="1"/>
  <c r="R230" i="1"/>
  <c r="AA229" i="1"/>
  <c r="X229" i="1"/>
  <c r="U229" i="1"/>
  <c r="R229" i="1"/>
  <c r="AJ228" i="1"/>
  <c r="AA228" i="1"/>
  <c r="X228" i="1"/>
  <c r="U228" i="1"/>
  <c r="R228" i="1"/>
  <c r="AA227" i="1"/>
  <c r="X227" i="1"/>
  <c r="U227" i="1"/>
  <c r="R227" i="1"/>
  <c r="AA226" i="1"/>
  <c r="X226" i="1"/>
  <c r="U226" i="1"/>
  <c r="R226" i="1"/>
  <c r="AA225" i="1"/>
  <c r="X225" i="1"/>
  <c r="U225" i="1"/>
  <c r="R225" i="1"/>
  <c r="AA224" i="1"/>
  <c r="X224" i="1"/>
  <c r="U224" i="1"/>
  <c r="R224" i="1"/>
  <c r="AA223" i="1"/>
  <c r="X223" i="1"/>
  <c r="U223" i="1"/>
  <c r="R223" i="1"/>
  <c r="AA222" i="1"/>
  <c r="X222" i="1"/>
  <c r="U222" i="1"/>
  <c r="R222" i="1"/>
  <c r="AA221" i="1"/>
  <c r="X221" i="1"/>
  <c r="U221" i="1"/>
  <c r="R221" i="1"/>
  <c r="AA220" i="1"/>
  <c r="X220" i="1"/>
  <c r="U220" i="1"/>
  <c r="R220" i="1"/>
  <c r="AA219" i="1"/>
  <c r="X219" i="1"/>
  <c r="U219" i="1"/>
  <c r="R219" i="1"/>
  <c r="AA218" i="1"/>
  <c r="X218" i="1"/>
  <c r="U218" i="1"/>
  <c r="R218" i="1"/>
  <c r="AA217" i="1"/>
  <c r="X217" i="1"/>
  <c r="U217" i="1"/>
  <c r="R217" i="1"/>
  <c r="AA216" i="1"/>
  <c r="X216" i="1"/>
  <c r="U216" i="1"/>
  <c r="R216" i="1"/>
  <c r="AA215" i="1"/>
  <c r="X215" i="1"/>
  <c r="U215" i="1"/>
  <c r="R215" i="1"/>
  <c r="AA214" i="1"/>
  <c r="X214" i="1"/>
  <c r="U214" i="1"/>
  <c r="R214" i="1"/>
  <c r="AA213" i="1"/>
  <c r="X213" i="1"/>
  <c r="U213" i="1"/>
  <c r="R213" i="1"/>
  <c r="AA212" i="1"/>
  <c r="X212" i="1"/>
  <c r="U212" i="1"/>
  <c r="R212" i="1"/>
  <c r="AA211" i="1"/>
  <c r="X211" i="1"/>
  <c r="U211" i="1"/>
  <c r="R211" i="1"/>
  <c r="AA210" i="1"/>
  <c r="X210" i="1"/>
  <c r="U210" i="1"/>
  <c r="R210" i="1"/>
  <c r="AJ209" i="1"/>
  <c r="AA209" i="1"/>
  <c r="X209" i="1"/>
  <c r="U209" i="1"/>
  <c r="R209" i="1"/>
  <c r="AA208" i="1"/>
  <c r="X208" i="1"/>
  <c r="U208" i="1"/>
  <c r="R208" i="1"/>
  <c r="AE207" i="1"/>
  <c r="AE482" i="1" s="1"/>
  <c r="AA207" i="1"/>
  <c r="X207" i="1"/>
  <c r="U207" i="1"/>
  <c r="R207" i="1"/>
  <c r="X206" i="1"/>
  <c r="U206" i="1"/>
  <c r="R206" i="1"/>
  <c r="AA205" i="1"/>
  <c r="X205" i="1"/>
  <c r="U205" i="1"/>
  <c r="R205" i="1"/>
  <c r="AA204" i="1"/>
  <c r="X204" i="1"/>
  <c r="U204" i="1"/>
  <c r="R204" i="1"/>
  <c r="AA203" i="1"/>
  <c r="X203" i="1"/>
  <c r="U203" i="1"/>
  <c r="R203" i="1"/>
  <c r="AA202" i="1"/>
  <c r="X202" i="1"/>
  <c r="U202" i="1"/>
  <c r="R202" i="1"/>
  <c r="AJ201" i="1"/>
  <c r="AA201" i="1"/>
  <c r="X201" i="1"/>
  <c r="U201" i="1"/>
  <c r="R201" i="1"/>
  <c r="AA200" i="1"/>
  <c r="X200" i="1"/>
  <c r="U200" i="1"/>
  <c r="R200" i="1"/>
  <c r="AA199" i="1"/>
  <c r="X199" i="1"/>
  <c r="U199" i="1"/>
  <c r="R199" i="1"/>
  <c r="AA198" i="1"/>
  <c r="X198" i="1"/>
  <c r="U198" i="1"/>
  <c r="R198" i="1"/>
  <c r="AA197" i="1"/>
  <c r="X197" i="1"/>
  <c r="U197" i="1"/>
  <c r="R197" i="1"/>
  <c r="AA196" i="1"/>
  <c r="X196" i="1"/>
  <c r="U196" i="1"/>
  <c r="R196" i="1"/>
  <c r="AJ195" i="1"/>
  <c r="AA195" i="1"/>
  <c r="X195" i="1"/>
  <c r="U195" i="1"/>
  <c r="R195" i="1"/>
  <c r="AA194" i="1"/>
  <c r="X194" i="1"/>
  <c r="U194" i="1"/>
  <c r="R194" i="1"/>
  <c r="AA193" i="1"/>
  <c r="X193" i="1"/>
  <c r="U193" i="1"/>
  <c r="R193" i="1"/>
  <c r="AA192" i="1"/>
  <c r="X192" i="1"/>
  <c r="U192" i="1"/>
  <c r="R192" i="1"/>
  <c r="AA191" i="1"/>
  <c r="R191" i="1"/>
  <c r="AA190" i="1"/>
  <c r="X190" i="1"/>
  <c r="U190" i="1"/>
  <c r="R190" i="1"/>
  <c r="AA189" i="1"/>
  <c r="X189" i="1"/>
  <c r="U189" i="1"/>
  <c r="R189" i="1"/>
  <c r="AA188" i="1"/>
  <c r="X188" i="1"/>
  <c r="U188" i="1"/>
  <c r="R188" i="1"/>
  <c r="AA187" i="1"/>
  <c r="X187" i="1"/>
  <c r="U187" i="1"/>
  <c r="R187" i="1"/>
  <c r="AA186" i="1"/>
  <c r="X186" i="1"/>
  <c r="U186" i="1"/>
  <c r="R186" i="1"/>
  <c r="AA185" i="1"/>
  <c r="X185" i="1"/>
  <c r="U185" i="1"/>
  <c r="R185" i="1"/>
  <c r="AA184" i="1"/>
  <c r="X184" i="1"/>
  <c r="U184" i="1"/>
  <c r="R184" i="1"/>
  <c r="AA183" i="1"/>
  <c r="X183" i="1"/>
  <c r="U183" i="1"/>
  <c r="R183" i="1"/>
  <c r="AA182" i="1"/>
  <c r="X182" i="1"/>
  <c r="U182" i="1"/>
  <c r="R182" i="1"/>
  <c r="AJ181" i="1"/>
  <c r="AH181" i="1"/>
  <c r="AA181" i="1"/>
  <c r="X181" i="1"/>
  <c r="U181" i="1"/>
  <c r="R181" i="1"/>
  <c r="E181" i="1"/>
  <c r="D181" i="1"/>
  <c r="AJ180" i="1"/>
  <c r="AA180" i="1"/>
  <c r="X180" i="1"/>
  <c r="U180" i="1"/>
  <c r="R180" i="1"/>
  <c r="AA179" i="1"/>
  <c r="X179" i="1"/>
  <c r="U179" i="1"/>
  <c r="R179" i="1"/>
  <c r="AA178" i="1"/>
  <c r="X178" i="1"/>
  <c r="U178" i="1"/>
  <c r="R178" i="1"/>
  <c r="AA177" i="1"/>
  <c r="X177" i="1"/>
  <c r="U177" i="1"/>
  <c r="R177" i="1"/>
  <c r="AA176" i="1"/>
  <c r="X176" i="1"/>
  <c r="U176" i="1"/>
  <c r="R176" i="1"/>
  <c r="AA175" i="1"/>
  <c r="X175" i="1"/>
  <c r="U175" i="1"/>
  <c r="R175" i="1"/>
  <c r="AJ174" i="1"/>
  <c r="AA174" i="1"/>
  <c r="X174" i="1"/>
  <c r="U174" i="1"/>
  <c r="R174" i="1"/>
  <c r="AJ173" i="1"/>
  <c r="AA173" i="1"/>
  <c r="X173" i="1"/>
  <c r="U173" i="1"/>
  <c r="R173" i="1"/>
  <c r="AA172" i="1"/>
  <c r="X172" i="1"/>
  <c r="U172" i="1"/>
  <c r="R172" i="1"/>
  <c r="AA171" i="1"/>
  <c r="X171" i="1"/>
  <c r="U171" i="1"/>
  <c r="R171" i="1"/>
  <c r="AA170" i="1"/>
  <c r="X170" i="1"/>
  <c r="U170" i="1"/>
  <c r="R170" i="1"/>
  <c r="AA169" i="1"/>
  <c r="X169" i="1"/>
  <c r="U169" i="1"/>
  <c r="R169" i="1"/>
  <c r="AA168" i="1"/>
  <c r="X168" i="1"/>
  <c r="U168" i="1"/>
  <c r="R168" i="1"/>
  <c r="AA167" i="1"/>
  <c r="X167" i="1"/>
  <c r="U167" i="1"/>
  <c r="R167" i="1"/>
  <c r="AA166" i="1"/>
  <c r="X166" i="1"/>
  <c r="U166" i="1"/>
  <c r="R166" i="1"/>
  <c r="AA165" i="1"/>
  <c r="X165" i="1"/>
  <c r="U165" i="1"/>
  <c r="R165" i="1"/>
  <c r="AA164" i="1"/>
  <c r="X164" i="1"/>
  <c r="U164" i="1"/>
  <c r="R164" i="1"/>
  <c r="AA163" i="1"/>
  <c r="X163" i="1"/>
  <c r="U163" i="1"/>
  <c r="R163" i="1"/>
  <c r="AA162" i="1"/>
  <c r="X162" i="1"/>
  <c r="U162" i="1"/>
  <c r="R162" i="1"/>
  <c r="AA161" i="1"/>
  <c r="X161" i="1"/>
  <c r="U161" i="1"/>
  <c r="R161" i="1"/>
  <c r="AA160" i="1"/>
  <c r="X160" i="1"/>
  <c r="U160" i="1"/>
  <c r="R160" i="1"/>
  <c r="AA159" i="1"/>
  <c r="X159" i="1"/>
  <c r="U159" i="1"/>
  <c r="R159" i="1"/>
  <c r="AA158" i="1"/>
  <c r="X158" i="1"/>
  <c r="U158" i="1"/>
  <c r="R158" i="1"/>
  <c r="AA157" i="1"/>
  <c r="X157" i="1"/>
  <c r="U157" i="1"/>
  <c r="R157" i="1"/>
  <c r="AA156" i="1"/>
  <c r="X156" i="1"/>
  <c r="U156" i="1"/>
  <c r="R156" i="1"/>
  <c r="AA155" i="1"/>
  <c r="X155" i="1"/>
  <c r="U155" i="1"/>
  <c r="R155" i="1"/>
  <c r="AJ154" i="1"/>
  <c r="AA154" i="1"/>
  <c r="X154" i="1"/>
  <c r="U154" i="1"/>
  <c r="R154" i="1"/>
  <c r="AJ153" i="1"/>
  <c r="AA153" i="1"/>
  <c r="X153" i="1"/>
  <c r="U153" i="1"/>
  <c r="R153" i="1"/>
  <c r="AA152" i="1"/>
  <c r="X152" i="1"/>
  <c r="U152" i="1"/>
  <c r="R152" i="1"/>
  <c r="AJ151" i="1"/>
  <c r="AA151" i="1"/>
  <c r="X151" i="1"/>
  <c r="U151" i="1"/>
  <c r="R151" i="1"/>
  <c r="AA150" i="1"/>
  <c r="X150" i="1"/>
  <c r="U150" i="1"/>
  <c r="R150" i="1"/>
  <c r="AJ149" i="1"/>
  <c r="AA149" i="1"/>
  <c r="X149" i="1"/>
  <c r="U149" i="1"/>
  <c r="R149" i="1"/>
  <c r="AA148" i="1"/>
  <c r="X148" i="1"/>
  <c r="U148" i="1"/>
  <c r="R148" i="1"/>
  <c r="X147" i="1"/>
  <c r="U147" i="1"/>
  <c r="R147" i="1"/>
  <c r="AA146" i="1"/>
  <c r="X146" i="1"/>
  <c r="U146" i="1"/>
  <c r="R146" i="1"/>
  <c r="AF145" i="1"/>
  <c r="AA145" i="1"/>
  <c r="X145" i="1"/>
  <c r="U145" i="1"/>
  <c r="R145" i="1"/>
  <c r="L145" i="1" s="1"/>
  <c r="AA144" i="1"/>
  <c r="X144" i="1"/>
  <c r="U144" i="1"/>
  <c r="R144" i="1"/>
  <c r="AA143" i="1"/>
  <c r="X143" i="1"/>
  <c r="U143" i="1"/>
  <c r="R143" i="1"/>
  <c r="AA142" i="1"/>
  <c r="X142" i="1"/>
  <c r="U142" i="1"/>
  <c r="R142" i="1"/>
  <c r="AA141" i="1"/>
  <c r="X141" i="1"/>
  <c r="U141" i="1"/>
  <c r="R141" i="1"/>
  <c r="AJ140" i="1"/>
  <c r="AA140" i="1"/>
  <c r="X140" i="1"/>
  <c r="U140" i="1"/>
  <c r="R140" i="1"/>
  <c r="AA139" i="1"/>
  <c r="X139" i="1"/>
  <c r="U139" i="1"/>
  <c r="R139" i="1"/>
  <c r="AJ138" i="1"/>
  <c r="AA138" i="1"/>
  <c r="X138" i="1"/>
  <c r="U138" i="1"/>
  <c r="R138" i="1"/>
  <c r="AA137" i="1"/>
  <c r="X137" i="1"/>
  <c r="U137" i="1"/>
  <c r="R137" i="1"/>
  <c r="AA136" i="1"/>
  <c r="X136" i="1"/>
  <c r="U136" i="1"/>
  <c r="R136" i="1"/>
  <c r="AA135" i="1"/>
  <c r="X135" i="1"/>
  <c r="U135" i="1"/>
  <c r="S135" i="1"/>
  <c r="S482" i="1" s="1"/>
  <c r="AA134" i="1"/>
  <c r="X134" i="1"/>
  <c r="U134" i="1"/>
  <c r="AA133" i="1"/>
  <c r="X133" i="1"/>
  <c r="U133" i="1"/>
  <c r="R133" i="1"/>
  <c r="AA132" i="1"/>
  <c r="X132" i="1"/>
  <c r="U132" i="1"/>
  <c r="R132" i="1"/>
  <c r="AJ131" i="1"/>
  <c r="AA131" i="1"/>
  <c r="X131" i="1"/>
  <c r="U131" i="1"/>
  <c r="R131" i="1"/>
  <c r="AA130" i="1"/>
  <c r="X130" i="1"/>
  <c r="U130" i="1"/>
  <c r="R130" i="1"/>
  <c r="AA129" i="1"/>
  <c r="X129" i="1"/>
  <c r="U129" i="1"/>
  <c r="R129" i="1"/>
  <c r="AA128" i="1"/>
  <c r="X128" i="1"/>
  <c r="U128" i="1"/>
  <c r="R128" i="1"/>
  <c r="AA127" i="1"/>
  <c r="X127" i="1"/>
  <c r="U127" i="1"/>
  <c r="R127" i="1"/>
  <c r="AA126" i="1"/>
  <c r="X126" i="1"/>
  <c r="U126" i="1"/>
  <c r="R126" i="1"/>
  <c r="AA125" i="1"/>
  <c r="X125" i="1"/>
  <c r="U125" i="1"/>
  <c r="R125" i="1"/>
  <c r="AA124" i="1"/>
  <c r="X124" i="1"/>
  <c r="U124" i="1"/>
  <c r="R124" i="1"/>
  <c r="AA123" i="1"/>
  <c r="X123" i="1"/>
  <c r="U123" i="1"/>
  <c r="R123" i="1"/>
  <c r="AA122" i="1"/>
  <c r="X122" i="1"/>
  <c r="U122" i="1"/>
  <c r="R122" i="1"/>
  <c r="AA121" i="1"/>
  <c r="X121" i="1"/>
  <c r="U121" i="1"/>
  <c r="R121" i="1"/>
  <c r="AA120" i="1"/>
  <c r="X120" i="1"/>
  <c r="U120" i="1"/>
  <c r="R120" i="1"/>
  <c r="AA119" i="1"/>
  <c r="X119" i="1"/>
  <c r="U119" i="1"/>
  <c r="AJ118" i="1"/>
  <c r="AA118" i="1"/>
  <c r="X118" i="1"/>
  <c r="U118" i="1"/>
  <c r="R118" i="1"/>
  <c r="AA117" i="1"/>
  <c r="X117" i="1"/>
  <c r="U117" i="1"/>
  <c r="R117" i="1"/>
  <c r="AJ116" i="1"/>
  <c r="AA116" i="1"/>
  <c r="X116" i="1"/>
  <c r="U116" i="1"/>
  <c r="R116" i="1"/>
  <c r="AA115" i="1"/>
  <c r="X115" i="1"/>
  <c r="U115" i="1"/>
  <c r="R115" i="1"/>
  <c r="AA114" i="1"/>
  <c r="X114" i="1"/>
  <c r="U114" i="1"/>
  <c r="R114" i="1"/>
  <c r="AA113" i="1"/>
  <c r="X113" i="1"/>
  <c r="U113" i="1"/>
  <c r="R113" i="1"/>
  <c r="AA112" i="1"/>
  <c r="X112" i="1"/>
  <c r="U112" i="1"/>
  <c r="R112" i="1"/>
  <c r="AA111" i="1"/>
  <c r="X111" i="1"/>
  <c r="U111" i="1"/>
  <c r="R111" i="1"/>
  <c r="AA110" i="1"/>
  <c r="X110" i="1"/>
  <c r="U110" i="1"/>
  <c r="R110" i="1"/>
  <c r="AJ109" i="1"/>
  <c r="X109" i="1"/>
  <c r="U109" i="1"/>
  <c r="R109" i="1"/>
  <c r="AA108" i="1"/>
  <c r="X108" i="1"/>
  <c r="U108" i="1"/>
  <c r="R108" i="1"/>
  <c r="X107" i="1"/>
  <c r="U107" i="1"/>
  <c r="R107" i="1"/>
  <c r="AA106" i="1"/>
  <c r="X106" i="1"/>
  <c r="U106" i="1"/>
  <c r="R106" i="1"/>
  <c r="AA105" i="1"/>
  <c r="X105" i="1"/>
  <c r="U105" i="1"/>
  <c r="R105" i="1"/>
  <c r="AA104" i="1"/>
  <c r="X104" i="1"/>
  <c r="U104" i="1"/>
  <c r="R104" i="1"/>
  <c r="AA103" i="1"/>
  <c r="X103" i="1"/>
  <c r="U103" i="1"/>
  <c r="R103" i="1"/>
  <c r="AA102" i="1"/>
  <c r="X102" i="1"/>
  <c r="U102" i="1"/>
  <c r="R102" i="1"/>
  <c r="AA101" i="1"/>
  <c r="X101" i="1"/>
  <c r="U101" i="1"/>
  <c r="R101" i="1"/>
  <c r="Q101" i="1"/>
  <c r="P101" i="1"/>
  <c r="O101" i="1"/>
  <c r="N101" i="1"/>
  <c r="M101" i="1"/>
  <c r="G101" i="1"/>
  <c r="AA100" i="1"/>
  <c r="X100" i="1"/>
  <c r="U100" i="1"/>
  <c r="R100" i="1"/>
  <c r="AA99" i="1"/>
  <c r="X99" i="1"/>
  <c r="U99" i="1"/>
  <c r="R99" i="1"/>
  <c r="AA98" i="1"/>
  <c r="X98" i="1"/>
  <c r="U98" i="1"/>
  <c r="R98" i="1"/>
  <c r="AA97" i="1"/>
  <c r="X97" i="1"/>
  <c r="U97" i="1"/>
  <c r="R97" i="1"/>
  <c r="AA96" i="1"/>
  <c r="X96" i="1"/>
  <c r="U96" i="1"/>
  <c r="R96" i="1"/>
  <c r="AA95" i="1"/>
  <c r="X95" i="1"/>
  <c r="U95" i="1"/>
  <c r="R95" i="1"/>
  <c r="AJ94" i="1"/>
  <c r="AA94" i="1"/>
  <c r="X94" i="1"/>
  <c r="U94" i="1"/>
  <c r="R94" i="1"/>
  <c r="AA93" i="1"/>
  <c r="X93" i="1"/>
  <c r="U93" i="1"/>
  <c r="R93" i="1"/>
  <c r="AJ92" i="1"/>
  <c r="AA92" i="1"/>
  <c r="X92" i="1"/>
  <c r="U92" i="1"/>
  <c r="R92" i="1"/>
  <c r="Q92" i="1"/>
  <c r="P92" i="1"/>
  <c r="D92" i="1"/>
  <c r="AJ91" i="1"/>
  <c r="AA91" i="1"/>
  <c r="X91" i="1"/>
  <c r="U91" i="1"/>
  <c r="R91" i="1"/>
  <c r="D91" i="1"/>
  <c r="AA90" i="1"/>
  <c r="X90" i="1"/>
  <c r="U90" i="1"/>
  <c r="R90" i="1"/>
  <c r="AA89" i="1"/>
  <c r="X89" i="1"/>
  <c r="U89" i="1"/>
  <c r="R89" i="1"/>
  <c r="AA88" i="1"/>
  <c r="X88" i="1"/>
  <c r="U88" i="1"/>
  <c r="R88" i="1"/>
  <c r="AA87" i="1"/>
  <c r="X87" i="1"/>
  <c r="U87" i="1"/>
  <c r="R87" i="1"/>
  <c r="AA86" i="1"/>
  <c r="X86" i="1"/>
  <c r="U86" i="1"/>
  <c r="R86" i="1"/>
  <c r="AA85" i="1"/>
  <c r="X85" i="1"/>
  <c r="U85" i="1"/>
  <c r="R85" i="1"/>
  <c r="AA84" i="1"/>
  <c r="X84" i="1"/>
  <c r="U84" i="1"/>
  <c r="R84" i="1"/>
  <c r="AA83" i="1"/>
  <c r="X83" i="1"/>
  <c r="U83" i="1"/>
  <c r="R83" i="1"/>
  <c r="AA82" i="1"/>
  <c r="X82" i="1"/>
  <c r="U82" i="1"/>
  <c r="R82" i="1"/>
  <c r="N82" i="1"/>
  <c r="M82" i="1"/>
  <c r="E82" i="1"/>
  <c r="D82" i="1"/>
  <c r="AA81" i="1"/>
  <c r="X81" i="1"/>
  <c r="U81" i="1"/>
  <c r="R81" i="1"/>
  <c r="AA80" i="1"/>
  <c r="X80" i="1"/>
  <c r="U80" i="1"/>
  <c r="R80" i="1"/>
  <c r="AA79" i="1"/>
  <c r="X79" i="1"/>
  <c r="U79" i="1"/>
  <c r="R79" i="1"/>
  <c r="AA78" i="1"/>
  <c r="X78" i="1"/>
  <c r="U78" i="1"/>
  <c r="R78" i="1"/>
  <c r="X77" i="1"/>
  <c r="U77" i="1"/>
  <c r="AA76" i="1"/>
  <c r="X76" i="1"/>
  <c r="U76" i="1"/>
  <c r="R76" i="1"/>
  <c r="AA75" i="1"/>
  <c r="X75" i="1"/>
  <c r="U75" i="1"/>
  <c r="R75" i="1"/>
  <c r="AA74" i="1"/>
  <c r="X74" i="1"/>
  <c r="U74" i="1"/>
  <c r="R74" i="1"/>
  <c r="AA73" i="1"/>
  <c r="X73" i="1"/>
  <c r="U73" i="1"/>
  <c r="R73" i="1"/>
  <c r="AA72" i="1"/>
  <c r="X72" i="1"/>
  <c r="U72" i="1"/>
  <c r="R72" i="1"/>
  <c r="X71" i="1"/>
  <c r="U71" i="1"/>
  <c r="R71" i="1"/>
  <c r="AA70" i="1"/>
  <c r="X70" i="1"/>
  <c r="U70" i="1"/>
  <c r="R70" i="1"/>
  <c r="AA69" i="1"/>
  <c r="X69" i="1"/>
  <c r="U69" i="1"/>
  <c r="AA68" i="1"/>
  <c r="X68" i="1"/>
  <c r="U68" i="1"/>
  <c r="R68" i="1"/>
  <c r="AA67" i="1"/>
  <c r="X67" i="1"/>
  <c r="U67" i="1"/>
  <c r="R67" i="1"/>
  <c r="AA66" i="1"/>
  <c r="X66" i="1"/>
  <c r="U66" i="1"/>
  <c r="R66" i="1"/>
  <c r="AJ65" i="1"/>
  <c r="AA65" i="1"/>
  <c r="X65" i="1"/>
  <c r="U65" i="1"/>
  <c r="R65" i="1"/>
  <c r="AJ64" i="1"/>
  <c r="X64" i="1"/>
  <c r="U64" i="1"/>
  <c r="R64" i="1"/>
  <c r="AA63" i="1"/>
  <c r="X63" i="1"/>
  <c r="U63" i="1"/>
  <c r="R63" i="1"/>
  <c r="AA62" i="1"/>
  <c r="X62" i="1"/>
  <c r="U62" i="1"/>
  <c r="R62" i="1"/>
  <c r="AJ61" i="1"/>
  <c r="AI61" i="1"/>
  <c r="AA61" i="1"/>
  <c r="X61" i="1"/>
  <c r="U61" i="1"/>
  <c r="R61" i="1"/>
  <c r="AJ60" i="1"/>
  <c r="AI60" i="1"/>
  <c r="AA60" i="1"/>
  <c r="X60" i="1"/>
  <c r="U60" i="1"/>
  <c r="R60" i="1"/>
  <c r="AJ59" i="1"/>
  <c r="AI59" i="1"/>
  <c r="AA59" i="1"/>
  <c r="X59" i="1"/>
  <c r="U59" i="1"/>
  <c r="R59" i="1"/>
  <c r="AI58" i="1"/>
  <c r="AA58" i="1"/>
  <c r="X58" i="1"/>
  <c r="U58" i="1"/>
  <c r="R58" i="1"/>
  <c r="AJ57" i="1"/>
  <c r="AI57" i="1"/>
  <c r="AA57" i="1"/>
  <c r="X57" i="1"/>
  <c r="U57" i="1"/>
  <c r="R57" i="1"/>
  <c r="AA56" i="1"/>
  <c r="X56" i="1"/>
  <c r="U56" i="1"/>
  <c r="R56" i="1"/>
  <c r="AJ55" i="1"/>
  <c r="AI55" i="1"/>
  <c r="AA55" i="1"/>
  <c r="X55" i="1"/>
  <c r="U55" i="1"/>
  <c r="R55" i="1"/>
  <c r="AA54" i="1"/>
  <c r="X54" i="1"/>
  <c r="U54" i="1"/>
  <c r="R54" i="1"/>
  <c r="AA53" i="1"/>
  <c r="X53" i="1"/>
  <c r="U53" i="1"/>
  <c r="R53" i="1"/>
  <c r="AA52" i="1"/>
  <c r="X52" i="1"/>
  <c r="U52" i="1"/>
  <c r="R52" i="1"/>
  <c r="AA51" i="1"/>
  <c r="X51" i="1"/>
  <c r="U51" i="1"/>
  <c r="R51" i="1"/>
  <c r="AA50" i="1"/>
  <c r="X50" i="1"/>
  <c r="U50" i="1"/>
  <c r="R50" i="1"/>
  <c r="AA49" i="1"/>
  <c r="X49" i="1"/>
  <c r="U49" i="1"/>
  <c r="R49" i="1"/>
  <c r="AF48" i="1"/>
  <c r="AA48" i="1"/>
  <c r="X48" i="1"/>
  <c r="U48" i="1"/>
  <c r="R48" i="1"/>
  <c r="L48" i="1" s="1"/>
  <c r="AJ47" i="1"/>
  <c r="AI47" i="1"/>
  <c r="X47" i="1"/>
  <c r="U47" i="1"/>
  <c r="AA46" i="1"/>
  <c r="X46" i="1"/>
  <c r="U46" i="1"/>
  <c r="R46" i="1"/>
  <c r="AA45" i="1"/>
  <c r="X45" i="1"/>
  <c r="U45" i="1"/>
  <c r="R45" i="1"/>
  <c r="AA44" i="1"/>
  <c r="X44" i="1"/>
  <c r="U44" i="1"/>
  <c r="R44" i="1"/>
  <c r="AJ43" i="1"/>
  <c r="AI43" i="1"/>
  <c r="X43" i="1"/>
  <c r="U43" i="1"/>
  <c r="R43" i="1"/>
  <c r="X42" i="1"/>
  <c r="U42" i="1"/>
  <c r="R42" i="1"/>
  <c r="X41" i="1"/>
  <c r="U41" i="1"/>
  <c r="R41" i="1"/>
  <c r="AA40" i="1"/>
  <c r="X40" i="1"/>
  <c r="U40" i="1"/>
  <c r="R40" i="1"/>
  <c r="X39" i="1"/>
  <c r="U39" i="1"/>
  <c r="R39" i="1"/>
  <c r="O39" i="1"/>
  <c r="N39" i="1"/>
  <c r="M39" i="1"/>
  <c r="H39" i="1"/>
  <c r="X38" i="1"/>
  <c r="U38" i="1"/>
  <c r="R38" i="1"/>
  <c r="X37" i="1"/>
  <c r="U37" i="1"/>
  <c r="R37" i="1"/>
  <c r="AJ36" i="1"/>
  <c r="AI36" i="1"/>
  <c r="X36" i="1"/>
  <c r="U36" i="1"/>
  <c r="R36" i="1"/>
  <c r="AJ35" i="1"/>
  <c r="AI35" i="1"/>
  <c r="X35" i="1"/>
  <c r="U35" i="1"/>
  <c r="R35" i="1"/>
  <c r="AA34" i="1"/>
  <c r="X34" i="1"/>
  <c r="U34" i="1"/>
  <c r="R34" i="1"/>
  <c r="AJ33" i="1"/>
  <c r="X33" i="1"/>
  <c r="U33" i="1"/>
  <c r="R33" i="1"/>
  <c r="X32" i="1"/>
  <c r="U32" i="1"/>
  <c r="R32" i="1"/>
  <c r="X31" i="1"/>
  <c r="U31" i="1"/>
  <c r="R31" i="1"/>
  <c r="AA30" i="1"/>
  <c r="X30" i="1"/>
  <c r="U30" i="1"/>
  <c r="R30" i="1"/>
  <c r="AJ29" i="1"/>
  <c r="AI29" i="1"/>
  <c r="AA29" i="1"/>
  <c r="X29" i="1"/>
  <c r="U29" i="1"/>
  <c r="R29" i="1"/>
  <c r="AA28" i="1"/>
  <c r="X28" i="1"/>
  <c r="U28" i="1"/>
  <c r="R28" i="1"/>
  <c r="AA27" i="1"/>
  <c r="X27" i="1"/>
  <c r="U27" i="1"/>
  <c r="R27" i="1"/>
  <c r="X26" i="1"/>
  <c r="U26" i="1"/>
  <c r="R26" i="1"/>
  <c r="AA25" i="1"/>
  <c r="X25" i="1"/>
  <c r="U25" i="1"/>
  <c r="R25" i="1"/>
  <c r="AA24" i="1"/>
  <c r="X24" i="1"/>
  <c r="U24" i="1"/>
  <c r="R24" i="1"/>
  <c r="AA23" i="1"/>
  <c r="X23" i="1"/>
  <c r="U23" i="1"/>
  <c r="AA22" i="1"/>
  <c r="X22" i="1"/>
  <c r="U22" i="1"/>
  <c r="AA21" i="1"/>
  <c r="X21" i="1"/>
  <c r="U21" i="1"/>
  <c r="R21" i="1"/>
  <c r="AA20" i="1"/>
  <c r="X20" i="1"/>
  <c r="U20" i="1"/>
  <c r="R20" i="1"/>
  <c r="AA19" i="1"/>
  <c r="X19" i="1"/>
  <c r="U19" i="1"/>
  <c r="R19" i="1"/>
  <c r="AA18" i="1"/>
  <c r="X18" i="1"/>
  <c r="U18" i="1"/>
  <c r="R18" i="1"/>
  <c r="AA17" i="1"/>
  <c r="X17" i="1"/>
  <c r="U17" i="1"/>
  <c r="R17" i="1"/>
  <c r="AA16" i="1"/>
  <c r="X16" i="1"/>
  <c r="U16" i="1"/>
  <c r="R16" i="1"/>
  <c r="AA15" i="1"/>
  <c r="X15" i="1"/>
  <c r="U15" i="1"/>
  <c r="R15" i="1"/>
  <c r="AA14" i="1"/>
  <c r="X14" i="1"/>
  <c r="U14" i="1"/>
  <c r="R14" i="1"/>
  <c r="AA13" i="1"/>
  <c r="X13" i="1"/>
  <c r="U13" i="1"/>
  <c r="R13" i="1"/>
  <c r="AA12" i="1"/>
  <c r="X12" i="1"/>
  <c r="U12" i="1"/>
  <c r="R12" i="1"/>
  <c r="AA11" i="1"/>
  <c r="X11" i="1"/>
  <c r="U11" i="1"/>
  <c r="R11" i="1"/>
  <c r="AA10" i="1"/>
  <c r="X10" i="1"/>
  <c r="U10" i="1"/>
  <c r="R10" i="1"/>
  <c r="AA9" i="1"/>
  <c r="X9" i="1"/>
  <c r="U9" i="1"/>
  <c r="R9" i="1"/>
  <c r="AA8" i="1"/>
  <c r="X8" i="1"/>
  <c r="U8" i="1"/>
  <c r="R8" i="1"/>
  <c r="AA7" i="1"/>
  <c r="X7" i="1"/>
  <c r="U7" i="1"/>
  <c r="R7" i="1"/>
  <c r="AA6" i="1"/>
  <c r="X6" i="1"/>
  <c r="U6" i="1"/>
  <c r="R6" i="1"/>
  <c r="AA5" i="1"/>
  <c r="X5" i="1"/>
  <c r="U5" i="1"/>
  <c r="R5" i="1"/>
  <c r="AA4" i="1"/>
  <c r="X4" i="1"/>
  <c r="U4" i="1"/>
  <c r="R4" i="1"/>
  <c r="AI482" i="1" l="1"/>
  <c r="U370" i="1"/>
  <c r="V482" i="1"/>
  <c r="AJ482" i="1"/>
  <c r="AA361" i="1"/>
  <c r="AB482" i="1"/>
  <c r="X482" i="1"/>
  <c r="AD148" i="1"/>
  <c r="AD151" i="1"/>
  <c r="AA482" i="1"/>
  <c r="AM4" i="1"/>
  <c r="AL4" i="1"/>
  <c r="U482" i="1"/>
  <c r="AD41" i="1"/>
  <c r="AF41" i="1" s="1"/>
  <c r="AD31" i="1"/>
  <c r="L31" i="1" s="1"/>
  <c r="AD469" i="1"/>
  <c r="L469" i="1" s="1"/>
  <c r="AD96" i="1"/>
  <c r="AF96" i="1" s="1"/>
  <c r="AD76" i="1"/>
  <c r="AF76" i="1" s="1"/>
  <c r="AD78" i="1"/>
  <c r="AF78" i="1" s="1"/>
  <c r="AD435" i="1"/>
  <c r="AF435" i="1" s="1"/>
  <c r="AD11" i="1"/>
  <c r="AF11" i="1" s="1"/>
  <c r="AD58" i="1"/>
  <c r="AF58" i="1" s="1"/>
  <c r="AD114" i="1"/>
  <c r="AF114" i="1" s="1"/>
  <c r="AD250" i="1"/>
  <c r="AF250" i="1" s="1"/>
  <c r="AD336" i="1"/>
  <c r="AF336" i="1" s="1"/>
  <c r="AD30" i="1"/>
  <c r="AF30" i="1" s="1"/>
  <c r="AD32" i="1"/>
  <c r="L32" i="1" s="1"/>
  <c r="AD55" i="1"/>
  <c r="L55" i="1" s="1"/>
  <c r="AD56" i="1"/>
  <c r="AF56" i="1" s="1"/>
  <c r="AD72" i="1"/>
  <c r="L72" i="1" s="1"/>
  <c r="AD102" i="1"/>
  <c r="AF102" i="1" s="1"/>
  <c r="AD241" i="1"/>
  <c r="AF241" i="1" s="1"/>
  <c r="AD330" i="1"/>
  <c r="AF330" i="1" s="1"/>
  <c r="AD448" i="1"/>
  <c r="L448" i="1" s="1"/>
  <c r="AD77" i="1"/>
  <c r="AF77" i="1" s="1"/>
  <c r="AD350" i="1"/>
  <c r="AF350" i="1" s="1"/>
  <c r="AD439" i="1"/>
  <c r="AF439" i="1" s="1"/>
  <c r="AD5" i="1"/>
  <c r="AF5" i="1" s="1"/>
  <c r="AD259" i="1"/>
  <c r="AF259" i="1" s="1"/>
  <c r="AD365" i="1"/>
  <c r="AF365" i="1" s="1"/>
  <c r="AD369" i="1"/>
  <c r="L369" i="1" s="1"/>
  <c r="AD109" i="1"/>
  <c r="L109" i="1" s="1"/>
  <c r="AD170" i="1"/>
  <c r="L170" i="1" s="1"/>
  <c r="AD195" i="1"/>
  <c r="L195" i="1" s="1"/>
  <c r="AD230" i="1"/>
  <c r="AF230" i="1" s="1"/>
  <c r="AD352" i="1"/>
  <c r="AF352" i="1" s="1"/>
  <c r="AD34" i="1"/>
  <c r="L34" i="1" s="1"/>
  <c r="AD207" i="1"/>
  <c r="L207" i="1" s="1"/>
  <c r="AD262" i="1"/>
  <c r="AF262" i="1" s="1"/>
  <c r="AD300" i="1"/>
  <c r="AF300" i="1" s="1"/>
  <c r="AD326" i="1"/>
  <c r="AF326" i="1" s="1"/>
  <c r="AD397" i="1"/>
  <c r="AF397" i="1" s="1"/>
  <c r="AD464" i="1"/>
  <c r="AF464" i="1" s="1"/>
  <c r="AD480" i="1"/>
  <c r="AF480" i="1" s="1"/>
  <c r="AD135" i="1"/>
  <c r="L135" i="1" s="1"/>
  <c r="AD233" i="1"/>
  <c r="AF233" i="1" s="1"/>
  <c r="AD242" i="1"/>
  <c r="AF242" i="1" s="1"/>
  <c r="AD361" i="1"/>
  <c r="AF361" i="1" s="1"/>
  <c r="AD107" i="1"/>
  <c r="AF107" i="1" s="1"/>
  <c r="AD200" i="1"/>
  <c r="AF200" i="1" s="1"/>
  <c r="AD404" i="1"/>
  <c r="AF404" i="1" s="1"/>
  <c r="AD407" i="1"/>
  <c r="L407" i="1" s="1"/>
  <c r="AD425" i="1"/>
  <c r="AF425" i="1" s="1"/>
  <c r="AD478" i="1"/>
  <c r="AF478" i="1" s="1"/>
  <c r="AD26" i="1"/>
  <c r="L26" i="1" s="1"/>
  <c r="AD49" i="1"/>
  <c r="AF49" i="1" s="1"/>
  <c r="AD69" i="1"/>
  <c r="L69" i="1" s="1"/>
  <c r="AD71" i="1"/>
  <c r="AF71" i="1" s="1"/>
  <c r="AD79" i="1"/>
  <c r="AF79" i="1" s="1"/>
  <c r="AD94" i="1"/>
  <c r="AF94" i="1" s="1"/>
  <c r="AD187" i="1"/>
  <c r="AF187" i="1" s="1"/>
  <c r="AD210" i="1"/>
  <c r="AF210" i="1" s="1"/>
  <c r="AD213" i="1"/>
  <c r="AF213" i="1" s="1"/>
  <c r="AD216" i="1"/>
  <c r="AF216" i="1" s="1"/>
  <c r="AD219" i="1"/>
  <c r="AF219" i="1" s="1"/>
  <c r="AD222" i="1"/>
  <c r="AF222" i="1" s="1"/>
  <c r="AD225" i="1"/>
  <c r="AF225" i="1" s="1"/>
  <c r="AD228" i="1"/>
  <c r="AF228" i="1" s="1"/>
  <c r="AD248" i="1"/>
  <c r="AF248" i="1" s="1"/>
  <c r="AD251" i="1"/>
  <c r="AF251" i="1" s="1"/>
  <c r="AD291" i="1"/>
  <c r="AF291" i="1" s="1"/>
  <c r="AD325" i="1"/>
  <c r="AF325" i="1" s="1"/>
  <c r="R370" i="1"/>
  <c r="AD370" i="1" s="1"/>
  <c r="AD446" i="1"/>
  <c r="AF446" i="1" s="1"/>
  <c r="AD479" i="1"/>
  <c r="AF479" i="1" s="1"/>
  <c r="AD27" i="1"/>
  <c r="AF27" i="1" s="1"/>
  <c r="AD38" i="1"/>
  <c r="L38" i="1" s="1"/>
  <c r="AD43" i="1"/>
  <c r="AF43" i="1" s="1"/>
  <c r="AD50" i="1"/>
  <c r="AF50" i="1" s="1"/>
  <c r="AD90" i="1"/>
  <c r="AF90" i="1" s="1"/>
  <c r="AD112" i="1"/>
  <c r="AF112" i="1" s="1"/>
  <c r="AD115" i="1"/>
  <c r="AF115" i="1" s="1"/>
  <c r="AD119" i="1"/>
  <c r="AF119" i="1" s="1"/>
  <c r="AD122" i="1"/>
  <c r="AD231" i="1"/>
  <c r="AF231" i="1" s="1"/>
  <c r="AD247" i="1"/>
  <c r="AF247" i="1" s="1"/>
  <c r="AD257" i="1"/>
  <c r="AF257" i="1" s="1"/>
  <c r="AD260" i="1"/>
  <c r="AF260" i="1" s="1"/>
  <c r="AD367" i="1"/>
  <c r="L367" i="1" s="1"/>
  <c r="AD375" i="1"/>
  <c r="AF375" i="1" s="1"/>
  <c r="AD377" i="1"/>
  <c r="AF377" i="1" s="1"/>
  <c r="AD422" i="1"/>
  <c r="AF422" i="1" s="1"/>
  <c r="AD445" i="1"/>
  <c r="AF445" i="1" s="1"/>
  <c r="AD455" i="1"/>
  <c r="AF455" i="1" s="1"/>
  <c r="AD460" i="1"/>
  <c r="AF460" i="1" s="1"/>
  <c r="AD17" i="1"/>
  <c r="AF17" i="1" s="1"/>
  <c r="AD37" i="1"/>
  <c r="L37" i="1" s="1"/>
  <c r="AD64" i="1"/>
  <c r="L64" i="1" s="1"/>
  <c r="AD89" i="1"/>
  <c r="AF89" i="1" s="1"/>
  <c r="AD138" i="1"/>
  <c r="L138" i="1" s="1"/>
  <c r="AD147" i="1"/>
  <c r="AF147" i="1" s="1"/>
  <c r="AD164" i="1"/>
  <c r="L164" i="1" s="1"/>
  <c r="AD180" i="1"/>
  <c r="L180" i="1" s="1"/>
  <c r="AD245" i="1"/>
  <c r="AF245" i="1" s="1"/>
  <c r="AD256" i="1"/>
  <c r="AF256" i="1" s="1"/>
  <c r="AD282" i="1"/>
  <c r="AF282" i="1" s="1"/>
  <c r="AD313" i="1"/>
  <c r="AF313" i="1" s="1"/>
  <c r="AD343" i="1"/>
  <c r="AF343" i="1" s="1"/>
  <c r="AD345" i="1"/>
  <c r="AF345" i="1" s="1"/>
  <c r="AD358" i="1"/>
  <c r="AF358" i="1" s="1"/>
  <c r="AD395" i="1"/>
  <c r="AF395" i="1" s="1"/>
  <c r="AD414" i="1"/>
  <c r="L414" i="1" s="1"/>
  <c r="AD429" i="1"/>
  <c r="AF429" i="1" s="1"/>
  <c r="AD452" i="1"/>
  <c r="AF452" i="1" s="1"/>
  <c r="AD10" i="1"/>
  <c r="L10" i="1" s="1"/>
  <c r="AD108" i="1"/>
  <c r="AF108" i="1" s="1"/>
  <c r="AD136" i="1"/>
  <c r="AF136" i="1" s="1"/>
  <c r="AD158" i="1"/>
  <c r="L158" i="1" s="1"/>
  <c r="AD167" i="1"/>
  <c r="AF167" i="1" s="1"/>
  <c r="AD208" i="1"/>
  <c r="AF208" i="1" s="1"/>
  <c r="AD254" i="1"/>
  <c r="AF254" i="1" s="1"/>
  <c r="AD274" i="1"/>
  <c r="AF274" i="1" s="1"/>
  <c r="AD356" i="1"/>
  <c r="AF356" i="1" s="1"/>
  <c r="AD390" i="1"/>
  <c r="L390" i="1" s="1"/>
  <c r="AD411" i="1"/>
  <c r="L411" i="1" s="1"/>
  <c r="AD427" i="1"/>
  <c r="AF427" i="1" s="1"/>
  <c r="AD6" i="1"/>
  <c r="L6" i="1" s="1"/>
  <c r="AD12" i="1"/>
  <c r="L12" i="1" s="1"/>
  <c r="AD86" i="1"/>
  <c r="AF86" i="1" s="1"/>
  <c r="AD88" i="1"/>
  <c r="AF88" i="1" s="1"/>
  <c r="AD116" i="1"/>
  <c r="AF116" i="1" s="1"/>
  <c r="AD120" i="1"/>
  <c r="AF120" i="1" s="1"/>
  <c r="AD126" i="1"/>
  <c r="AF126" i="1" s="1"/>
  <c r="AD129" i="1"/>
  <c r="AF129" i="1" s="1"/>
  <c r="AD273" i="1"/>
  <c r="AF273" i="1" s="1"/>
  <c r="AD299" i="1"/>
  <c r="AF299" i="1" s="1"/>
  <c r="AD306" i="1"/>
  <c r="AF306" i="1" s="1"/>
  <c r="AD308" i="1"/>
  <c r="L308" i="1" s="1"/>
  <c r="AD332" i="1"/>
  <c r="AF332" i="1" s="1"/>
  <c r="AD334" i="1"/>
  <c r="AF334" i="1" s="1"/>
  <c r="AD438" i="1"/>
  <c r="AD451" i="1"/>
  <c r="AF451" i="1" s="1"/>
  <c r="AD472" i="1"/>
  <c r="L472" i="1" s="1"/>
  <c r="AD7" i="1"/>
  <c r="AF7" i="1" s="1"/>
  <c r="AD16" i="1"/>
  <c r="AF16" i="1" s="1"/>
  <c r="AD39" i="1"/>
  <c r="AF39" i="1" s="1"/>
  <c r="AD47" i="1"/>
  <c r="AF47" i="1" s="1"/>
  <c r="AD54" i="1"/>
  <c r="AF54" i="1" s="1"/>
  <c r="AD33" i="1"/>
  <c r="L33" i="1" s="1"/>
  <c r="AD68" i="1"/>
  <c r="AF68" i="1" s="1"/>
  <c r="AD324" i="1"/>
  <c r="AF324" i="1" s="1"/>
  <c r="AD363" i="1"/>
  <c r="AF363" i="1" s="1"/>
  <c r="AD364" i="1"/>
  <c r="AF364" i="1" s="1"/>
  <c r="AD403" i="1"/>
  <c r="L403" i="1" s="1"/>
  <c r="AD286" i="1"/>
  <c r="AF286" i="1" s="1"/>
  <c r="AD244" i="1"/>
  <c r="AF244" i="1" s="1"/>
  <c r="AD20" i="1"/>
  <c r="AF20" i="1" s="1"/>
  <c r="AD25" i="1"/>
  <c r="AF25" i="1" s="1"/>
  <c r="AD149" i="1"/>
  <c r="AF149" i="1" s="1"/>
  <c r="AD177" i="1"/>
  <c r="AF177" i="1" s="1"/>
  <c r="AD253" i="1"/>
  <c r="AF253" i="1" s="1"/>
  <c r="AD354" i="1"/>
  <c r="AF354" i="1" s="1"/>
  <c r="AD389" i="1"/>
  <c r="AF389" i="1" s="1"/>
  <c r="AD467" i="1"/>
  <c r="AF467" i="1" s="1"/>
  <c r="AD85" i="1"/>
  <c r="AF85" i="1" s="1"/>
  <c r="AD161" i="1"/>
  <c r="AF161" i="1" s="1"/>
  <c r="AD176" i="1"/>
  <c r="L176" i="1" s="1"/>
  <c r="AD197" i="1"/>
  <c r="AF197" i="1" s="1"/>
  <c r="AD240" i="1"/>
  <c r="L240" i="1" s="1"/>
  <c r="AD322" i="1"/>
  <c r="L322" i="1" s="1"/>
  <c r="AD442" i="1"/>
  <c r="AF442" i="1" s="1"/>
  <c r="AD453" i="1"/>
  <c r="AF453" i="1" s="1"/>
  <c r="AD133" i="1"/>
  <c r="AD141" i="1"/>
  <c r="L141" i="1" s="1"/>
  <c r="AD153" i="1"/>
  <c r="AF153" i="1" s="1"/>
  <c r="AD186" i="1"/>
  <c r="AD205" i="1"/>
  <c r="L205" i="1" s="1"/>
  <c r="AD316" i="1"/>
  <c r="AF316" i="1" s="1"/>
  <c r="AD333" i="1"/>
  <c r="AF333" i="1" s="1"/>
  <c r="AD338" i="1"/>
  <c r="AF338" i="1" s="1"/>
  <c r="AD344" i="1"/>
  <c r="AF344" i="1" s="1"/>
  <c r="AD347" i="1"/>
  <c r="AF347" i="1" s="1"/>
  <c r="AD349" i="1"/>
  <c r="AD366" i="1"/>
  <c r="AD376" i="1"/>
  <c r="AF376" i="1" s="1"/>
  <c r="AD379" i="1"/>
  <c r="AF379" i="1" s="1"/>
  <c r="AD415" i="1"/>
  <c r="L415" i="1" s="1"/>
  <c r="AD423" i="1"/>
  <c r="AF423" i="1" s="1"/>
  <c r="AD426" i="1"/>
  <c r="AF426" i="1" s="1"/>
  <c r="AD434" i="1"/>
  <c r="AD450" i="1"/>
  <c r="AD457" i="1"/>
  <c r="AF457" i="1" s="1"/>
  <c r="AD473" i="1"/>
  <c r="L473" i="1" s="1"/>
  <c r="AD475" i="1"/>
  <c r="AF475" i="1" s="1"/>
  <c r="AD192" i="1"/>
  <c r="AF192" i="1" s="1"/>
  <c r="AD234" i="1"/>
  <c r="AF234" i="1" s="1"/>
  <c r="AD266" i="1"/>
  <c r="AF266" i="1" s="1"/>
  <c r="AD275" i="1"/>
  <c r="AF275" i="1" s="1"/>
  <c r="AD331" i="1"/>
  <c r="AF331" i="1" s="1"/>
  <c r="AD399" i="1"/>
  <c r="AF399" i="1" s="1"/>
  <c r="AD22" i="1"/>
  <c r="AF22" i="1" s="1"/>
  <c r="AD28" i="1"/>
  <c r="AF28" i="1" s="1"/>
  <c r="AD51" i="1"/>
  <c r="L51" i="1" s="1"/>
  <c r="AD80" i="1"/>
  <c r="AF80" i="1" s="1"/>
  <c r="AD82" i="1"/>
  <c r="AF82" i="1" s="1"/>
  <c r="AD92" i="1"/>
  <c r="L92" i="1" s="1"/>
  <c r="AD18" i="1"/>
  <c r="AF18" i="1" s="1"/>
  <c r="AD19" i="1"/>
  <c r="L19" i="1" s="1"/>
  <c r="AD35" i="1"/>
  <c r="AF35" i="1" s="1"/>
  <c r="AD67" i="1"/>
  <c r="L67" i="1" s="1"/>
  <c r="AD70" i="1"/>
  <c r="AF70" i="1" s="1"/>
  <c r="AD73" i="1"/>
  <c r="AF73" i="1" s="1"/>
  <c r="AD97" i="1"/>
  <c r="AF97" i="1" s="1"/>
  <c r="AD99" i="1"/>
  <c r="AF99" i="1" s="1"/>
  <c r="AD110" i="1"/>
  <c r="AF110" i="1" s="1"/>
  <c r="AD146" i="1"/>
  <c r="AF146" i="1" s="1"/>
  <c r="AD157" i="1"/>
  <c r="AD179" i="1"/>
  <c r="AD235" i="1"/>
  <c r="AF235" i="1" s="1"/>
  <c r="AD238" i="1"/>
  <c r="AF238" i="1" s="1"/>
  <c r="AD335" i="1"/>
  <c r="AF335" i="1" s="1"/>
  <c r="AD391" i="1"/>
  <c r="AF391" i="1" s="1"/>
  <c r="AD396" i="1"/>
  <c r="L396" i="1" s="1"/>
  <c r="AD428" i="1"/>
  <c r="AF428" i="1" s="1"/>
  <c r="AD433" i="1"/>
  <c r="AF433" i="1" s="1"/>
  <c r="AD436" i="1"/>
  <c r="AF436" i="1" s="1"/>
  <c r="AD461" i="1"/>
  <c r="AF461" i="1" s="1"/>
  <c r="AD465" i="1"/>
  <c r="AF465" i="1" s="1"/>
  <c r="AD468" i="1"/>
  <c r="AF468" i="1" s="1"/>
  <c r="AD481" i="1"/>
  <c r="AF481" i="1" s="1"/>
  <c r="AD137" i="1"/>
  <c r="AF137" i="1" s="1"/>
  <c r="AD144" i="1"/>
  <c r="L144" i="1" s="1"/>
  <c r="AD202" i="1"/>
  <c r="AF202" i="1" s="1"/>
  <c r="AD327" i="1"/>
  <c r="AF327" i="1" s="1"/>
  <c r="AD24" i="1"/>
  <c r="L24" i="1" s="1"/>
  <c r="AD44" i="1"/>
  <c r="AF44" i="1" s="1"/>
  <c r="AD8" i="1"/>
  <c r="AF8" i="1" s="1"/>
  <c r="AD40" i="1"/>
  <c r="L40" i="1" s="1"/>
  <c r="AD42" i="1"/>
  <c r="AF42" i="1" s="1"/>
  <c r="AD57" i="1"/>
  <c r="AF57" i="1" s="1"/>
  <c r="AD60" i="1"/>
  <c r="AF60" i="1" s="1"/>
  <c r="AD62" i="1"/>
  <c r="L62" i="1" s="1"/>
  <c r="AD95" i="1"/>
  <c r="L95" i="1" s="1"/>
  <c r="AD103" i="1"/>
  <c r="AF103" i="1" s="1"/>
  <c r="AD105" i="1"/>
  <c r="AF105" i="1" s="1"/>
  <c r="AD113" i="1"/>
  <c r="AF113" i="1" s="1"/>
  <c r="AD124" i="1"/>
  <c r="AF124" i="1" s="1"/>
  <c r="AD125" i="1"/>
  <c r="AF125" i="1" s="1"/>
  <c r="AD139" i="1"/>
  <c r="AF139" i="1" s="1"/>
  <c r="AD155" i="1"/>
  <c r="AF155" i="1" s="1"/>
  <c r="AD271" i="1"/>
  <c r="L271" i="1" s="1"/>
  <c r="AD314" i="1"/>
  <c r="AF314" i="1" s="1"/>
  <c r="AD382" i="1"/>
  <c r="AF382" i="1" s="1"/>
  <c r="AD386" i="1"/>
  <c r="AF386" i="1" s="1"/>
  <c r="AD393" i="1"/>
  <c r="AD398" i="1"/>
  <c r="L398" i="1" s="1"/>
  <c r="AD65" i="1"/>
  <c r="AF65" i="1" s="1"/>
  <c r="AD169" i="1"/>
  <c r="AD183" i="1"/>
  <c r="AF183" i="1" s="1"/>
  <c r="AD190" i="1"/>
  <c r="AF190" i="1" s="1"/>
  <c r="AD209" i="1"/>
  <c r="AF209" i="1" s="1"/>
  <c r="AD237" i="1"/>
  <c r="L237" i="1" s="1"/>
  <c r="AD342" i="1"/>
  <c r="AF342" i="1" s="1"/>
  <c r="AD471" i="1"/>
  <c r="AF471" i="1" s="1"/>
  <c r="AD13" i="1"/>
  <c r="AF13" i="1" s="1"/>
  <c r="AD36" i="1"/>
  <c r="AF36" i="1" s="1"/>
  <c r="AD4" i="1"/>
  <c r="AD14" i="1"/>
  <c r="AF14" i="1" s="1"/>
  <c r="AD23" i="1"/>
  <c r="AF23" i="1" s="1"/>
  <c r="AD29" i="1"/>
  <c r="AF29" i="1" s="1"/>
  <c r="AD45" i="1"/>
  <c r="AF45" i="1" s="1"/>
  <c r="AD52" i="1"/>
  <c r="AF52" i="1" s="1"/>
  <c r="AD59" i="1"/>
  <c r="L59" i="1" s="1"/>
  <c r="AD61" i="1"/>
  <c r="L61" i="1" s="1"/>
  <c r="AD63" i="1"/>
  <c r="AF63" i="1" s="1"/>
  <c r="AD75" i="1"/>
  <c r="L75" i="1" s="1"/>
  <c r="AD81" i="1"/>
  <c r="AF81" i="1" s="1"/>
  <c r="AD83" i="1"/>
  <c r="AF83" i="1" s="1"/>
  <c r="AD91" i="1"/>
  <c r="AF91" i="1" s="1"/>
  <c r="AD101" i="1"/>
  <c r="L101" i="1" s="1"/>
  <c r="AD117" i="1"/>
  <c r="AF117" i="1" s="1"/>
  <c r="AD131" i="1"/>
  <c r="AF131" i="1" s="1"/>
  <c r="AD134" i="1"/>
  <c r="L134" i="1" s="1"/>
  <c r="AD142" i="1"/>
  <c r="AF142" i="1" s="1"/>
  <c r="AF148" i="1"/>
  <c r="AD163" i="1"/>
  <c r="AF163" i="1" s="1"/>
  <c r="AD173" i="1"/>
  <c r="AF173" i="1" s="1"/>
  <c r="AD174" i="1"/>
  <c r="L174" i="1" s="1"/>
  <c r="AD184" i="1"/>
  <c r="AF184" i="1" s="1"/>
  <c r="AD194" i="1"/>
  <c r="AF194" i="1" s="1"/>
  <c r="AD199" i="1"/>
  <c r="AF199" i="1" s="1"/>
  <c r="AD206" i="1"/>
  <c r="AD268" i="1"/>
  <c r="L268" i="1" s="1"/>
  <c r="AD283" i="1"/>
  <c r="AD290" i="1"/>
  <c r="AF290" i="1" s="1"/>
  <c r="AD318" i="1"/>
  <c r="AF318" i="1" s="1"/>
  <c r="AD339" i="1"/>
  <c r="L339" i="1" s="1"/>
  <c r="AD388" i="1"/>
  <c r="AF388" i="1" s="1"/>
  <c r="AD418" i="1"/>
  <c r="L418" i="1" s="1"/>
  <c r="AD420" i="1"/>
  <c r="AF420" i="1" s="1"/>
  <c r="AD456" i="1"/>
  <c r="AF456" i="1" s="1"/>
  <c r="AD458" i="1"/>
  <c r="AF458" i="1" s="1"/>
  <c r="L462" i="1"/>
  <c r="AD474" i="1"/>
  <c r="L474" i="1" s="1"/>
  <c r="AD143" i="1"/>
  <c r="AF143" i="1" s="1"/>
  <c r="AD175" i="1"/>
  <c r="AF175" i="1" s="1"/>
  <c r="AD191" i="1"/>
  <c r="AF191" i="1" s="1"/>
  <c r="AD193" i="1"/>
  <c r="AF193" i="1" s="1"/>
  <c r="AD198" i="1"/>
  <c r="AF198" i="1" s="1"/>
  <c r="AD203" i="1"/>
  <c r="AF203" i="1" s="1"/>
  <c r="AD212" i="1"/>
  <c r="AF212" i="1" s="1"/>
  <c r="AD215" i="1"/>
  <c r="AF215" i="1" s="1"/>
  <c r="AD218" i="1"/>
  <c r="AF218" i="1" s="1"/>
  <c r="AD221" i="1"/>
  <c r="AF221" i="1" s="1"/>
  <c r="AD224" i="1"/>
  <c r="AF224" i="1" s="1"/>
  <c r="AD227" i="1"/>
  <c r="AF227" i="1" s="1"/>
  <c r="AD303" i="1"/>
  <c r="AF303" i="1" s="1"/>
  <c r="AD321" i="1"/>
  <c r="AF321" i="1" s="1"/>
  <c r="AD368" i="1"/>
  <c r="AF368" i="1" s="1"/>
  <c r="AD159" i="1"/>
  <c r="AF159" i="1" s="1"/>
  <c r="AD160" i="1"/>
  <c r="AD165" i="1"/>
  <c r="AF165" i="1" s="1"/>
  <c r="AD166" i="1"/>
  <c r="AD171" i="1"/>
  <c r="AF171" i="1" s="1"/>
  <c r="AD172" i="1"/>
  <c r="AD269" i="1"/>
  <c r="AF269" i="1" s="1"/>
  <c r="AD270" i="1"/>
  <c r="AF270" i="1" s="1"/>
  <c r="AD431" i="1"/>
  <c r="AF431" i="1" s="1"/>
  <c r="AD121" i="1"/>
  <c r="AF121" i="1" s="1"/>
  <c r="AD211" i="1"/>
  <c r="AF211" i="1" s="1"/>
  <c r="AD214" i="1"/>
  <c r="AF214" i="1" s="1"/>
  <c r="AD217" i="1"/>
  <c r="AF217" i="1" s="1"/>
  <c r="AD220" i="1"/>
  <c r="AF220" i="1" s="1"/>
  <c r="AD223" i="1"/>
  <c r="AF223" i="1" s="1"/>
  <c r="AD226" i="1"/>
  <c r="AF226" i="1" s="1"/>
  <c r="AD87" i="1"/>
  <c r="AD100" i="1"/>
  <c r="AD106" i="1"/>
  <c r="AD118" i="1"/>
  <c r="AD130" i="1"/>
  <c r="AD150" i="1"/>
  <c r="AF150" i="1" s="1"/>
  <c r="AD152" i="1"/>
  <c r="AD156" i="1"/>
  <c r="AD178" i="1"/>
  <c r="AF178" i="1" s="1"/>
  <c r="AD181" i="1"/>
  <c r="AF181" i="1" s="1"/>
  <c r="AD185" i="1"/>
  <c r="AF185" i="1" s="1"/>
  <c r="AF264" i="1"/>
  <c r="L264" i="1"/>
  <c r="AD9" i="1"/>
  <c r="AF9" i="1" s="1"/>
  <c r="AD15" i="1"/>
  <c r="AF15" i="1" s="1"/>
  <c r="AD21" i="1"/>
  <c r="AF21" i="1" s="1"/>
  <c r="AD46" i="1"/>
  <c r="AF46" i="1" s="1"/>
  <c r="AD53" i="1"/>
  <c r="AF53" i="1" s="1"/>
  <c r="AD66" i="1"/>
  <c r="AF66" i="1" s="1"/>
  <c r="AD74" i="1"/>
  <c r="AF74" i="1" s="1"/>
  <c r="AD84" i="1"/>
  <c r="AF84" i="1" s="1"/>
  <c r="AD93" i="1"/>
  <c r="AD111" i="1"/>
  <c r="AD123" i="1"/>
  <c r="AF123" i="1" s="1"/>
  <c r="AD132" i="1"/>
  <c r="AF132" i="1" s="1"/>
  <c r="AD140" i="1"/>
  <c r="AF140" i="1" s="1"/>
  <c r="AD154" i="1"/>
  <c r="AF154" i="1" s="1"/>
  <c r="AD162" i="1"/>
  <c r="AF162" i="1" s="1"/>
  <c r="AD168" i="1"/>
  <c r="AF168" i="1" s="1"/>
  <c r="AD289" i="1"/>
  <c r="AF289" i="1" s="1"/>
  <c r="AD328" i="1"/>
  <c r="AF328" i="1" s="1"/>
  <c r="AD329" i="1"/>
  <c r="AF329" i="1" s="1"/>
  <c r="AD98" i="1"/>
  <c r="AD104" i="1"/>
  <c r="AD127" i="1"/>
  <c r="AF127" i="1" s="1"/>
  <c r="AD128" i="1"/>
  <c r="AD189" i="1"/>
  <c r="AD196" i="1"/>
  <c r="AD272" i="1"/>
  <c r="AF272" i="1" s="1"/>
  <c r="AD182" i="1"/>
  <c r="AF182" i="1" s="1"/>
  <c r="AD188" i="1"/>
  <c r="AF188" i="1" s="1"/>
  <c r="AD201" i="1"/>
  <c r="AF201" i="1" s="1"/>
  <c r="AD204" i="1"/>
  <c r="AD319" i="1"/>
  <c r="AF319" i="1" s="1"/>
  <c r="AD320" i="1"/>
  <c r="AF320" i="1" s="1"/>
  <c r="AD410" i="1"/>
  <c r="AF410" i="1" s="1"/>
  <c r="AD229" i="1"/>
  <c r="AD232" i="1"/>
  <c r="AD243" i="1"/>
  <c r="AD246" i="1"/>
  <c r="AD249" i="1"/>
  <c r="AD252" i="1"/>
  <c r="AD255" i="1"/>
  <c r="AD258" i="1"/>
  <c r="AD261" i="1"/>
  <c r="AD263" i="1"/>
  <c r="AD278" i="1"/>
  <c r="AF278" i="1" s="1"/>
  <c r="AD294" i="1"/>
  <c r="AF294" i="1" s="1"/>
  <c r="AD307" i="1"/>
  <c r="AD311" i="1"/>
  <c r="AF311" i="1" s="1"/>
  <c r="AD312" i="1"/>
  <c r="AF312" i="1" s="1"/>
  <c r="AD341" i="1"/>
  <c r="AF341" i="1" s="1"/>
  <c r="AD362" i="1"/>
  <c r="AF362" i="1" s="1"/>
  <c r="AD392" i="1"/>
  <c r="AF392" i="1" s="1"/>
  <c r="AD236" i="1"/>
  <c r="AF236" i="1" s="1"/>
  <c r="AD239" i="1"/>
  <c r="AF239" i="1" s="1"/>
  <c r="AD281" i="1"/>
  <c r="AF281" i="1" s="1"/>
  <c r="AD310" i="1"/>
  <c r="AF310" i="1" s="1"/>
  <c r="AD265" i="1"/>
  <c r="AD277" i="1"/>
  <c r="AF277" i="1" s="1"/>
  <c r="AD292" i="1"/>
  <c r="AF292" i="1" s="1"/>
  <c r="AD297" i="1"/>
  <c r="AF297" i="1" s="1"/>
  <c r="AD315" i="1"/>
  <c r="AF315" i="1" s="1"/>
  <c r="AD323" i="1"/>
  <c r="AF323" i="1" s="1"/>
  <c r="AD380" i="1"/>
  <c r="AF380" i="1" s="1"/>
  <c r="AD383" i="1"/>
  <c r="AF383" i="1" s="1"/>
  <c r="AD385" i="1"/>
  <c r="AF385" i="1" s="1"/>
  <c r="AF406" i="1"/>
  <c r="L406" i="1"/>
  <c r="AD276" i="1"/>
  <c r="AF276" i="1" s="1"/>
  <c r="AD304" i="1"/>
  <c r="AF304" i="1" s="1"/>
  <c r="AD305" i="1"/>
  <c r="AF305" i="1" s="1"/>
  <c r="AD348" i="1"/>
  <c r="AF348" i="1" s="1"/>
  <c r="AD279" i="1"/>
  <c r="AD295" i="1"/>
  <c r="AD298" i="1"/>
  <c r="AD301" i="1"/>
  <c r="AD340" i="1"/>
  <c r="AF340" i="1" s="1"/>
  <c r="AD360" i="1"/>
  <c r="AF360" i="1" s="1"/>
  <c r="AD372" i="1"/>
  <c r="AF372" i="1" s="1"/>
  <c r="AD384" i="1"/>
  <c r="AF384" i="1" s="1"/>
  <c r="L387" i="1"/>
  <c r="AD400" i="1"/>
  <c r="AF400" i="1" s="1"/>
  <c r="AD402" i="1"/>
  <c r="AF402" i="1" s="1"/>
  <c r="AD430" i="1"/>
  <c r="AF430" i="1" s="1"/>
  <c r="AD284" i="1"/>
  <c r="AF284" i="1" s="1"/>
  <c r="AD287" i="1"/>
  <c r="AF287" i="1" s="1"/>
  <c r="AD374" i="1"/>
  <c r="AF374" i="1" s="1"/>
  <c r="AD394" i="1"/>
  <c r="AF394" i="1" s="1"/>
  <c r="AD424" i="1"/>
  <c r="AF424" i="1" s="1"/>
  <c r="AD441" i="1"/>
  <c r="AF441" i="1" s="1"/>
  <c r="AD449" i="1"/>
  <c r="AF449" i="1" s="1"/>
  <c r="AD459" i="1"/>
  <c r="AF459" i="1" s="1"/>
  <c r="AD477" i="1"/>
  <c r="AF477" i="1" s="1"/>
  <c r="AD267" i="1"/>
  <c r="AD280" i="1"/>
  <c r="AD293" i="1"/>
  <c r="AD296" i="1"/>
  <c r="AD302" i="1"/>
  <c r="AD309" i="1"/>
  <c r="AF371" i="1"/>
  <c r="L371" i="1"/>
  <c r="AD463" i="1"/>
  <c r="AF463" i="1" s="1"/>
  <c r="L470" i="1"/>
  <c r="AF470" i="1"/>
  <c r="AD285" i="1"/>
  <c r="AD288" i="1"/>
  <c r="AD317" i="1"/>
  <c r="AD337" i="1"/>
  <c r="AD346" i="1"/>
  <c r="AF346" i="1" s="1"/>
  <c r="AD359" i="1"/>
  <c r="AF359" i="1" s="1"/>
  <c r="AD373" i="1"/>
  <c r="AD378" i="1"/>
  <c r="AF378" i="1" s="1"/>
  <c r="L381" i="1"/>
  <c r="AD401" i="1"/>
  <c r="AD421" i="1"/>
  <c r="AD437" i="1"/>
  <c r="AD476" i="1"/>
  <c r="AF476" i="1" s="1"/>
  <c r="AD353" i="1"/>
  <c r="AD357" i="1"/>
  <c r="AD408" i="1"/>
  <c r="AD413" i="1"/>
  <c r="AF413" i="1" s="1"/>
  <c r="AD417" i="1"/>
  <c r="AD443" i="1"/>
  <c r="AD416" i="1"/>
  <c r="AF416" i="1" s="1"/>
  <c r="AD454" i="1"/>
  <c r="AF454" i="1" s="1"/>
  <c r="AD440" i="1"/>
  <c r="AF440" i="1" s="1"/>
  <c r="AD466" i="1"/>
  <c r="AF466" i="1" s="1"/>
  <c r="AD351" i="1"/>
  <c r="AD355" i="1"/>
  <c r="AD405" i="1"/>
  <c r="AF405" i="1" s="1"/>
  <c r="AD409" i="1"/>
  <c r="AF409" i="1" s="1"/>
  <c r="AD412" i="1"/>
  <c r="AF412" i="1" s="1"/>
  <c r="AD419" i="1"/>
  <c r="AD444" i="1"/>
  <c r="AD447" i="1"/>
  <c r="AF447" i="1" s="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80" i="1"/>
  <c r="AM481" i="1"/>
  <c r="AK5" i="1"/>
  <c r="AL5" i="1"/>
  <c r="AK6" i="1"/>
  <c r="AL6" i="1"/>
  <c r="AK7" i="1"/>
  <c r="AL7" i="1"/>
  <c r="AK8" i="1"/>
  <c r="AL8" i="1"/>
  <c r="AK9" i="1"/>
  <c r="AL9" i="1"/>
  <c r="AK10" i="1"/>
  <c r="AL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K111" i="1"/>
  <c r="AL111" i="1"/>
  <c r="AK112" i="1"/>
  <c r="AL112" i="1"/>
  <c r="AK113" i="1"/>
  <c r="AL113" i="1"/>
  <c r="AK114" i="1"/>
  <c r="AL114" i="1"/>
  <c r="AK115" i="1"/>
  <c r="AL115" i="1"/>
  <c r="AK116" i="1"/>
  <c r="AL116" i="1"/>
  <c r="AK117" i="1"/>
  <c r="AL117" i="1"/>
  <c r="AK118" i="1"/>
  <c r="AL118" i="1"/>
  <c r="AK119" i="1"/>
  <c r="AL119" i="1"/>
  <c r="AK120" i="1"/>
  <c r="AL120" i="1"/>
  <c r="AK121" i="1"/>
  <c r="AL121" i="1"/>
  <c r="AK122" i="1"/>
  <c r="AL122" i="1"/>
  <c r="AK123" i="1"/>
  <c r="AL123" i="1"/>
  <c r="AK124" i="1"/>
  <c r="AL124" i="1"/>
  <c r="AK125" i="1"/>
  <c r="AL125" i="1"/>
  <c r="AK126" i="1"/>
  <c r="AL126" i="1"/>
  <c r="AK127" i="1"/>
  <c r="AL127" i="1"/>
  <c r="AK128" i="1"/>
  <c r="AL128" i="1"/>
  <c r="AK129" i="1"/>
  <c r="AL129" i="1"/>
  <c r="AK130" i="1"/>
  <c r="AL130" i="1"/>
  <c r="AK131" i="1"/>
  <c r="AL131" i="1"/>
  <c r="AK132" i="1"/>
  <c r="AL132" i="1"/>
  <c r="AK133" i="1"/>
  <c r="AL133" i="1"/>
  <c r="AK134" i="1"/>
  <c r="AL134" i="1"/>
  <c r="AK135" i="1"/>
  <c r="AL135" i="1"/>
  <c r="AK136" i="1"/>
  <c r="AL136" i="1"/>
  <c r="AK137" i="1"/>
  <c r="AL137" i="1"/>
  <c r="AK138" i="1"/>
  <c r="AL138" i="1"/>
  <c r="AK139" i="1"/>
  <c r="AL139" i="1"/>
  <c r="AK140" i="1"/>
  <c r="AL140" i="1"/>
  <c r="AK141" i="1"/>
  <c r="AL141" i="1"/>
  <c r="AK142" i="1"/>
  <c r="AL142" i="1"/>
  <c r="AK143" i="1"/>
  <c r="AL143" i="1"/>
  <c r="AK144" i="1"/>
  <c r="AL144" i="1"/>
  <c r="AK145" i="1"/>
  <c r="AL145" i="1"/>
  <c r="AK146" i="1"/>
  <c r="AL146" i="1"/>
  <c r="AK147" i="1"/>
  <c r="AL147" i="1"/>
  <c r="AK148" i="1"/>
  <c r="AL148" i="1"/>
  <c r="AK149" i="1"/>
  <c r="AL149" i="1"/>
  <c r="AK150" i="1"/>
  <c r="AL150" i="1"/>
  <c r="AK151" i="1"/>
  <c r="AL151" i="1"/>
  <c r="AK152" i="1"/>
  <c r="AL152" i="1"/>
  <c r="AK153" i="1"/>
  <c r="AL153" i="1"/>
  <c r="AK154" i="1"/>
  <c r="AL154" i="1"/>
  <c r="AK155" i="1"/>
  <c r="AL155" i="1"/>
  <c r="AK156" i="1"/>
  <c r="AL156" i="1"/>
  <c r="AK157" i="1"/>
  <c r="AL157" i="1"/>
  <c r="AK158" i="1"/>
  <c r="AL158" i="1"/>
  <c r="AK159" i="1"/>
  <c r="AL159" i="1"/>
  <c r="AK160" i="1"/>
  <c r="AL160" i="1"/>
  <c r="AK161" i="1"/>
  <c r="AL161" i="1"/>
  <c r="AK162" i="1"/>
  <c r="AL162" i="1"/>
  <c r="AK163" i="1"/>
  <c r="AL163" i="1"/>
  <c r="AK164" i="1"/>
  <c r="AL164" i="1"/>
  <c r="AK165" i="1"/>
  <c r="AL165" i="1"/>
  <c r="AK166" i="1"/>
  <c r="AL166" i="1"/>
  <c r="AK167" i="1"/>
  <c r="AL167" i="1"/>
  <c r="AK168" i="1"/>
  <c r="AL168" i="1"/>
  <c r="AK169" i="1"/>
  <c r="AL169" i="1"/>
  <c r="AK170" i="1"/>
  <c r="AL170" i="1"/>
  <c r="AK171" i="1"/>
  <c r="AL171" i="1"/>
  <c r="AK172" i="1"/>
  <c r="AL172" i="1"/>
  <c r="AK173" i="1"/>
  <c r="AL173" i="1"/>
  <c r="AK174" i="1"/>
  <c r="AL174" i="1"/>
  <c r="AK175" i="1"/>
  <c r="AL175" i="1"/>
  <c r="AK176" i="1"/>
  <c r="AL176" i="1"/>
  <c r="AK177" i="1"/>
  <c r="AL177" i="1"/>
  <c r="AK178" i="1"/>
  <c r="AL178" i="1"/>
  <c r="AK179" i="1"/>
  <c r="AL179" i="1"/>
  <c r="AK180" i="1"/>
  <c r="AL180" i="1"/>
  <c r="AK181" i="1"/>
  <c r="AL181" i="1"/>
  <c r="AK182" i="1"/>
  <c r="AL182" i="1"/>
  <c r="AK183" i="1"/>
  <c r="AL183" i="1"/>
  <c r="AK184" i="1"/>
  <c r="AL184" i="1"/>
  <c r="AK185" i="1"/>
  <c r="AL185" i="1"/>
  <c r="AK186" i="1"/>
  <c r="AL186" i="1"/>
  <c r="AK187" i="1"/>
  <c r="AL187" i="1"/>
  <c r="AK188" i="1"/>
  <c r="AL188" i="1"/>
  <c r="AK189" i="1"/>
  <c r="AL189" i="1"/>
  <c r="AK190" i="1"/>
  <c r="AL190" i="1"/>
  <c r="AK191" i="1"/>
  <c r="AL191" i="1"/>
  <c r="AK192" i="1"/>
  <c r="AL192" i="1"/>
  <c r="AK193" i="1"/>
  <c r="AL193" i="1"/>
  <c r="AK194" i="1"/>
  <c r="AL194" i="1"/>
  <c r="AK195" i="1"/>
  <c r="AL195" i="1"/>
  <c r="AK196" i="1"/>
  <c r="AL196" i="1"/>
  <c r="AK197" i="1"/>
  <c r="AL197" i="1"/>
  <c r="AK198" i="1"/>
  <c r="AL198" i="1"/>
  <c r="AK199" i="1"/>
  <c r="AL199" i="1"/>
  <c r="AK200" i="1"/>
  <c r="AL200" i="1"/>
  <c r="AK201" i="1"/>
  <c r="AL201" i="1"/>
  <c r="AK202" i="1"/>
  <c r="AL202" i="1"/>
  <c r="AK203" i="1"/>
  <c r="AL203" i="1"/>
  <c r="AK204" i="1"/>
  <c r="AL204" i="1"/>
  <c r="AK205" i="1"/>
  <c r="AL205" i="1"/>
  <c r="AK206" i="1"/>
  <c r="AL206" i="1"/>
  <c r="AK207" i="1"/>
  <c r="AL207" i="1"/>
  <c r="AK208" i="1"/>
  <c r="AL208" i="1"/>
  <c r="AK209" i="1"/>
  <c r="AL209" i="1"/>
  <c r="AK210" i="1"/>
  <c r="AL210" i="1"/>
  <c r="AK211" i="1"/>
  <c r="AL211" i="1"/>
  <c r="AK212" i="1"/>
  <c r="AL212" i="1"/>
  <c r="AK213" i="1"/>
  <c r="AL213" i="1"/>
  <c r="AK214" i="1"/>
  <c r="AL214" i="1"/>
  <c r="AK215" i="1"/>
  <c r="AL215" i="1"/>
  <c r="AK216" i="1"/>
  <c r="AL216" i="1"/>
  <c r="AK217" i="1"/>
  <c r="AL217" i="1"/>
  <c r="AK218" i="1"/>
  <c r="AL218" i="1"/>
  <c r="AK219" i="1"/>
  <c r="AL219" i="1"/>
  <c r="AK220" i="1"/>
  <c r="AL220" i="1"/>
  <c r="AK221" i="1"/>
  <c r="AL221" i="1"/>
  <c r="AK222" i="1"/>
  <c r="AL222" i="1"/>
  <c r="AK223" i="1"/>
  <c r="AL223" i="1"/>
  <c r="AK224" i="1"/>
  <c r="AL224" i="1"/>
  <c r="AK225" i="1"/>
  <c r="AL225" i="1"/>
  <c r="AK226" i="1"/>
  <c r="AL226" i="1"/>
  <c r="AK227" i="1"/>
  <c r="AL227" i="1"/>
  <c r="AK228" i="1"/>
  <c r="AL228" i="1"/>
  <c r="AK229" i="1"/>
  <c r="AL229" i="1"/>
  <c r="AK230" i="1"/>
  <c r="AL230" i="1"/>
  <c r="AK231" i="1"/>
  <c r="AL231" i="1"/>
  <c r="AK232" i="1"/>
  <c r="AL232" i="1"/>
  <c r="AK233" i="1"/>
  <c r="AL233" i="1"/>
  <c r="AK234" i="1"/>
  <c r="AL234" i="1"/>
  <c r="AK235" i="1"/>
  <c r="AL235" i="1"/>
  <c r="AK236" i="1"/>
  <c r="AL236" i="1"/>
  <c r="AK237" i="1"/>
  <c r="AL237" i="1"/>
  <c r="AK238" i="1"/>
  <c r="AL238" i="1"/>
  <c r="AK239" i="1"/>
  <c r="AL239" i="1"/>
  <c r="AK240" i="1"/>
  <c r="AL240" i="1"/>
  <c r="AK241" i="1"/>
  <c r="AL241" i="1"/>
  <c r="AK242" i="1"/>
  <c r="AL242" i="1"/>
  <c r="AK243" i="1"/>
  <c r="AL243" i="1"/>
  <c r="AK244" i="1"/>
  <c r="AL244" i="1"/>
  <c r="AK245" i="1"/>
  <c r="AL245" i="1"/>
  <c r="AK246" i="1"/>
  <c r="AL246" i="1"/>
  <c r="AK247" i="1"/>
  <c r="AL247" i="1"/>
  <c r="AK248" i="1"/>
  <c r="AL248" i="1"/>
  <c r="AK249" i="1"/>
  <c r="AL249" i="1"/>
  <c r="AK250" i="1"/>
  <c r="AL250" i="1"/>
  <c r="AK251" i="1"/>
  <c r="AL251" i="1"/>
  <c r="AK252" i="1"/>
  <c r="AL252" i="1"/>
  <c r="AK253" i="1"/>
  <c r="AL253" i="1"/>
  <c r="AK254" i="1"/>
  <c r="AL254" i="1"/>
  <c r="AK255" i="1"/>
  <c r="AL255" i="1"/>
  <c r="AK256" i="1"/>
  <c r="AL256" i="1"/>
  <c r="AK257" i="1"/>
  <c r="AL257" i="1"/>
  <c r="AK258" i="1"/>
  <c r="AL258" i="1"/>
  <c r="AK259" i="1"/>
  <c r="AL259" i="1"/>
  <c r="AK260" i="1"/>
  <c r="AL260" i="1"/>
  <c r="AK261" i="1"/>
  <c r="AL261" i="1"/>
  <c r="AK262" i="1"/>
  <c r="AL262" i="1"/>
  <c r="AK263" i="1"/>
  <c r="AL263" i="1"/>
  <c r="AK264" i="1"/>
  <c r="AL264" i="1"/>
  <c r="AK265" i="1"/>
  <c r="AL265" i="1"/>
  <c r="AK266" i="1"/>
  <c r="AL266" i="1"/>
  <c r="AK267" i="1"/>
  <c r="AL267" i="1"/>
  <c r="AK268" i="1"/>
  <c r="AL268" i="1"/>
  <c r="AK269" i="1"/>
  <c r="AL269" i="1"/>
  <c r="AK270" i="1"/>
  <c r="AL270" i="1"/>
  <c r="AK271" i="1"/>
  <c r="AL271" i="1"/>
  <c r="AK272" i="1"/>
  <c r="AL272" i="1"/>
  <c r="AK273" i="1"/>
  <c r="AL273" i="1"/>
  <c r="AK274" i="1"/>
  <c r="AL274" i="1"/>
  <c r="AK275" i="1"/>
  <c r="AL275" i="1"/>
  <c r="AK276" i="1"/>
  <c r="AL276" i="1"/>
  <c r="AK277" i="1"/>
  <c r="AL277" i="1"/>
  <c r="AK278" i="1"/>
  <c r="AL278" i="1"/>
  <c r="AK279" i="1"/>
  <c r="AL279" i="1"/>
  <c r="AK280" i="1"/>
  <c r="AL280" i="1"/>
  <c r="AK281" i="1"/>
  <c r="AL281" i="1"/>
  <c r="AK282" i="1"/>
  <c r="AL282" i="1"/>
  <c r="AK283" i="1"/>
  <c r="AL283" i="1"/>
  <c r="AK284" i="1"/>
  <c r="AL284" i="1"/>
  <c r="AK285" i="1"/>
  <c r="AL285" i="1"/>
  <c r="AK286" i="1"/>
  <c r="AL286" i="1"/>
  <c r="AK287" i="1"/>
  <c r="AL287" i="1"/>
  <c r="AK288" i="1"/>
  <c r="AL288" i="1"/>
  <c r="AK289" i="1"/>
  <c r="AL289" i="1"/>
  <c r="AK290" i="1"/>
  <c r="AL290" i="1"/>
  <c r="AK291" i="1"/>
  <c r="AL291" i="1"/>
  <c r="AK292" i="1"/>
  <c r="AL292" i="1"/>
  <c r="AK293" i="1"/>
  <c r="AL293" i="1"/>
  <c r="AK294" i="1"/>
  <c r="AL294" i="1"/>
  <c r="AK295" i="1"/>
  <c r="AL295" i="1"/>
  <c r="AK296" i="1"/>
  <c r="AL296" i="1"/>
  <c r="AK297" i="1"/>
  <c r="AL297" i="1"/>
  <c r="AK298" i="1"/>
  <c r="AL298" i="1"/>
  <c r="AK299" i="1"/>
  <c r="AL299" i="1"/>
  <c r="AK300" i="1"/>
  <c r="AL300" i="1"/>
  <c r="AK301" i="1"/>
  <c r="AL301" i="1"/>
  <c r="AK302" i="1"/>
  <c r="AL302" i="1"/>
  <c r="AK303" i="1"/>
  <c r="AL303" i="1"/>
  <c r="AK304" i="1"/>
  <c r="AL304" i="1"/>
  <c r="AK305" i="1"/>
  <c r="AL305" i="1"/>
  <c r="AK306" i="1"/>
  <c r="AL306" i="1"/>
  <c r="AK307" i="1"/>
  <c r="AL307" i="1"/>
  <c r="AK308" i="1"/>
  <c r="AL308" i="1"/>
  <c r="AK309" i="1"/>
  <c r="AL309" i="1"/>
  <c r="AK310" i="1"/>
  <c r="AL310" i="1"/>
  <c r="AK311" i="1"/>
  <c r="AL311" i="1"/>
  <c r="AK312" i="1"/>
  <c r="AL312" i="1"/>
  <c r="AK313" i="1"/>
  <c r="AL313" i="1"/>
  <c r="AK314" i="1"/>
  <c r="AL314" i="1"/>
  <c r="AK315" i="1"/>
  <c r="AL315" i="1"/>
  <c r="AK316" i="1"/>
  <c r="AL316" i="1"/>
  <c r="AK317" i="1"/>
  <c r="AL317" i="1"/>
  <c r="AK318" i="1"/>
  <c r="AL318" i="1"/>
  <c r="AK319" i="1"/>
  <c r="AL319" i="1"/>
  <c r="AK320" i="1"/>
  <c r="AL320" i="1"/>
  <c r="AK321" i="1"/>
  <c r="AL321" i="1"/>
  <c r="AK322" i="1"/>
  <c r="AL322" i="1"/>
  <c r="AK323" i="1"/>
  <c r="AL323" i="1"/>
  <c r="AK324" i="1"/>
  <c r="AL324" i="1"/>
  <c r="AK325" i="1"/>
  <c r="AL325" i="1"/>
  <c r="AK326" i="1"/>
  <c r="AL326" i="1"/>
  <c r="AK327" i="1"/>
  <c r="AL327" i="1"/>
  <c r="AK328" i="1"/>
  <c r="AL328" i="1"/>
  <c r="AK329" i="1"/>
  <c r="AL329" i="1"/>
  <c r="AK330" i="1"/>
  <c r="AL330" i="1"/>
  <c r="AK331" i="1"/>
  <c r="AL331" i="1"/>
  <c r="AK332" i="1"/>
  <c r="AL332" i="1"/>
  <c r="AK333" i="1"/>
  <c r="AL333" i="1"/>
  <c r="AK334" i="1"/>
  <c r="AL334" i="1"/>
  <c r="AK335" i="1"/>
  <c r="AL335" i="1"/>
  <c r="AK336" i="1"/>
  <c r="AL336" i="1"/>
  <c r="AK337" i="1"/>
  <c r="AL337" i="1"/>
  <c r="AK338" i="1"/>
  <c r="AL338" i="1"/>
  <c r="AK339" i="1"/>
  <c r="AL339" i="1"/>
  <c r="AK340" i="1"/>
  <c r="AL340" i="1"/>
  <c r="AK341" i="1"/>
  <c r="AL341" i="1"/>
  <c r="AK342" i="1"/>
  <c r="AL342" i="1"/>
  <c r="AK343" i="1"/>
  <c r="AL343" i="1"/>
  <c r="AK344" i="1"/>
  <c r="AL344" i="1"/>
  <c r="AK345" i="1"/>
  <c r="AL345" i="1"/>
  <c r="AK346" i="1"/>
  <c r="AL346" i="1"/>
  <c r="AK347" i="1"/>
  <c r="AL347" i="1"/>
  <c r="AK348" i="1"/>
  <c r="AL348" i="1"/>
  <c r="AK349" i="1"/>
  <c r="AL349" i="1"/>
  <c r="AK350" i="1"/>
  <c r="AL350" i="1"/>
  <c r="AK351" i="1"/>
  <c r="AL351" i="1"/>
  <c r="AK352" i="1"/>
  <c r="AL352" i="1"/>
  <c r="AK353" i="1"/>
  <c r="AL353" i="1"/>
  <c r="AK354" i="1"/>
  <c r="AL354" i="1"/>
  <c r="AK355" i="1"/>
  <c r="AL355" i="1"/>
  <c r="AK356" i="1"/>
  <c r="AL356" i="1"/>
  <c r="AK357" i="1"/>
  <c r="AL357" i="1"/>
  <c r="AK358" i="1"/>
  <c r="AL358" i="1"/>
  <c r="AK359" i="1"/>
  <c r="AL359" i="1"/>
  <c r="AK360" i="1"/>
  <c r="AL360" i="1"/>
  <c r="AK361" i="1"/>
  <c r="AL361" i="1"/>
  <c r="AK362" i="1"/>
  <c r="AL362" i="1"/>
  <c r="AK363" i="1"/>
  <c r="AL363" i="1"/>
  <c r="AK364" i="1"/>
  <c r="AL364" i="1"/>
  <c r="AK365" i="1"/>
  <c r="AL365" i="1"/>
  <c r="AK366" i="1"/>
  <c r="AL366" i="1"/>
  <c r="AK367" i="1"/>
  <c r="AL367" i="1"/>
  <c r="AK368" i="1"/>
  <c r="AL368" i="1"/>
  <c r="AK369" i="1"/>
  <c r="AL369" i="1"/>
  <c r="AL370" i="1"/>
  <c r="AK371" i="1"/>
  <c r="AL371" i="1"/>
  <c r="AK372" i="1"/>
  <c r="AL372" i="1"/>
  <c r="AK373" i="1"/>
  <c r="AL373" i="1"/>
  <c r="AK374" i="1"/>
  <c r="AL374" i="1"/>
  <c r="AK375" i="1"/>
  <c r="AL375" i="1"/>
  <c r="AK376" i="1"/>
  <c r="AL376" i="1"/>
  <c r="AK377" i="1"/>
  <c r="AL377" i="1"/>
  <c r="AK378" i="1"/>
  <c r="AL378" i="1"/>
  <c r="AK379" i="1"/>
  <c r="AL379" i="1"/>
  <c r="AK380" i="1"/>
  <c r="AL380" i="1"/>
  <c r="AK381" i="1"/>
  <c r="AL381" i="1"/>
  <c r="AK382" i="1"/>
  <c r="AL382" i="1"/>
  <c r="AK383" i="1"/>
  <c r="AL383" i="1"/>
  <c r="AK384" i="1"/>
  <c r="AL384" i="1"/>
  <c r="AK385" i="1"/>
  <c r="AL385" i="1"/>
  <c r="AK386" i="1"/>
  <c r="AL386" i="1"/>
  <c r="AK387" i="1"/>
  <c r="AL387" i="1"/>
  <c r="AK388" i="1"/>
  <c r="AL388" i="1"/>
  <c r="AK389" i="1"/>
  <c r="AL389" i="1"/>
  <c r="AK390" i="1"/>
  <c r="AL390" i="1"/>
  <c r="AK391" i="1"/>
  <c r="AL391" i="1"/>
  <c r="AK392" i="1"/>
  <c r="AL392" i="1"/>
  <c r="AK393" i="1"/>
  <c r="AL393" i="1"/>
  <c r="AK394" i="1"/>
  <c r="AL394" i="1"/>
  <c r="AK395" i="1"/>
  <c r="AL395" i="1"/>
  <c r="AK396" i="1"/>
  <c r="AL396" i="1"/>
  <c r="AK397" i="1"/>
  <c r="AL397" i="1"/>
  <c r="AK398" i="1"/>
  <c r="AL398" i="1"/>
  <c r="AK399" i="1"/>
  <c r="AL399" i="1"/>
  <c r="AK400" i="1"/>
  <c r="AL400" i="1"/>
  <c r="AK401" i="1"/>
  <c r="AL401" i="1"/>
  <c r="AK402" i="1"/>
  <c r="AL402" i="1"/>
  <c r="AK403" i="1"/>
  <c r="AL403" i="1"/>
  <c r="AK404" i="1"/>
  <c r="AL404" i="1"/>
  <c r="AK405" i="1"/>
  <c r="AL405" i="1"/>
  <c r="AK406" i="1"/>
  <c r="AL406" i="1"/>
  <c r="AK407" i="1"/>
  <c r="AL407" i="1"/>
  <c r="AK408" i="1"/>
  <c r="AL408" i="1"/>
  <c r="AK409" i="1"/>
  <c r="AL409" i="1"/>
  <c r="AK410" i="1"/>
  <c r="AL410" i="1"/>
  <c r="AK411" i="1"/>
  <c r="AL411" i="1"/>
  <c r="AK412" i="1"/>
  <c r="AL412" i="1"/>
  <c r="AK413" i="1"/>
  <c r="AL413" i="1"/>
  <c r="AK414" i="1"/>
  <c r="AL414" i="1"/>
  <c r="AK415" i="1"/>
  <c r="AL415" i="1"/>
  <c r="AK416" i="1"/>
  <c r="AL416" i="1"/>
  <c r="AK417" i="1"/>
  <c r="AL417" i="1"/>
  <c r="AK418" i="1"/>
  <c r="AL418" i="1"/>
  <c r="AK419" i="1"/>
  <c r="AL419" i="1"/>
  <c r="AK420" i="1"/>
  <c r="AL420" i="1"/>
  <c r="AK421" i="1"/>
  <c r="AL421" i="1"/>
  <c r="AK422" i="1"/>
  <c r="AL422" i="1"/>
  <c r="AK423" i="1"/>
  <c r="AL423" i="1"/>
  <c r="AK424" i="1"/>
  <c r="AL424" i="1"/>
  <c r="AK425" i="1"/>
  <c r="AL425" i="1"/>
  <c r="AK426" i="1"/>
  <c r="AL426" i="1"/>
  <c r="AK427" i="1"/>
  <c r="AL427" i="1"/>
  <c r="AK428" i="1"/>
  <c r="AL428" i="1"/>
  <c r="AK429" i="1"/>
  <c r="AL429" i="1"/>
  <c r="AK430" i="1"/>
  <c r="AL430" i="1"/>
  <c r="AK431" i="1"/>
  <c r="AL431" i="1"/>
  <c r="AK432" i="1"/>
  <c r="AL432" i="1"/>
  <c r="AK433" i="1"/>
  <c r="AL433" i="1"/>
  <c r="AK434" i="1"/>
  <c r="AL434" i="1"/>
  <c r="AK435" i="1"/>
  <c r="AL435" i="1"/>
  <c r="AK436" i="1"/>
  <c r="AL436" i="1"/>
  <c r="AK437" i="1"/>
  <c r="AL437" i="1"/>
  <c r="AK438" i="1"/>
  <c r="AL438" i="1"/>
  <c r="AK439" i="1"/>
  <c r="AL439" i="1"/>
  <c r="AK440" i="1"/>
  <c r="AL440" i="1"/>
  <c r="AK441" i="1"/>
  <c r="AL441" i="1"/>
  <c r="AK442" i="1"/>
  <c r="AL442" i="1"/>
  <c r="AK443" i="1"/>
  <c r="AL443" i="1"/>
  <c r="AK444" i="1"/>
  <c r="AL444" i="1"/>
  <c r="AK445" i="1"/>
  <c r="AL445" i="1"/>
  <c r="AK446" i="1"/>
  <c r="AL446" i="1"/>
  <c r="AK447" i="1"/>
  <c r="AL447" i="1"/>
  <c r="AK448" i="1"/>
  <c r="AL448" i="1"/>
  <c r="AK449" i="1"/>
  <c r="AL449" i="1"/>
  <c r="AK450" i="1"/>
  <c r="AL450" i="1"/>
  <c r="AK451" i="1"/>
  <c r="AL451" i="1"/>
  <c r="AK452" i="1"/>
  <c r="AL452" i="1"/>
  <c r="AK453" i="1"/>
  <c r="AL453" i="1"/>
  <c r="AK454" i="1"/>
  <c r="AL454" i="1"/>
  <c r="AK455" i="1"/>
  <c r="AL455" i="1"/>
  <c r="AK456" i="1"/>
  <c r="AL456" i="1"/>
  <c r="AK457" i="1"/>
  <c r="AL457" i="1"/>
  <c r="AK458" i="1"/>
  <c r="AL458" i="1"/>
  <c r="AK459" i="1"/>
  <c r="AL459" i="1"/>
  <c r="AK460" i="1"/>
  <c r="AL460" i="1"/>
  <c r="AK461" i="1"/>
  <c r="AL461" i="1"/>
  <c r="AK462" i="1"/>
  <c r="AL462" i="1"/>
  <c r="AK463" i="1"/>
  <c r="AL463" i="1"/>
  <c r="AK464" i="1"/>
  <c r="AL464" i="1"/>
  <c r="AK465" i="1"/>
  <c r="AL465" i="1"/>
  <c r="AK466" i="1"/>
  <c r="AL466" i="1"/>
  <c r="AK467" i="1"/>
  <c r="AL467" i="1"/>
  <c r="AK468" i="1"/>
  <c r="AL468" i="1"/>
  <c r="AK469" i="1"/>
  <c r="AL469" i="1"/>
  <c r="AK470" i="1"/>
  <c r="AL470" i="1"/>
  <c r="AK471" i="1"/>
  <c r="AL471" i="1"/>
  <c r="AK472" i="1"/>
  <c r="AL472" i="1"/>
  <c r="AK473" i="1"/>
  <c r="AL473" i="1"/>
  <c r="AK474" i="1"/>
  <c r="AL474" i="1"/>
  <c r="AK475" i="1"/>
  <c r="AL475" i="1"/>
  <c r="AK476" i="1"/>
  <c r="AL476" i="1"/>
  <c r="AK477" i="1"/>
  <c r="AL477" i="1"/>
  <c r="AK478" i="1"/>
  <c r="AL478" i="1"/>
  <c r="AK479" i="1"/>
  <c r="AL479" i="1"/>
  <c r="AK480" i="1"/>
  <c r="AL480" i="1"/>
  <c r="AK4" i="1"/>
  <c r="L4" i="1" l="1"/>
  <c r="AD482" i="1"/>
  <c r="L41" i="1"/>
  <c r="R482" i="1"/>
  <c r="L420" i="1"/>
  <c r="AF109" i="1"/>
  <c r="AF10" i="1"/>
  <c r="L446" i="1"/>
  <c r="L90" i="1"/>
  <c r="AF170" i="1"/>
  <c r="L228" i="1"/>
  <c r="AF472" i="1"/>
  <c r="AF469" i="1"/>
  <c r="L200" i="1"/>
  <c r="L345" i="1"/>
  <c r="AF6" i="1"/>
  <c r="L350" i="1"/>
  <c r="AF37" i="1"/>
  <c r="L338" i="1"/>
  <c r="AF31" i="1"/>
  <c r="L254" i="1"/>
  <c r="L231" i="1"/>
  <c r="AF207" i="1"/>
  <c r="L480" i="1"/>
  <c r="L457" i="1"/>
  <c r="L356" i="1"/>
  <c r="L300" i="1"/>
  <c r="L380" i="1"/>
  <c r="L378" i="1"/>
  <c r="L435" i="1"/>
  <c r="L136" i="1"/>
  <c r="L251" i="1"/>
  <c r="L30" i="1"/>
  <c r="L49" i="1"/>
  <c r="L129" i="1"/>
  <c r="AF195" i="1"/>
  <c r="L27" i="1"/>
  <c r="L395" i="1"/>
  <c r="L78" i="1"/>
  <c r="AM370" i="1"/>
  <c r="AF369" i="1"/>
  <c r="L225" i="1"/>
  <c r="AF141" i="1"/>
  <c r="L120" i="1"/>
  <c r="L250" i="1"/>
  <c r="AF72" i="1"/>
  <c r="L375" i="1"/>
  <c r="L209" i="1"/>
  <c r="L244" i="1"/>
  <c r="L96" i="1"/>
  <c r="L77" i="1"/>
  <c r="L377" i="1"/>
  <c r="AF414" i="1"/>
  <c r="AF180" i="1"/>
  <c r="AF33" i="1"/>
  <c r="L56" i="1"/>
  <c r="L114" i="1"/>
  <c r="L391" i="1"/>
  <c r="L42" i="1"/>
  <c r="AF158" i="1"/>
  <c r="L99" i="1"/>
  <c r="L442" i="1"/>
  <c r="L107" i="1"/>
  <c r="L348" i="1"/>
  <c r="L334" i="1"/>
  <c r="AF308" i="1"/>
  <c r="L115" i="1"/>
  <c r="L71" i="1"/>
  <c r="L23" i="1"/>
  <c r="L471" i="1"/>
  <c r="AF40" i="1"/>
  <c r="L79" i="1"/>
  <c r="L326" i="1"/>
  <c r="L291" i="1"/>
  <c r="L465" i="1"/>
  <c r="L314" i="1"/>
  <c r="L242" i="1"/>
  <c r="L397" i="1"/>
  <c r="L185" i="1"/>
  <c r="L149" i="1"/>
  <c r="L36" i="1"/>
  <c r="AF448" i="1"/>
  <c r="L330" i="1"/>
  <c r="AF61" i="1"/>
  <c r="L119" i="1"/>
  <c r="L7" i="1"/>
  <c r="L210" i="1"/>
  <c r="L455" i="1"/>
  <c r="L219" i="1"/>
  <c r="L184" i="1"/>
  <c r="AF403" i="1"/>
  <c r="L45" i="1"/>
  <c r="AF367" i="1"/>
  <c r="L331" i="1"/>
  <c r="AF268" i="1"/>
  <c r="L230" i="1"/>
  <c r="L286" i="1"/>
  <c r="L273" i="1"/>
  <c r="L282" i="1"/>
  <c r="L478" i="1"/>
  <c r="AF38" i="1"/>
  <c r="AF19" i="1"/>
  <c r="AF138" i="1"/>
  <c r="L11" i="1"/>
  <c r="AF473" i="1"/>
  <c r="AF415" i="1"/>
  <c r="L460" i="1"/>
  <c r="L342" i="1"/>
  <c r="AF407" i="1"/>
  <c r="L241" i="1"/>
  <c r="L365" i="1"/>
  <c r="L233" i="1"/>
  <c r="L124" i="1"/>
  <c r="L256" i="1"/>
  <c r="L165" i="1"/>
  <c r="L89" i="1"/>
  <c r="L142" i="1"/>
  <c r="AF34" i="1"/>
  <c r="L35" i="1"/>
  <c r="L86" i="1"/>
  <c r="L76" i="1"/>
  <c r="L456" i="1"/>
  <c r="L325" i="1"/>
  <c r="L361" i="1"/>
  <c r="L80" i="1"/>
  <c r="AF411" i="1"/>
  <c r="L352" i="1"/>
  <c r="L167" i="1"/>
  <c r="AF396" i="1"/>
  <c r="L344" i="1"/>
  <c r="AF240" i="1"/>
  <c r="L94" i="1"/>
  <c r="L58" i="1"/>
  <c r="L341" i="1"/>
  <c r="L222" i="1"/>
  <c r="L290" i="1"/>
  <c r="L113" i="1"/>
  <c r="AF95" i="1"/>
  <c r="L445" i="1"/>
  <c r="L452" i="1"/>
  <c r="L439" i="1"/>
  <c r="L464" i="1"/>
  <c r="AF390" i="1"/>
  <c r="L260" i="1"/>
  <c r="L410" i="1"/>
  <c r="L216" i="1"/>
  <c r="AF135" i="1"/>
  <c r="L102" i="1"/>
  <c r="L234" i="1"/>
  <c r="L259" i="1"/>
  <c r="L43" i="1"/>
  <c r="AF32" i="1"/>
  <c r="L224" i="1"/>
  <c r="AF59" i="1"/>
  <c r="L18" i="1"/>
  <c r="L73" i="1"/>
  <c r="L65" i="1"/>
  <c r="L25" i="1"/>
  <c r="L5" i="1"/>
  <c r="L81" i="1"/>
  <c r="L475" i="1"/>
  <c r="L177" i="1"/>
  <c r="AF24" i="1"/>
  <c r="AF12" i="1"/>
  <c r="AF474" i="1"/>
  <c r="L388" i="1"/>
  <c r="L332" i="1"/>
  <c r="L336" i="1"/>
  <c r="L315" i="1"/>
  <c r="L424" i="1"/>
  <c r="L402" i="1"/>
  <c r="L428" i="1"/>
  <c r="L117" i="1"/>
  <c r="L91" i="1"/>
  <c r="L220" i="1"/>
  <c r="AF62" i="1"/>
  <c r="L28" i="1"/>
  <c r="L425" i="1"/>
  <c r="L379" i="1"/>
  <c r="L358" i="1"/>
  <c r="L404" i="1"/>
  <c r="L274" i="1"/>
  <c r="L335" i="1"/>
  <c r="L275" i="1"/>
  <c r="L245" i="1"/>
  <c r="AF271" i="1"/>
  <c r="AF134" i="1"/>
  <c r="L146" i="1"/>
  <c r="L105" i="1"/>
  <c r="L88" i="1"/>
  <c r="L303" i="1"/>
  <c r="AF164" i="1"/>
  <c r="L153" i="1"/>
  <c r="L85" i="1"/>
  <c r="L197" i="1"/>
  <c r="L394" i="1"/>
  <c r="AF418" i="1"/>
  <c r="L294" i="1"/>
  <c r="L213" i="1"/>
  <c r="L126" i="1"/>
  <c r="L247" i="1"/>
  <c r="L83" i="1"/>
  <c r="AF4" i="1"/>
  <c r="L16" i="1"/>
  <c r="L108" i="1"/>
  <c r="L52" i="1"/>
  <c r="L422" i="1"/>
  <c r="L262" i="1"/>
  <c r="AF398" i="1"/>
  <c r="AF237" i="1"/>
  <c r="AF69" i="1"/>
  <c r="AF51" i="1"/>
  <c r="L194" i="1"/>
  <c r="L479" i="1"/>
  <c r="L155" i="1"/>
  <c r="AF64" i="1"/>
  <c r="L70" i="1"/>
  <c r="L9" i="1"/>
  <c r="L466" i="1"/>
  <c r="L374" i="1"/>
  <c r="L360" i="1"/>
  <c r="L103" i="1"/>
  <c r="L112" i="1"/>
  <c r="L143" i="1"/>
  <c r="L376" i="1"/>
  <c r="L116" i="1"/>
  <c r="L50" i="1"/>
  <c r="L13" i="1"/>
  <c r="AF122" i="1"/>
  <c r="L122" i="1"/>
  <c r="L453" i="1"/>
  <c r="L412" i="1"/>
  <c r="L451" i="1"/>
  <c r="L436" i="1"/>
  <c r="L382" i="1"/>
  <c r="L316" i="1"/>
  <c r="L347" i="1"/>
  <c r="L389" i="1"/>
  <c r="L405" i="1"/>
  <c r="L343" i="1"/>
  <c r="L235" i="1"/>
  <c r="L257" i="1"/>
  <c r="L248" i="1"/>
  <c r="L173" i="1"/>
  <c r="AF144" i="1"/>
  <c r="L110" i="1"/>
  <c r="AF26" i="1"/>
  <c r="L321" i="1"/>
  <c r="L227" i="1"/>
  <c r="L60" i="1"/>
  <c r="L54" i="1"/>
  <c r="L57" i="1"/>
  <c r="L68" i="1"/>
  <c r="AF438" i="1"/>
  <c r="L438" i="1"/>
  <c r="L8" i="1"/>
  <c r="L44" i="1"/>
  <c r="L364" i="1"/>
  <c r="L427" i="1"/>
  <c r="L187" i="1"/>
  <c r="AK370" i="1"/>
  <c r="L429" i="1"/>
  <c r="L433" i="1"/>
  <c r="L313" i="1"/>
  <c r="L385" i="1"/>
  <c r="L299" i="1"/>
  <c r="L311" i="1"/>
  <c r="L284" i="1"/>
  <c r="L161" i="1"/>
  <c r="L208" i="1"/>
  <c r="L147" i="1"/>
  <c r="L137" i="1"/>
  <c r="L306" i="1"/>
  <c r="L413" i="1"/>
  <c r="L292" i="1"/>
  <c r="L297" i="1"/>
  <c r="L278" i="1"/>
  <c r="AF67" i="1"/>
  <c r="L84" i="1"/>
  <c r="L17" i="1"/>
  <c r="L461" i="1"/>
  <c r="L151" i="1"/>
  <c r="AF151" i="1"/>
  <c r="L47" i="1"/>
  <c r="L206" i="1"/>
  <c r="AF206" i="1"/>
  <c r="AF393" i="1"/>
  <c r="L393" i="1"/>
  <c r="L29" i="1"/>
  <c r="L349" i="1"/>
  <c r="AF349" i="1"/>
  <c r="L97" i="1"/>
  <c r="AF157" i="1"/>
  <c r="L157" i="1"/>
  <c r="L186" i="1"/>
  <c r="AF186" i="1"/>
  <c r="L447" i="1"/>
  <c r="L426" i="1"/>
  <c r="L324" i="1"/>
  <c r="L323" i="1"/>
  <c r="L310" i="1"/>
  <c r="L392" i="1"/>
  <c r="L333" i="1"/>
  <c r="L266" i="1"/>
  <c r="AF339" i="1"/>
  <c r="L178" i="1"/>
  <c r="L150" i="1"/>
  <c r="L211" i="1"/>
  <c r="L121" i="1"/>
  <c r="L253" i="1"/>
  <c r="L148" i="1"/>
  <c r="L175" i="1"/>
  <c r="L131" i="1"/>
  <c r="AF75" i="1"/>
  <c r="L39" i="1"/>
  <c r="AF169" i="1"/>
  <c r="L169" i="1"/>
  <c r="L14" i="1"/>
  <c r="L467" i="1"/>
  <c r="L199" i="1"/>
  <c r="L327" i="1"/>
  <c r="L399" i="1"/>
  <c r="L459" i="1"/>
  <c r="L386" i="1"/>
  <c r="L238" i="1"/>
  <c r="L362" i="1"/>
  <c r="L423" i="1"/>
  <c r="AF322" i="1"/>
  <c r="AF176" i="1"/>
  <c r="L218" i="1"/>
  <c r="L125" i="1"/>
  <c r="L21" i="1"/>
  <c r="L22" i="1"/>
  <c r="AF283" i="1"/>
  <c r="L283" i="1"/>
  <c r="L202" i="1"/>
  <c r="L192" i="1"/>
  <c r="L481" i="1"/>
  <c r="L168" i="1"/>
  <c r="L346" i="1"/>
  <c r="L318" i="1"/>
  <c r="L363" i="1"/>
  <c r="L281" i="1"/>
  <c r="L354" i="1"/>
  <c r="L183" i="1"/>
  <c r="AF101" i="1"/>
  <c r="L20" i="1"/>
  <c r="AF92" i="1"/>
  <c r="L458" i="1"/>
  <c r="L450" i="1"/>
  <c r="AF450" i="1"/>
  <c r="AF133" i="1"/>
  <c r="L133" i="1"/>
  <c r="L82" i="1"/>
  <c r="L190" i="1"/>
  <c r="L163" i="1"/>
  <c r="L179" i="1"/>
  <c r="AF179" i="1"/>
  <c r="L384" i="1"/>
  <c r="L468" i="1"/>
  <c r="L454" i="1"/>
  <c r="L416" i="1"/>
  <c r="L359" i="1"/>
  <c r="L463" i="1"/>
  <c r="L272" i="1"/>
  <c r="L127" i="1"/>
  <c r="AF174" i="1"/>
  <c r="L182" i="1"/>
  <c r="AF205" i="1"/>
  <c r="L269" i="1"/>
  <c r="L215" i="1"/>
  <c r="L193" i="1"/>
  <c r="L140" i="1"/>
  <c r="L15" i="1"/>
  <c r="L63" i="1"/>
  <c r="L434" i="1"/>
  <c r="AF434" i="1"/>
  <c r="AF366" i="1"/>
  <c r="L366" i="1"/>
  <c r="L139" i="1"/>
  <c r="AF419" i="1"/>
  <c r="L419" i="1"/>
  <c r="AF370" i="1"/>
  <c r="L370" i="1"/>
  <c r="AF307" i="1"/>
  <c r="L307" i="1"/>
  <c r="L111" i="1"/>
  <c r="AF111" i="1"/>
  <c r="L440" i="1"/>
  <c r="L417" i="1"/>
  <c r="AF417" i="1"/>
  <c r="AF437" i="1"/>
  <c r="L437" i="1"/>
  <c r="L305" i="1"/>
  <c r="L383" i="1"/>
  <c r="L277" i="1"/>
  <c r="L320" i="1"/>
  <c r="L329" i="1"/>
  <c r="L162" i="1"/>
  <c r="L156" i="1"/>
  <c r="AF156" i="1"/>
  <c r="L226" i="1"/>
  <c r="L217" i="1"/>
  <c r="L171" i="1"/>
  <c r="L159" i="1"/>
  <c r="L203" i="1"/>
  <c r="L191" i="1"/>
  <c r="L261" i="1"/>
  <c r="AF261" i="1"/>
  <c r="L357" i="1"/>
  <c r="AF357" i="1"/>
  <c r="AF373" i="1"/>
  <c r="L373" i="1"/>
  <c r="L317" i="1"/>
  <c r="AF317" i="1"/>
  <c r="L309" i="1"/>
  <c r="AF309" i="1"/>
  <c r="L280" i="1"/>
  <c r="AF280" i="1"/>
  <c r="L301" i="1"/>
  <c r="AF301" i="1"/>
  <c r="L258" i="1"/>
  <c r="AF258" i="1"/>
  <c r="L249" i="1"/>
  <c r="AF249" i="1"/>
  <c r="L104" i="1"/>
  <c r="AF104" i="1"/>
  <c r="L132" i="1"/>
  <c r="L130" i="1"/>
  <c r="AF130" i="1"/>
  <c r="L106" i="1"/>
  <c r="AF106" i="1"/>
  <c r="L270" i="1"/>
  <c r="L166" i="1"/>
  <c r="AF166" i="1"/>
  <c r="L188" i="1"/>
  <c r="L123" i="1"/>
  <c r="L239" i="1"/>
  <c r="L409" i="1"/>
  <c r="AF355" i="1"/>
  <c r="L355" i="1"/>
  <c r="L353" i="1"/>
  <c r="AF353" i="1"/>
  <c r="L302" i="1"/>
  <c r="AF302" i="1"/>
  <c r="AF267" i="1"/>
  <c r="L267" i="1"/>
  <c r="L449" i="1"/>
  <c r="L304" i="1"/>
  <c r="L312" i="1"/>
  <c r="L232" i="1"/>
  <c r="AF232" i="1"/>
  <c r="L319" i="1"/>
  <c r="L98" i="1"/>
  <c r="AF98" i="1"/>
  <c r="L328" i="1"/>
  <c r="L154" i="1"/>
  <c r="L93" i="1"/>
  <c r="AF93" i="1"/>
  <c r="L181" i="1"/>
  <c r="L152" i="1"/>
  <c r="AF152" i="1"/>
  <c r="L87" i="1"/>
  <c r="AF87" i="1"/>
  <c r="L236" i="1"/>
  <c r="L223" i="1"/>
  <c r="L214" i="1"/>
  <c r="L198" i="1"/>
  <c r="L279" i="1"/>
  <c r="AF279" i="1"/>
  <c r="L243" i="1"/>
  <c r="AF243" i="1"/>
  <c r="AF204" i="1"/>
  <c r="L204" i="1"/>
  <c r="AF444" i="1"/>
  <c r="L444" i="1"/>
  <c r="AF351" i="1"/>
  <c r="L351" i="1"/>
  <c r="AF443" i="1"/>
  <c r="L443" i="1"/>
  <c r="AF408" i="1"/>
  <c r="L408" i="1"/>
  <c r="AF421" i="1"/>
  <c r="L421" i="1"/>
  <c r="L288" i="1"/>
  <c r="AF288" i="1"/>
  <c r="L296" i="1"/>
  <c r="AF296" i="1"/>
  <c r="L477" i="1"/>
  <c r="L400" i="1"/>
  <c r="L372" i="1"/>
  <c r="L340" i="1"/>
  <c r="L298" i="1"/>
  <c r="AF298" i="1"/>
  <c r="L276" i="1"/>
  <c r="L265" i="1"/>
  <c r="AF265" i="1"/>
  <c r="L263" i="1"/>
  <c r="AF263" i="1"/>
  <c r="L255" i="1"/>
  <c r="AF255" i="1"/>
  <c r="L246" i="1"/>
  <c r="AF246" i="1"/>
  <c r="AF196" i="1"/>
  <c r="L196" i="1"/>
  <c r="L128" i="1"/>
  <c r="AF128" i="1"/>
  <c r="L289" i="1"/>
  <c r="L201" i="1"/>
  <c r="L118" i="1"/>
  <c r="AF118" i="1"/>
  <c r="L368" i="1"/>
  <c r="L221" i="1"/>
  <c r="L212" i="1"/>
  <c r="L66" i="1"/>
  <c r="L74" i="1"/>
  <c r="L46" i="1"/>
  <c r="L252" i="1"/>
  <c r="AF252" i="1"/>
  <c r="L476" i="1"/>
  <c r="AF401" i="1"/>
  <c r="L401" i="1"/>
  <c r="L337" i="1"/>
  <c r="AF337" i="1"/>
  <c r="L285" i="1"/>
  <c r="AF285" i="1"/>
  <c r="L293" i="1"/>
  <c r="AF293" i="1"/>
  <c r="L441" i="1"/>
  <c r="L430" i="1"/>
  <c r="L295" i="1"/>
  <c r="AF295" i="1"/>
  <c r="L287" i="1"/>
  <c r="L229" i="1"/>
  <c r="AF229" i="1"/>
  <c r="AF189" i="1"/>
  <c r="L189" i="1"/>
  <c r="L100" i="1"/>
  <c r="AF100" i="1"/>
  <c r="L431" i="1"/>
  <c r="L172" i="1"/>
  <c r="AF172" i="1"/>
  <c r="L160" i="1"/>
  <c r="AF160" i="1"/>
  <c r="L53" i="1"/>
  <c r="AF482" i="1" l="1"/>
</calcChain>
</file>

<file path=xl/sharedStrings.xml><?xml version="1.0" encoding="utf-8"?>
<sst xmlns="http://schemas.openxmlformats.org/spreadsheetml/2006/main" count="5826" uniqueCount="1866">
  <si>
    <t>Nr. crt.</t>
  </si>
  <si>
    <t>Cod MySMIS</t>
  </si>
  <si>
    <t>Cod SIPOCA</t>
  </si>
  <si>
    <t>Axă prioritară/ Prioritate de investiţii</t>
  </si>
  <si>
    <t>Cod apel</t>
  </si>
  <si>
    <t>Titlu proiect</t>
  </si>
  <si>
    <t>Denumire beneficiar</t>
  </si>
  <si>
    <t>Denumire parteneri</t>
  </si>
  <si>
    <t>Rezumat proiect</t>
  </si>
  <si>
    <t>Data de începere a proiectului</t>
  </si>
  <si>
    <t>Data de finalizare a proiectului</t>
  </si>
  <si>
    <t>Rata de cofinanțare UE</t>
  </si>
  <si>
    <t xml:space="preserve">Regiune </t>
  </si>
  <si>
    <t>Județ</t>
  </si>
  <si>
    <t>Localitate</t>
  </si>
  <si>
    <t>Tip beneficiar</t>
  </si>
  <si>
    <t>Categorie de intervenție</t>
  </si>
  <si>
    <t>Valoarea ELIGIBILĂ a proiectului (LEI)</t>
  </si>
  <si>
    <t>Valoarea eligibilă a proiectului</t>
  </si>
  <si>
    <t>Total valoare proiect</t>
  </si>
  <si>
    <t>Stadiu proiect 
(în implementare/ reziliat/ finalizat)</t>
  </si>
  <si>
    <t>Act aditional NR.</t>
  </si>
  <si>
    <t>Plăţi către beneficiari (lei)</t>
  </si>
  <si>
    <t xml:space="preserve">Finanțare acordată </t>
  </si>
  <si>
    <t>Contribuția proprie a beneficiarului</t>
  </si>
  <si>
    <t>Contribuție privată</t>
  </si>
  <si>
    <t>Fonduri UE</t>
  </si>
  <si>
    <t>Contribuția națională</t>
  </si>
  <si>
    <t>regiune mai puțin dezvoltată</t>
  </si>
  <si>
    <t>regiune mai dezvoltată</t>
  </si>
  <si>
    <t>Buget național</t>
  </si>
  <si>
    <t>AP 2/11i/2.1</t>
  </si>
  <si>
    <t>CP4 less /2017</t>
  </si>
  <si>
    <t>Îmbunătățirea managementului calității în Municipiul Sebeș</t>
  </si>
  <si>
    <t>Municipiul Sebeș</t>
  </si>
  <si>
    <t>n.a</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</si>
  <si>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</si>
  <si>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 xml:space="preserve">Alba </t>
  </si>
  <si>
    <t>Sebeș</t>
  </si>
  <si>
    <t>APL</t>
  </si>
  <si>
    <t>119 - Investiții în capacitatea instituțională și în eficiența administrațiilor și a serviciilor publice la nivel național, regional și local, în perspectiva realizării de reforme, a unei mai bune legiferări și a bunei guvernanțe</t>
  </si>
  <si>
    <t>Finalizat</t>
  </si>
  <si>
    <t>Alba Iulia ISO Smart</t>
  </si>
  <si>
    <t>Muncipiul Alba Iulia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</si>
  <si>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</si>
  <si>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Alba Iulia</t>
  </si>
  <si>
    <t>na</t>
  </si>
  <si>
    <t>AP 2/11i /2.1</t>
  </si>
  <si>
    <t>CP6 less /2017</t>
  </si>
  <si>
    <t>Performanța si eficiența în administrație prin implementarea unui management competitiv</t>
  </si>
  <si>
    <t>Municipiul Aiud</t>
  </si>
  <si>
    <t>Asociația Română pentru Transparență</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</si>
  <si>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</si>
  <si>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</si>
  <si>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AP 2/11i/2.2</t>
  </si>
  <si>
    <t>CP1 less /2017</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</si>
  <si>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</si>
  <si>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</si>
  <si>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</si>
  <si>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</si>
  <si>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</si>
  <si>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</si>
  <si>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</si>
  <si>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</si>
  <si>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</si>
  <si>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CP10 less /2018</t>
  </si>
  <si>
    <t>ALBA IULIA- ADMINISTRATIE PUBLICA DIGITALA</t>
  </si>
  <si>
    <t>Municipiul Alba iulia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</si>
  <si>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</si>
  <si>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 xml:space="preserve"> în implementare</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</si>
  <si>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</si>
  <si>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</si>
  <si>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AA1/06.06.2019</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</si>
  <si>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</si>
  <si>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</si>
  <si>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Administrație publică locală eficientă pentru cetățeni</t>
  </si>
  <si>
    <t>Asociația Romana pentru Transparenta</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</si>
  <si>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</si>
  <si>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AA1/28.10.2019</t>
  </si>
  <si>
    <t>CP 12 less/2018</t>
  </si>
  <si>
    <t>Municipiul Alba Iulia - Administratie
inteligenta</t>
  </si>
  <si>
    <t>Sustinerea implementarii unui management performant la nivelul Municipiului Alba Iulia, in corespondenta cu Strategia de Consolidare a Administratiei Publice, in termen de 24 luni.                                                                                                                                                                                                                                                      OS1. Elaborarea si implementarea unui numar de 2 strategii de planificare pe termen lung, la nivelul Municipiului Alba Iulia, in termen de 15 luni de la initierea procesului.
2. OS2.Dezvoltarea si implementarea la nivelul Municipiului Alba Iulia, a 2 mecanisme de colaborare si consultare cu actori relevanti pentru sustinerea dezvoltarii locale, in termen de 12 luni de la initierea procesului.</t>
  </si>
  <si>
    <t>Planificare strategică și management al performanței la nivelul Municipiului Arad prin instrumentul Balanced Scorecard – Tablou de Bord Echilibrat</t>
  </si>
  <si>
    <t>Municipiul Arad</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</si>
  <si>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</si>
  <si>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Arad</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</si>
  <si>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</si>
  <si>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</si>
  <si>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</si>
  <si>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</si>
  <si>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AA1/08.11.2019</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</si>
  <si>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</si>
  <si>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</si>
  <si>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AA1/26.11.2019</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</si>
  <si>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</si>
  <si>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</si>
  <si>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Promovarea politicilor publice la nivelul județului Arad</t>
  </si>
  <si>
    <t>Îmbunatațirea capacitaþii de planificare strategica la nivelul judetului Arad
Obiectivele specifice ale proiectului
1. Elaborarea Strategiei de dezvoltare a Judeþului Arad pentru perioada 2021-2027
2. Elaborarea a doua strategii sectoriale (Culturala, Eficiența energetica) pentru perioada 2021-2027</t>
  </si>
  <si>
    <t>Performanță în serviciile de administrație publică locală ale Municipiului 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</si>
  <si>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</si>
  <si>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</si>
  <si>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Argeș</t>
  </si>
  <si>
    <t>Pitești</t>
  </si>
  <si>
    <t>AA1 /08.11.2018</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</si>
  <si>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</si>
  <si>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</si>
  <si>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</si>
  <si>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</si>
  <si>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</si>
  <si>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</si>
  <si>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</si>
  <si>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</si>
  <si>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Implementarea unor măsuri și instrumente destinate îmbunătățirii proceselor administrative în cadrul Consiliului Județean Argeș</t>
  </si>
  <si>
    <t>Îmbunataþirea planificarii strategice instituþionale si simplificarea procedurilor implementate la nivelul Consiliului Judeþean Arges
Obiectivele specifice ale proiectului
1. Elaborarea Strategiei pentru Dezvoltare Durabila a Judeþului Arges - instrument de planificare a investiþiilor locale
2. Simplificarea procedurilor la nivel judeþean prin digitalizarea documentelor si implementarea unei soluþii informatice pentru
administrarea acesteia
3. Îmbunataþirea cunostinþelor si abilitaþilor personalului din cadrul Consiliului Judeþean Arges în domeniul managementului strategic
si în utilizarea si administrarea soluþiei informatice dezvoltate prin proiect</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</si>
  <si>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</si>
  <si>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</si>
  <si>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</si>
  <si>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Bacău</t>
  </si>
  <si>
    <t>AA 1/29.05.2019</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</si>
  <si>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</si>
  <si>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</si>
  <si>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Implementarea unei platforme informatice cu componente back-office și front-office ca măsură de simplificare administrativă și optimizare a furnizării serviciilor pentru cetățeni la nivelul Municipiului Bacău</t>
  </si>
  <si>
    <t>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</si>
  <si>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</si>
  <si>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Servicii publice de calitate la nivelul Judetului Bacau</t>
  </si>
  <si>
    <t xml:space="preserve">Optimizarea proceselor orientate catre beneficiari prin introducerea de sisteme si standarde la nivelul UAT Judetul Bacau, in conformitate cu SCAP
OS1. Implementarea unor măsuri de reducere a birocratiei pentru cetăţeni, în corespondenţă cu Planul integrat pentru simplificarea procedurilor administrative aplicabile cetăţenilor, atât din perspectivă back-office (extinderea sistemului de management al documentelor, digitalizarea arhivelor), cât şi front-office (portal web de servicii)
OS2. Dezvoltarea cunoştinţelor şi abilităţilor personalului din cadrul Consiliului Judetean Bacau, în vederea sprijinirii măsurilor vizate de proiect. Este avută în vedere instruirea, evaluarea şi certificarea competenţelor si cunoştinţelor dobândite pentru 71 de persoane din cadrul grupului ţintă, în ceea ce priveşte exploatarea si administrarea sistemelor implementate.
</t>
  </si>
  <si>
    <t>“ Sprijinirea mdunicipiului Bacău pentru asigurarea managementului performantei și calității”</t>
  </si>
  <si>
    <t>Municipiul Bacău</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</si>
  <si>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</si>
  <si>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</si>
  <si>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Soluții informatice integrate pentru simplificarea procedurilor administrative si reducerea birocrației la nivelul municipiului Onești</t>
  </si>
  <si>
    <t>Municipiul Onești</t>
  </si>
  <si>
    <t>n.a.</t>
  </si>
  <si>
    <t>Obiectivul general al proiectului consta in consolidarea capacitaþii instituþionale si eficientizarea activitaþii la nivelul Municipiului Onesti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cetațeni, in corespondenta cu Planul integrat pentru simplificarea procedurilor administrative aplicabile cetaþenilor din perspectiva front-office, dar si back-office prin achiziția si implementarea unei platforme integrate (portal web, arhivare electronica, captura documente, fluxuri de lucru cu documente, registratura electronica si management arhiva fizica de documente) care va furniza digital fluxurile de lucru de baza din cadrul instituției, în scopul eficientizarii procesarii documentelor, evitarii întreruperilor ce pot aparea în fluxurile informaþionale ale instituției, reducând astfel întârzierile în procesul decizional cu impact asupra activitaþilor operative si va asigura accesul online la serviciile publice gestionate de Municipiul Onesti si retro-digitalizarea unui numar de cca. 20.000 dosare aflate in arhiva clasica si cu valoare operaționala prezenta pentru a facilita rezolvarea cererilor cetațenilor în curs de soluționare.
OS2. Dezvoltarea cunostinþelor si abilitaþilor personalului din cadrul Municipiului Onesti,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t>
  </si>
  <si>
    <t>Onești</t>
  </si>
  <si>
    <t>Servicii de calitate în administrația publică locală a municipiului Beiuș asigurate prin introducerea și menținerea sistemului de management al calității ISO 9001</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</si>
  <si>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</si>
  <si>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</si>
  <si>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Bihor</t>
  </si>
  <si>
    <t>Beiuș</t>
  </si>
  <si>
    <t>AA2/09.08.2019</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</si>
  <si>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</si>
  <si>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</si>
  <si>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</si>
  <si>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</si>
  <si>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AA1/26.09.2019</t>
  </si>
  <si>
    <t>Solutii informatice integrate pentru simplificarea procedurilor administrative si reducerea birocratiei la nivelul Municipiului Oradea</t>
  </si>
  <si>
    <t>Municipiul Oradea</t>
  </si>
  <si>
    <t>Obiectivul general al proiectului consta in consolidarea capacitaþii instituþionale si eficientizarea activitaþii la nivelul Municipiului Oradea prin simplificarea procedurilor administrative si reducerea birocraþiei pentru cetaþeni, implementând masuri din perspectiva back-office
(adaptarea procedurilor interne de lucru, digitalizarea arhivelor) si front-office pentru serviciile publice furnizate.
Obiective specifice:
OS 1 - Implementarea unor masuri de simplificare pentru cetaþeni, in corespondenta cu Planul integrat pentru simplificarea procedurilor
administrative aplicabile cetaþenilor din perspectiva front-office, dar si back-office prin dezvoltarea si adaptarea aplicaþilor existente si introducerea unor soluþii aplicative noi (arhivare electronica, captura documente, fluxuri de lucru si management arhiva fizica de documente) care vor furniza digital fluxurile de lucru de baza din cadrul instituþiei,
OS 2 - Dezvoltarea cunostinþelor si abilitaþilor personalului din cadrul Municipiului Oradea, in vederea sprijinirii masurilor vizate de
proiect.</t>
  </si>
  <si>
    <t xml:space="preserve">Oradea </t>
  </si>
  <si>
    <t>Optimizarea proceselor orientate către cetăţeni prin implementarea Instrumentului CAF la nivelul Primăriei Municipiului Bistriţa</t>
  </si>
  <si>
    <t>Municipiul Bistriţa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</si>
  <si>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</si>
  <si>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Bistrița-Năsăud</t>
  </si>
  <si>
    <t>Bistrița</t>
  </si>
  <si>
    <t>AA1 /13.06.2019</t>
  </si>
  <si>
    <t>Fundamentarea deciziilor si masuri pentru simplificarea procedurilor administrative pentru cetățeni la nivelul UAT Municipiul Bistrița</t>
  </si>
  <si>
    <t>Reducerea birocratiei și imbunatatirea procesului de luare a deciziei prin introducerea unor metode si sisteme coerente de planificare bugetara.
Descrierea obiectivelor specifice ale proiectului
1.  Simplificarea interacțiunii cetățenilor cu administrația publică locală și creșterea transparenței în luarea deciziilor prin implementarea de instrumente informatice de eGuvernare 
2.  Imbunatatirea procesului de alocare a resurselor in cadrul municipiului Bistrita prin implicarea cetățenilor și introducerea unui sistem modern de planificare bugetară, evaluare ex-ante și prioretizare a investițiilor , cu ajutorul instrumentelor informatice</t>
  </si>
  <si>
    <t>RAISE: Retro-Digitalizarea Arhivei si
Informatizarea Serviciilor Electronice la
Consiliul Judetean Bistrița-Nasaud</t>
  </si>
  <si>
    <t>Județul Bistrița Năsăud</t>
  </si>
  <si>
    <t>Consolidarea capacitatii Consiliului Judetean Bistriþa-Nasaud de a asigura calitatea si accesul la serviciile publice oferite exclusiv de
instituþie prin simplificarea procedurilor administraþiei locale si reducerea birocrației.
Obiectivele specifice ale proiectului
 1. Implementarea unor masuri de simplificare pentru cetaþeni si firme,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Consiliului Judetean Bistrita-Nasaud, în vederea sprijinirii
masurilor vizate de proiect. Este avuta în vedere formarea/instruirea, evaluarea/testarea si certificarea
competenþelor/cunostinþelor dobândite pentru 100 de persoane din cadrul grupului þinta, în ceea ce priveste planificarea
strategica. Obiectivul general al serviciilor de instruire îl constituie familiarizarea persoanelor din grupul þinta cu implicaþiile
conceptului de planificarea strategica;
3. Elaborarea criteriilor de prioritizare a investitiilor in sectoarele: sanatate, asistenta sociala, infrastructura de mediu si transport
pentru realizarea bugetului Consiliului Judetean Bistrita-Nasaud aferent anului 2021.</t>
  </si>
  <si>
    <t>în implementare</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</si>
  <si>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</si>
  <si>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</si>
  <si>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</si>
  <si>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 xml:space="preserve"> </t>
  </si>
  <si>
    <t>Botoșani</t>
  </si>
  <si>
    <t>Botoșani spune NU corupției</t>
  </si>
  <si>
    <t>Asociația Institutul pentru Politici Publice                            Universitatea George Bacovia</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</si>
  <si>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</si>
  <si>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</si>
  <si>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Administratie moderna in sprijunul cetatenilor</t>
  </si>
  <si>
    <t>Judetul Botosani</t>
  </si>
  <si>
    <t>NA</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</si>
  <si>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</si>
  <si>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Simplificarea administrativa si reducerea birocratiei prin implementarea de masuri de digitalizare in Municipiul Botosani</t>
  </si>
  <si>
    <t>Municipiul Botosani</t>
  </si>
  <si>
    <t>Obiectivul general al proiectului: Simplificarea procedurilor administrative si reducerea birocratiei pentru cetateni, prin dezvoltarea si implementarea unei solutii informatice integrate.
OS 1.Dezvoltarea si implementarea unei solutii informatice integrate ce sustine simplificarea procedurilor
administrative si reducerea birocratiei pentru cetatenii Municipiului Botosani atat din perspectiva back-office cat si front-office.
OS 2: Instruirea personalului din cadrul UAT Municipiului Botosani pentru utilizarea optima a solutiei informatice
integrate prin proiect.</t>
  </si>
  <si>
    <t xml:space="preserve">Botosani </t>
  </si>
  <si>
    <t>Botosani</t>
  </si>
  <si>
    <t>Sprijinirea Municipiului Brăila pentru introducerea managementului calității</t>
  </si>
  <si>
    <t>Municipiul Brăila</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</si>
  <si>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</si>
  <si>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</si>
  <si>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BRĂILA</t>
  </si>
  <si>
    <t>BRAĂILA</t>
  </si>
  <si>
    <t>AA2/07.10.2019</t>
  </si>
  <si>
    <t>Calitate și performanță în administrația publică din județul Brăila</t>
  </si>
  <si>
    <t>Județul Brăila</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</si>
  <si>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</si>
  <si>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</si>
  <si>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</si>
  <si>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O administratie in slujba cetateanului</t>
  </si>
  <si>
    <t>Municipiul Braila</t>
  </si>
  <si>
    <t xml:space="preserve">Obiectivul general al proiectului/Scopul proiectului
Consolidarea capacității instituționale, a calitatii si eficientei serviciilor publice furnizate la nivelul Municipiului Brăila prin investiții integrate și complementare conform reglementărilor europene și naționale (planificare strategică instituțională aferent anilor 2020 - 2021, elaborarea Strategiei de Dezvoltare a Municipiului Brăila pentru un nou orizont de timp și implementarea unui sistem informatic personalizat pentru optimizarea serviciilor administratiei locale).
Prin elaborarea Planului strategic instituțional, implementarea unei platforme integrate pentru servicii electronice, pregatirea a circa 95 de persoane pentru o administratie performanta si eficienta la nivel local, proiectul contribuie la realizarea obiectivului general POCA 2014¬2020 și susține Axa prioritara 2 POCA: „Administrație publica și sistem judiciar accesibile și transparente”, Obiectivul Specific 2.1. Pe termen lung implementarea unor proceduri standard specifice și simplificate pentru reducerea birocrației, contribuie la dezvoltarea unei culturii a calitatii in administratia publica, la crearea unei administratii locale performante, capabile sa ofere servicii performante si sa genereze dezvoltare socio-economica la nivelul comunitatii.
Proiectul susține Axa prioritara 2 POCA: „Administrație publica și sistem judiciar accesibile și transparente”, deoarece prin activitațile sale, Activitatea 3 (acțiuni de planificare strategica și financiară - elaborare Strategie de dezvoltare a Municipiului Brăila, elaborare Plan strategic instituțional), Activitatea 4 (dezvoltarea unui sistem integrat pentru administratia publica facil atât pentru operatorii interni, cât pentru cetățeni prin intermediul unei interfețe prietenoase cu toate categoriile de utilizatori) și Activitatea 5 (instruire specifica a personalului) se urmarește imbunatatirea procesului decizional si consolidarea autonomiei publice locale.
Simplificarea administrativă și optimizarea serviciilor online furnizate către cetățeni, la nivelul Primăriei Municipiului Urziceni, contribuie astfel la îndeplinirea obiectivului specific 2.1 al POCA "Introducerea de sisteme și standarde comune în administrația publica locala ce optimizează procesele orientate catre beneficiari în concordanță cu SCAP". Implementarea acestui proiect va avea ca efect imbunatatirea proceselor interne ale institutiei și serviciile furnizate către cetățeni/mediu de afaceri, contribuind la atingerea obiectivelor Strategiei pentru consolidarea administratiei publice 2014-2020 (SCAP) - II.3, II.4 și II.5, III.1 și III.2.
Obiectivul general al proiectului este în concordanță cu Obiectivul tematic 11 din Politica de coeziune 2014 - 2020 (OT 11 Consolidarea capacității instituționale a autorităților publice și a părților interesate și eficiența administrației publice), abordând provocarea 5 Administrația și guvernarea și provocarea 2 Oamenii și societatea din Acordul de Parteneriat al României, prin acțiuni specifice derulate la nivelul UAT Municipiul Brăila.
Proiectul contribuie la atingerea scopului din Ghidul Solicitantului POCA pentru Cererea de proiecte CP12/2018: cererea cuprinde acțiunile prevăzute și care au fost transpuse în activități conform Ghidului: sprijiin pentru îmbunătățirea procesului decizional și a planificării strategice prin Activitatea 3, măsuri de simplificare a birocrației prin Activitatea 4 și dezvoltarea abilităților a circa 95 persoane din cadrul UAT, prin programe de formare specifice (Activitatea 5).
Realizarea obiectivelor specifice menționate vor conduce la îndeplinirea obiectivului general al proiectului. Obiectivele specifice menționate sunt îndeplinite prin atingerea Rezultatelor POCA ale proiectului, respectiv R1 - proceduri standard implementate și planificare strategică (îndeplinite prin OS1); R3 - o platforma integrata de servicii electronice pentru cetateni si pentru mediul de afaceri
- atinge obiectivul OS2 si R5 atinge obiectivul specific OS 3: circa 95 persoane certificate (personal de executie, de conducere si alesi locali) din instituția beneficiarului, prin implementarea activitaților descrise.
Activitățile prevăzute in cadrul acestuia contribuie semnificativ la atingerea obiectivelor programului si ai indicatorilor de realizare si rezultat, în conformitate cu specificațiile din Ghidul Solicitantului pentru CP 12/2018 și corelate cu ”Planul integrat pentru simplificarea procedurilor adminsitrative aplicabile cetățenilor”, ”Ghid pentru planificarea și fundamentarea procesului decizional din administrația publică locală”:
- Elaborarea Strategiei Municipiului și a Planului strategic instituțional contribuie la atingerea indicatorului de rezultat 5S18 și a indicatorului
- Crearea si adaptarea unei platforme integrate de servicii electronice pentru cetateni si pentru mediul de afaceri - contribuie la atingerea indicatorilor POCA - 5S20 indicatorul de rezultat și 5S59 indicatorul de realizare prin realizarea Activității 4.
- Participarea la activitati de instruire specifică și certificarea a 95 persoane din diferite departamente, servicii, aleși locali contribuie la atingerea indicatorilor POCA - 5S23 indicator de rezultat și 5S62 indicatorul de realizare prin realizarea Activității 5.
planificării strategice și execuției bugetare; ale, să ofere cetățenilor servicii eficiente care duc la un grad ridicat de satisfacere a nevoilor cetățenilor sau a consumatorilor de servicii publice, dar si din motive externe, cum ar fi alinierea la prioritățile documentelor strategice de la nivel national.
Obiectivele specifice ale proiectului
1. OS 1: Implementarea unor mecanisme si proceduri standard (actualizare Strategie de dezvoltare a Municipiului, elaborare Plan strategic instituțional 2020 - 2021) pentru a crește eficiența acțiunilor adimintrative la nivelul Municipiului Brăila. OS 1 se va îndeplini prin Activitatea 3 și va conduce la atingerea rezultatului de program POCA R1.
2. OS 2. Măsuri de simplificare a procedurilor administrative și reducerea birocrației prin crearea și dezvoltarea unui sistem elecronic integrat pentru administratia publica facil atât pentru operatorii interni, cât și pentru cetățeni prin intermediul unei interfețe prietenoase cu toate categoriile de utilizatori informatice la nivelul Municipiului Brăila. OS 2 se va îndeplini prin Activitatea 4 și va conduce la atingerea rezultatului de program POCA R3.
3. OS 3. Imbunatatirea competentelor profesionale a 95 persoane din toate nivelurile ierarhice (personal de conducere, de execuție, aleși locali) din cadrul UAT Municipiul Brăila pe teme specifice programului. OS 3 se va îndeplini prin Activitatea 5 și va conduce la atingerea rezultatului R5.
Rezultate așteptate
Detalii rezultat - Componenta 1
1. 1. Rezultat program 1 Mecanisme și proceduri standard implementate la nivel local pentru fundamentarea deciziilor și
planificarea strategică pe termen lung; - atins prin Rezultat de proiect 1 - 1 Plan Strategic instituțional aferent anilor 2020 - 2021 elaborat 
2. 2. Rezultat program 1 Mecanisme și proceduri standard implementate la nivel local pentru fundamentarea deciziilor și
planificarea strategică pe termen lung; - atins prin Rezultat de proiect 2- 1 Strategie de dezvoltare a UAT Municipiul Brăila elaborată
3. 3. Rezultat program 3 Proceduri simplificate pentru reducerea birocrației pentru cetățeni la nivel local corelate cu Planul
integrat de simplificare a procedurilor administrative pentru cetățeni implementate - Rezultat proiect 3 - 1 sistem informatic integrat, flexibil, modular care să răspundă cerințelor cetățenilor, mediului de afaceri și pentru administrația internă, implementat atât din perspectivă back-office, cât și front-office.
4. 4. Rezultat program 5: Cunoștințe si abilitați ale personalului din autoritățile si instituțiile publice locale îmbunătățite, în
vederea sprijinirii masurilor/ acțiunilor vizate de acest obiectiv specific - Rezultat proiect 4 - 95 persoane instruite și certificate pe teme specifice administrației publice locale, de interes (ex. planificare strategică, planificare bugetară, politici locale, fundamentare, elaborare, implementare, monitorizare și evaluare a deciziilor la nivelul administrației publice locale, etc).
</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</si>
  <si>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</si>
  <si>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</si>
  <si>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</si>
  <si>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</si>
  <si>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</si>
  <si>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Sistem de management integrat la standarde europene pentru administrația județului Brașov</t>
  </si>
  <si>
    <t>Jud. Brasov</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</si>
  <si>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</si>
  <si>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Brasov</t>
  </si>
  <si>
    <t>Sisteme, standarde si procese eficientizate si optimizate in cadrul Primariei Municipiului Codlea</t>
  </si>
  <si>
    <t xml:space="preserve">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</si>
  <si>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</si>
  <si>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Sprijinirea măsurilor referitoare la prevenirea corupției la nivelul autorităților publice locale din regiunile mai puțin dezvoltate</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</si>
  <si>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</si>
  <si>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Codlea</t>
  </si>
  <si>
    <t>eFuncționar+. Servicii electronice și simplificare administrativă</t>
  </si>
  <si>
    <t>Municipiul Brașov</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</si>
  <si>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</si>
  <si>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AA1/11.03.2020</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</si>
  <si>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</si>
  <si>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</si>
  <si>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</si>
  <si>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Administrație publică împreună cu cetățenii</t>
  </si>
  <si>
    <t>Municipiul Făgăraș</t>
  </si>
  <si>
    <t>Îmbunataþirea procesului decizional si reducerea birocraþiei la nivelul Consiliului Judeþean Brasov</t>
  </si>
  <si>
    <t>Județul Brașov</t>
  </si>
  <si>
    <t>AGENȚIA DE DEZVOLTARE DURABILĂ A JUDEȚULUI BRAȘOV</t>
  </si>
  <si>
    <t>Obiectivul general al proiectului:Creșterea performanței administrației publice din județul Brasov în domeniul planificarii strategice, prin corelarea obiectivelor strategice de
dezvoltare la nivelul județului pe termen mediu si lung cu execuția bugetară, prin prioritizarea si monitorizarea lucrărilor de investiții și implementarea de măsuri de simplificare a procedurilor administrative cu caracter general de tip front-office si back-office.</t>
  </si>
  <si>
    <t>AA1/24.12.2019</t>
  </si>
  <si>
    <t>CP4 more /2017</t>
  </si>
  <si>
    <t>DEZVOLTAREA UNUI MANAGEMENT PERFORMANT ÎN CADRUL PRIMĂRIEI SECTOR 4 BUCUREȘTI PRIN OPTIMIZAREA PROCESELOR ORIENTATE CĂTRE BENEFICIARI ȘI PREGĂTIREA RESURSELOR UMANE</t>
  </si>
  <si>
    <t>Sect. 4 București</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</si>
  <si>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</si>
  <si>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București</t>
  </si>
  <si>
    <t>Bucuresti</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</si>
  <si>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</si>
  <si>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</si>
  <si>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</si>
  <si>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t>AA1/06.09.2019</t>
  </si>
  <si>
    <t>CP1 more /2017</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</si>
  <si>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</si>
  <si>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</si>
  <si>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AA 1/29.11.2018          AA 2 /03.04.2019</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</si>
  <si>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</si>
  <si>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</si>
  <si>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</si>
  <si>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</si>
  <si>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</si>
  <si>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</si>
  <si>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</si>
  <si>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Act aditional nr. 1</t>
  </si>
  <si>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</si>
  <si>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</si>
  <si>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</si>
  <si>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CP 12 more/2018</t>
  </si>
  <si>
    <t>O primarie mai aproape de oameni la doar un click distanta</t>
  </si>
  <si>
    <t>PRIMARIA SECTOR 5</t>
  </si>
  <si>
    <t>ASOCIATIA PENTRU IMPLEMENTAREA DEMOCRATIEI</t>
  </si>
  <si>
    <t xml:space="preserve">Obiectivul general al proiectului vizează îmbunătățirea procesului decizional, a planificării strategice și execuției bugetare, implementarea unitară a managementului calității și performanței și crearea de măsuri de simplificare pentru cetățeni în concordanță cu SCAP, la nivelul Primăriei Sectorului 5. Proiectul propus spre finanțare se încadrează în Axa prioritară 2 – Administrație publică și sistem judiciar accesibile și transparente, obiectivul specific 2.1 – Introducerea de sisteme și standarde comune în administrația publică locală ce optimizează procesele orientate către beneficiari în concordanță cu SCAP. </t>
  </si>
  <si>
    <t>AP1/11i /1.1</t>
  </si>
  <si>
    <t>IP1/2015</t>
  </si>
  <si>
    <t>Dezvoltarea capacității instituționale a Ministerului Economiei</t>
  </si>
  <si>
    <t>MINISTERUL ECONOMIEI, ENERGIEI ȘI MEDIULUI DE AFACERI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</si>
  <si>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</si>
  <si>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 xml:space="preserve"> Proiect cu acoperire națională</t>
  </si>
  <si>
    <t>APC</t>
  </si>
  <si>
    <t>AA1/03.05.2017; AA2/28.06.2017; AA3/30.07.2018; AA4/12.08.2019</t>
  </si>
  <si>
    <t>Mecanisme si instrumente implementate la nivelul S1MB pentru fundamentarea deciziilor si planificarii
strategice pe termen lung</t>
  </si>
  <si>
    <t>SECTORUL 1 AL MUNICIPIULUI BUCUREŞTI</t>
  </si>
  <si>
    <t>N.A.</t>
  </si>
  <si>
    <t>Obiectiv general: Cresterea calitatii procesului decizional la nivelul Primariei Sectorului 1, Bucuresti, prin implementarea unor instrumente de management strategic institutional care sa sustina planificarea strategica si fundamentarea politicilor publice, respectiv evaluarea indicatorilor de performanta a politicilor publice adoptate.
OS1 - Dezvoltarea si implementarea unor mecanisme si instrumente de management strategic instituþional care sa sustina planificarea si fundamentarea politicilor publice la nivelul Primariei SectORULUI1.
OS2 - Dezvoltarea unor instrumente de monitorizare si raportare a indicatorilor de performanta privind implementarea politicilor publice, cat si a obiectivelor strategice stabilite la nivelul Primariei Sectorului 1, corborate cu instrumente IT de management strategic, care vor permite cresterea calitaþii si performantei actului administrativ, a transparenþei, eficienþei si eficacitaþii în utilizarea fondurilor publice.
OS3 - Modernizarea sistemului de management al documentelor din Primaria Sectorului 1, prin implementarea unei aplicatii informatice care sa sustina digitalizarea proceselor de inregistrare si arhivare a documentelor.</t>
  </si>
  <si>
    <t>Servicii electronice eficiente și simplificare administrativă prin platforme informatice inovative</t>
  </si>
  <si>
    <t>SECTORUL 3 AL MUNICIPIULUI BUCURESTI</t>
  </si>
  <si>
    <t>Obiectivul general al proiectului vizeaza imbunatatirea procesului decizional, a planificarii strategice si executiei bugetare, implementarea unitara a managementului calitatii si performantei si crearea de masuri de simplificare pentru cetateni in concordanta cu SCAP, la nivelul Sectorului 3 al Municipiului Bucuresti.
Astfel, proiectul propus spre finantare urmareste consolidarea capacitatii administrative a PS 3 in vederea formularii de politici publice, motivarii proiectelor de acte administrative cu caracter normativ si planificarii strategice institutionale, pe de-o parte si pe de alta parte, implementarea unor sisteme informatice pentru optimizarea modului de lucru intern al angajatilor PS 3, inclusiv prin digitalizarea arhivei de documente, precum si dezvoltarea si cresterea gradului de sofisticare a serviciilor online furnizate catre cetateni, contribuind astfel la indeplinirea obiectivului specific 2.1 al POCA "Introducerea de sisteme si standarde comune in administratia publica locala ce optimizeaza procesele orientate catre beneficiari in concordanta cu SCAP".
Totodata, implementarea acestui proiect va avea ca efect imbunatatirea proceselor interne ale institutiei si serviciile furnizate catre cetateni/mediu de afaceri, contribuind la atingerea obiectivelor Strategia pentru consolidarea administratiei publice 2014-2020 (SCAP) - II.4 (Solutii IT pentru eficientizarea administraţiei publice) si II.5 (Imbunatatirea proceselor interne la nivelul institutiilor publice), III.1 (Reducerea birocratiei pentru cetateni) şi III.2. (Reducerea birocratiei pentru mediul de afaceri), IV. ( Consolidarea capacitatii administraţiei publice de a asigura calitatea si accesul la serviciile publice).</t>
  </si>
  <si>
    <t>Management al performantei in cadrul Primariei Sectorului 2</t>
  </si>
  <si>
    <t>SECTORUL 2 AL MUNICIPIULUI BUCURESTI</t>
  </si>
  <si>
    <t>OS1. Implementarea si utilizarea instrumentului de auto-evaluare CAF la nivelul PS2, cu scopul cresterii performanþei administraþiei publice locale, precum si pentru îmbunataþirea continua a serviciilor publice oferite                                                                                                                                                                       OS2. Dezvoltarea/cresterea abilitatilor si certificarea unui numar de 30 de persoane din toate nivelurile ierarhice din cadrul Primariei Sectorului 2 (Formarea/Instruirea specifica a 20 de angajaþi din cadrul PS2, în vederea utilizarii instrumentului CAF                                                                                     OS3. Diseminarea rezultatelor proiectului la nivelul instituþiilor aflate sub autoritatea Consiliul Local al Sectorului 2, prin instruirea
a 10 angajaþi din cadrul personalului acestor instituþii, cu privire la monitorizarea Sistemului de Management al instituþiei cu
ajutorul instrumentului CAF</t>
  </si>
  <si>
    <t>CP 13 more/2019</t>
  </si>
  <si>
    <t>Instrumente pentru reducerea birocrației în serviciile de asistență socială la nivelul Sectorului 1 al Municipiului București</t>
  </si>
  <si>
    <t>SECTORUL 1 AL MUNICIPIULUI BUCURESTI</t>
  </si>
  <si>
    <t>DIRECTIA GENERALA DE ASISTENTA SOCIALA SI PROTECTIA COPILULUI SECTOR 1</t>
  </si>
  <si>
    <t>Obiectiv specific 1: Modernizarea sistemului de furnizare a serviciilor de asistenþa sociala prin implementarea unei aplicatii
informatice de gestiune integrata si standardizata a beneficiilor de asistenþa sociala la nivelul Sectorului 1 al Municipiului
Bucuresti;
Obiectiv Specific 2: Cresterea eficienþei si eficacitaþii aparatului administrativ si reducerea birocraþiei pentru cetaþenii Sectorului 1
beneficiari ai serviciilor de asistenþa sociala prin cresterea gradului de operaþionalizare a documentelor din arhiva tradiþionala</t>
  </si>
  <si>
    <t>Cresterea calitatii serviciilor publice si simplificare adminisrativa</t>
  </si>
  <si>
    <t>DIRECTIA GENERALA DE ASISTENTA SOCIALA SI PROTECTIA COPILULUI SECTOR 3</t>
  </si>
  <si>
    <t>OS1: Implementarea de masuri de eficientizare a proceselor de lucru specifice domeniului asistenþei sociale, atât din perspectiva
back-office, cât si front office. Pentru realizarea obiectivului specific 1 se are in vedere activitatea A3 - Simplificarea Procedurilor
Administrative si Reducerea Birocraþiei pentru cetaþeni. Rezultatul 1 contribuie la atingerea acestui obiectiv.
OS2: Cultivarea si dezvoltarea cunostinþelor, competenþelor si abilitaþilor personalului din cadrul Direcþiei Generale de Asistenþa
Sociala si Protecþie a Copilului Sector 3 prin participarea la programe de instruire, inclusiv prin abordarea temelor de dezvoltare
durabila, egalitate de sanse, nediscriminare si egalitate de gen, în vederea utilizarii si administrarii soluþiilor informatice
implementate. Pentru realizarea obiectivului specific 2 se are în vedere activitatea A4 - Instruirea utilizatorilor si administratorilor
soluþiilor informatice implementate. Rezultatul 2 contribuie la atingerea acestuia.</t>
  </si>
  <si>
    <t>Consolidarea integrității, reducerea vulnerabilităților și a riscurilor de corupție</t>
  </si>
  <si>
    <t>Municipiul Buzău</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</si>
  <si>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</si>
  <si>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Buzău</t>
  </si>
  <si>
    <t>AA 1/ 28.03.2019</t>
  </si>
  <si>
    <t>Parteneriat pentru etică și integritate în Consiliul Județean Buzau</t>
  </si>
  <si>
    <t>Județul Buzău</t>
  </si>
  <si>
    <t>Asociația Română Pentru Transparență</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</si>
  <si>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</si>
  <si>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</si>
  <si>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</si>
  <si>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</si>
  <si>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</si>
  <si>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119 -  Investiții în capacitatea instituțională și în eficiența administrațiilor și a serviciilor publice la nivel național, regional și local, în perspectiva realizării de reforme, a unei mai bune legiferări și a bunei guvernanțe</t>
  </si>
  <si>
    <t>AA 1/16.07.2019 prel 8 L</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</si>
  <si>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</si>
  <si>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</si>
  <si>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Servicii publice de calitate oferite de administrația publică locală a Municipiului Râmnicu Sărat</t>
  </si>
  <si>
    <t>Municipiul Râmnicu Sărat</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</si>
  <si>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</si>
  <si>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Municipiul Rm. Sarat</t>
  </si>
  <si>
    <t>Soluții informatice integrate pentru simplificarea furnizării serviciilor către cetățeni si mediul de afaceri și optimizarea procedurilor administrative la nivelul Municipiului Râmnicu-Sărat</t>
  </si>
  <si>
    <t>Consolidarea capacitații instituþionale a Primariei Municipiului Râmnicu-Sarat în vederea optimizarii proceselor administrative ale primariei si adoptarii unor masuri de simplificare a furnizarii serviciilor catre cetațeni si mediul de afaceri, prin implementarea unor sisteme informatice inovative.</t>
  </si>
  <si>
    <t>Centru operațional de management integrat pentru fundamentarea deciziilor în implementarea proiectelor strategice și informarea cetățenilor - COMUNIC</t>
  </si>
  <si>
    <t xml:space="preserve">Obiectivul general este implementarea unor proceduri integrate de management al proceselor complexe, de emitere si fundamentare a deciziilor strategice de dezvoltare a Municipiului Buzau, precum si de facilitare a procesului de consultare a cetaþenilor în vederea elaborarii actelor administrative.
Obiectivele specifice ale proiectului
1. Definirea unui set de cerinþe funcționale si a arhitecturii operaþionale a Centrului operaþional de management. 
2. Elaborarea de proceduri de lucru pentru optimizarea proceselor decizionale si a planificarii strategice. - Implementarea unui sistem informatic suport pentru managementul administrativ integrat si a unei platforme informatice online în vederea desfasurarii consultarilor pentru elaborarea actelor administrative. 
3. Extinderea cunostinþelor si abilitaþilor personalului din Municipiul Buzau pentru utilizarea procedurilor si platformei informatice, pentru asigurarea planificarii strategice si a consultarii cetațenilor. </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</si>
  <si>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</si>
  <si>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</si>
  <si>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</si>
  <si>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CĂLĂRAȘI</t>
  </si>
  <si>
    <t xml:space="preserve">AA 1/02.04.2019 </t>
  </si>
  <si>
    <t>Integritate prin proceduri, instruire si prevenire - IPIP</t>
  </si>
  <si>
    <t>Municipiul Călărași</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</si>
  <si>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</si>
  <si>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</si>
  <si>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</si>
  <si>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</si>
  <si>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AA/03.02.2020</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</si>
  <si>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</si>
  <si>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</si>
  <si>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AA 1/12.03.2020</t>
  </si>
  <si>
    <t>Simplificarea administrativa si reducerea birocratiei pentru cetatenii din Municipiul Oltenita</t>
  </si>
  <si>
    <t>Municipiul Oltenita</t>
  </si>
  <si>
    <t>Obiectivul general al proiectului corelat cu obiectivul specific al apelului de proiecte CP12/2018 urmareste imbunatatirea capacitatii
institutionale si reducerea birocratiei pentru cetateni, prin dezvoltarea si implementarea unei solutii informatice integrate.
Obiectivul general va fi atins pe seama urmatoarelor obiective specifice:
Obiectivele specifice ale proiectului
1. Obiectiv specific 1.Dezvoltarea si implementarea unei solutii informatice integrate ce sustine simplificarea procedurilor
administrative si reducerea birocratiei pentru cetatenii Municipiului Oltenita atat din perspectiva back-office cat si front-office.
2. Obiectiv specific 2: Instruirea personalului din cadrul UAT Municipiului Oltenita pentru utilizarea optima a solutiei informatice
integrate prin proiect.</t>
  </si>
  <si>
    <t>Sistem integrat pentru simplificarea procedurilor administrative și reducerea birocrației la nivelul Municipiului Călărași</t>
  </si>
  <si>
    <t>Obiectivul general al proiectului consta in consolidarea capacitatii institutionale si eficientizarea activitatii la nivelul Municipiului Calarasi
prin simplificarea procedurilor administrative si reducerea birocratiei pentru cetateni, implementând un sistem integrat ce optimizeaza
procesele orientate catre beneficiari în concordanta cu SCAP.
Obiectivele specifice ale proiectului
1. OS1. Implementarea unor masuri de simplificare pentru cetateni, in corespondenta cu Planul integrat pentru simplificarea
procedurilor administrative aplicabile cetatenilor prin achizitia si implementarea unui sistem integrat ce optimizeaza procesele
orientate catre beneficiari în concordanta cu SCAP.
2. OS2. Îmbunatatirea cunostintelor si a competentelor personalului din Primaria Municipiului Calarasi, precum si a alesilor locali în
vederea sprijinirii masurilor/actiunilor vizate de acest proiect.</t>
  </si>
  <si>
    <t>CETATE.Caransebeş, Eficient şi Tânăr prin Administrare Transparentă şi Economică</t>
  </si>
  <si>
    <t>Municipiul  Caransebeș</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</si>
  <si>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</si>
  <si>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</si>
  <si>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</si>
  <si>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Implementarea unui sistem de informatizare a administrației publice, sistem de management integrat al datelor administraţiei publice şi îmbunătățirea organizării instituționale și a procedurilor la nivelul Municipiului Reşiţa</t>
  </si>
  <si>
    <t>Municpiul Resita</t>
  </si>
  <si>
    <t>1. Îmbunataþirea capacitatii de planificare strategica si alocare a resurselor la nivelul administratiei publice locale Municipiul Resiþa
prin introducerea unui instrument informatic de bugetare participativa, realizarea unor instrumente de planificare si dezvoltare
locala si realizarea Strategiei Smart City – orizont 2027
2. Eficientizarea si simplificarea serviciilor furnizate cetatenilor de catre Primaria Muncipiului Resita prin implementarea unei solutii
de portal cu servicii digitale pentru cetateni, managementul documentelor, ERP si digitalizarea arhivei
3. Promovarea modernizarii in administratia publica locala din Municipiul Resita prin dezvoltarea cunostinþelor si abilitaþilor
personalului din cadrul Primariei Municipiului Resita, în vederea sprijinirii masurilor vizate de proiect prin formarea/instruirea,
evaluarea/testarea si certificarea competenþelor/cunostinþelor dobândite pentru persoanele din cadrul grupului þinta, în ceea ce
priveste planificarea strategica, managementul calitatii si utilizarea noului sistem informatic, ceea ce va determina motivarea si
mobilizarea acestora in directia inovatiei si in oferirea de servicii publice de calitate catre cetateni
4. Implementarea sistemului de management al calitatii in conformitate cu prevederile standardului SR EN ISO 9001:2015 in scopul
imbunatatirii calitatii si eficientei serviciilor publice furnizate de catre Municipiul Resita</t>
  </si>
  <si>
    <t>Servicii publice performante furnizate cetatenilor din Municipiul Caransebes</t>
  </si>
  <si>
    <t xml:space="preserve">Obiectivul general: Imbunatatirea planificarii strategice, simplificarea procedurilor administrative si reducerea birocratiei pentru cetateni, prin dezvoltarea si implementarea urmatoarelor masuri : elaborarea si implementarea unei strategii de dezvoltare in plan local, o solutie informatica integrata, cat si dezvoltarea cunostintelor personalului de la nivelul UAT Mun.Caransebes in scopul implementarii si utilizarii optime a masurilor realizate in proiect.
OS1. Dezvoltarea si implementarea unei solutii informatice integrate care sa sustina simplificarea procedurilor administrative si reducerea birocratiei pentru cetatenii Municipiului Caransebes, atat din perpectiva back-office cat si front-office, in scopul furnizarii unor servicii publice gestionate in mod eficient la nivelul UAT-ului si performante.
OS 2. Imbunatatirea procesului de planificare strategica la nivelul UAT Mun. Caransebes prin elaborarea si implementarea unei Strategii de Dezvoltare Locale a Municipiului Caransebes aferenta perioadei 2021-2027.
OS 3. Dezvoltarea cunostintelor si abilitaþilor personalului din UAT Mun. Caransebes, pe teme specifice de interes
</t>
  </si>
  <si>
    <t>Consolidarea capacității instituționale a Primăriei Municipiului Turda prin implementarea sistemului de management al calității</t>
  </si>
  <si>
    <t>Primăria Municipiului Turda</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</si>
  <si>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</si>
  <si>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Cluj</t>
  </si>
  <si>
    <t>Turda</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</si>
  <si>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</si>
  <si>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</si>
  <si>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</si>
  <si>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</si>
  <si>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Sisteme de management performant pentru Primăria Cluj-Napoca</t>
  </si>
  <si>
    <t>Primăria municipiului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</si>
  <si>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</si>
  <si>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AA 1/ 01.04.2019</t>
  </si>
  <si>
    <t>ADEPT – Administrație digitala eficienta pentru cetaþenii din Turda</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</si>
  <si>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</si>
  <si>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</si>
  <si>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</si>
  <si>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</si>
  <si>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</si>
  <si>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AA 1/20.11.2019</t>
  </si>
  <si>
    <t>Creșterea transparenței decizionale si simplificarea procedurilor administrative pentru cetățeni - ANTO-CIIC</t>
  </si>
  <si>
    <t>Municipiul Cluj Napoca</t>
  </si>
  <si>
    <t xml:space="preserve">Obiectivul general  - Implementarea de masuri care vizeaza adaptarea structurilor administrative existente, optimizarea proceselor orientate catre cetaþeni, prin crearea accesului online la serviciile administraþiei publice locale, precum si utilizarea centrului de inovare si imaginaþie civica în planificarea strategica a proceselor de inovare sociala, pentru cresterea transparenþei decizionale si simplificarea procedurilor oferite cetaþenilor municipiului Cluj-Napoca.
Obiective specifice:
OS 1. Dezvoltarea si introducerea mecanismelor Centrului de Inovare si Imaginaþie Civica (CIIC) în vederea optimizarii proceselor decizionale orientate catre cetaþeni si mediul de afaceri în Municipiul Cluj-Napoca.
OS 2. Design-ul, dezvoltarea si implementarea unui sistem electronic de digitalizare si simplificare a serviciilor publice oferite
cetaþenilor Municipiului Cluj-Napoca prin implementarea funcþionarului public electronic si virtual – ANTONIA.
OS 3. Formarea/instruirea functionarilor publici si contractuali, inclusiv a factorilor de decizie la nivel politic, în utilizarea instrumentelor digitale si a functionarului electronic.
</t>
  </si>
  <si>
    <t>Soluții informatice integrate pentru
simplificarea procedurilor administrative si
reducerea birocrației la nivelul Municipiului
DEJ</t>
  </si>
  <si>
    <t>Municipiul Dej</t>
  </si>
  <si>
    <t>Obiectivul general al proiectului consta in consolidarea capacitații instituþionale si eficientizarea activitații la nivelul Municipiului DEJ prin
simplificarea procedurilor administrative si reducerea birocraþiei pentru cetațeni, implementând masuri din perspectiva back-office
(adaptarea procedurilor interne de lucru, digitalizarea arhivelor) si front-office pentru serviciile publice furnizate.
Obiectivele specifice ale proiectului
1. OS1. Implementarea unor masuri de simplificare pentru cetaþeni, in corespondenta cu Planul integrat pentru simplificarea
procedurilor administrative aplicabile cetaþenilor din perspectiva front-office, dar si back-office prin achiziþia si implementarea unei
platforme integrate (portal web, arhivare electronica, captura documente, fluxuri de lucru cu documente, registratura electronica
si management arhiva fizica de documente) care va furniza digital fluxurile de lucru de baza din cadrul instituþiei, în scopul
eficientizarii procesarii documentelor, evitarii întreruperilor ce pot aparea în fluxurile informaþionale ale instituþiei, reducând astfel
întârzierile în procesul decizional cu impact asupra activitaþilor operative si va asigura accesul online la serviciile publice
gestionate de Municipiul DEJ si retro-digitalizarea unui numar de cca. 20.000 dosare aflate in arhiva clasica si cu valoare
operaþionala prezenta pentru a facilita rezolvarea cererilor cetaþenilor în curs de soluþionare.
2. OS2. Dezvoltarea cunostinþelor si abilitaþilor personalului din cadrul Municipiului DEJ, in vederea sprijinirii masurilor vizate de
proiect. Este avuta in vedere formarea/instruirea, evaluarea/testarea si certificarea competentelor/cunostinþelor dobândite pentru
50 persoane din cadrul grupului þinta, in ceea ce priveste utilizarea soluþiilor informatice implementate in cadrul proiectului .
Obiectivul general al serviciilor de instruire ii constituie familiarizarea cu componentele soluþiei informatice implementate, prin
însusirea cunostinþelor necesare utilizarii aplicaþiilor, deprinderea funcþionalitaþilor si a modului de folosire a acestora, înþelegerea
implicaþiilor si avantajelor raportate la realizarea obiectivelor specifice aferente proiectului.</t>
  </si>
  <si>
    <t>Dej</t>
  </si>
  <si>
    <t>Management performant la nivelul Primăriei Mangalia</t>
  </si>
  <si>
    <t>Municipiul Mangalia</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</si>
  <si>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</si>
  <si>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Constanța</t>
  </si>
  <si>
    <t>Mangalia</t>
  </si>
  <si>
    <t>Cresterea capacitatii administrative a Municipiului Constanta prin implementarea de masuri in
domeniul anticoruptiei</t>
  </si>
  <si>
    <t>Municipiul Constanta</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</si>
  <si>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</si>
  <si>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</si>
  <si>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</si>
  <si>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Imbunatatirea capacitatii adm-ve a CJ Constanța</t>
  </si>
  <si>
    <t>Judetul Constanta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</si>
  <si>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</si>
  <si>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Cresterea capacitatii administrative a Municipiului Constanta prin introducerea si mentinerea
sistemului de management al calitatii ISO 9001</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</si>
  <si>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</si>
  <si>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</si>
  <si>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</si>
  <si>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</si>
  <si>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</si>
  <si>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</si>
  <si>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</si>
  <si>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APT_SMC – Administrație Publică eficienTă prin Sistem de Management al Calității</t>
  </si>
  <si>
    <t>Judeţul Dâmbovița</t>
  </si>
  <si>
    <t>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orientate catre cetateni.</t>
  </si>
  <si>
    <t>Dâmbovița</t>
  </si>
  <si>
    <t>Târgoviste</t>
  </si>
  <si>
    <t>Prevenire ,educatie si combaterea
coruptiei (PECC)</t>
  </si>
  <si>
    <t>Municipiul Moreni</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</si>
  <si>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</si>
  <si>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</si>
  <si>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Eficienta institutionala si buna guvernare la
nivelul Municipiului Moreni</t>
  </si>
  <si>
    <t>Obiectivul general al proiectului consta în îmbunataþirea procesului decizional, a capacitații administrative si a calitatii si eficientei
serviciilor publice furnizate la nivelul Municipiului Moreni, din regiunea mai puțin dezvoltata Sud-Muntenia, prin implementarea de
proceduri de sistem si inițierea de masuri de simplificare a unor proceduri de lucru si a unor politici publice si prin dezvoltarea
cunostințelor si abilitaților personalului din cadrul instituției.
1. OS1: Implementarea unor mecanisme si proceduri standard (elaborare Strategie de dezvoltare a Municipiului Moreni, un set de
proceduri de sistem si operaþionale aplicabile la nivelul institutiei) pentru a creste eficienþa acþiunilor administrative la nivelul
Municipiului. OS 1 se va îndeplini prin Subactivitatile 2.1 si 2.2 si va conduce la atingerea rezultatului de program POCA R1.
2. OS2. Implementarea si utilizarea instrumentului de auto-evaluare de tip CAF (Cadrul comun de autoevaluare a modului de
funcþionare a instituþiilor publice) la nivelul Municipilui Moreni pentru sprijinirea schimbarii pentru performanþa, îmbunataþirea
modului de realizare a activitaþilor si de prestare a serviciilor publice. OS 2 se va indeplini prin subactivitatea 3.1 si va conduce la
atingerea rezultatului R2.
3. OS3. Imbunatatirea competentelor profesionale a unui numar de 100 persoane din diferite niveluri ierarhice (personal de
conducere, de execuþie, alesi locali) din cadrul Municipiului Moreni pe teme specifice. OS 3 se va îndeplini prin Activitatea 4 si va
conduce la atingerea rezultatului R5.</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</si>
  <si>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</si>
  <si>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</si>
  <si>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</si>
  <si>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 xml:space="preserve">Dolj </t>
  </si>
  <si>
    <t>Bailești</t>
  </si>
  <si>
    <t>SIMCA - Standarde și Instrumente în Implementarea Managementului Calității Administrative la nivelul Primăriei Municipiului Craiova</t>
  </si>
  <si>
    <t>Munuicipiul Craiova</t>
  </si>
  <si>
    <t>Craiova</t>
  </si>
  <si>
    <t>AA1/16.05.2019</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</si>
  <si>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</si>
  <si>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</si>
  <si>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</si>
  <si>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Dolj</t>
  </si>
  <si>
    <t>Băilești</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</si>
  <si>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</si>
  <si>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</si>
  <si>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</si>
  <si>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</si>
  <si>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AA1/18.09.2018</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</si>
  <si>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</si>
  <si>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</si>
  <si>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AA1/12.08.2019</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</si>
  <si>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</si>
  <si>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</si>
  <si>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</si>
  <si>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„CIVIC - CONSULTARE, INOVARE, VOLUNTARIAT, INFORMATIZARE ȘI COMUNICARE ÎN MUNICIPIUL BĂILEȘTI”</t>
  </si>
  <si>
    <t>ASOCIATIA CENTRUL PENTRU DEZVOLTARE DURABILA COLUMNA</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</si>
  <si>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</si>
  <si>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Simplificarea procedurilor prin eficientizare si digitalizare la consiliul județean</t>
  </si>
  <si>
    <t>Consiliul Județean Dolj</t>
  </si>
  <si>
    <t>Obiectivul general al proiectului/Scopul proiectului
Consolidarea capacitații Consiliului Județean Dolj de a asigura calitatea si accesul la serviciile publice oferite exclusiv prin simplificarea
procedurilor administraþiei locale si reducerea birocrației pentru cetațeni.
Obiectivele specifice ale proiectului
1. OS2. Implementarea unor masuri de simplificare pentru cetaþeni si firme, în corespondenþa cu Planul Integrat pentru simplificarea
procedurilor administrative aplicabile cetaþenilor, atât din perspectiva back-office (adaptarea procedurilor interne de lucru,digitalizarea arhivelor), cât si front-office.
2. OS3. Dezvoltarea cunostinþelor si abilitaþilor personalului din cadrul Consiliului Judetean Dolj, în vederea sprijinirii masurilor vizate
de proiect. Este avuta în vedere formarea/instruirea, evaluarea/testarea si certificarea competenþelor/cunostinþelor dobândite
pentru 75 de persoane din cadrul grupului þinta, în ceea ce priveste simplificarea procedurilor administrative. Obiectivul general al
serviciilor de instruire îl constituie familiarizarea persoanelor din grupul þinta cu implicaþiile conceptului de simplificare administrativa.</t>
  </si>
  <si>
    <t>AP 2/11i/2.3</t>
  </si>
  <si>
    <t>CP8 less /2018</t>
  </si>
  <si>
    <t>Asistență și educație juridica la nivelul cetățenilor din Drobeta-Turnu Severin</t>
  </si>
  <si>
    <t>UAT Municipiul Drobeta Turnu Severin</t>
  </si>
  <si>
    <t>Obiectivul general al proiectului:
Asigurarea unei transparențe si integrități sporite la nivelul sistemului judiciar în vederea îmbunataþirii accesului si a calității serviciilor furnizate la nivelul acestuia în cadrul UAT Drobeta-Turnu Severin;
Obiectiv specific al proiectului:
OS 2.1: Grad crescut de acces la justiție al cetățenilor prin derularea de campanii de informare/educaþie juridica si oferirea de servicii suport, inclusiv de asistenăț juridică, puse la dispoziția cetățenilor.</t>
  </si>
  <si>
    <t>Calitate și performanță în administrația publică - Primăria municipiului Tecuci</t>
  </si>
  <si>
    <t>Primăria Municipiului Tecuci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</si>
  <si>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</si>
  <si>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Galați</t>
  </si>
  <si>
    <t>Tecuci</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</si>
  <si>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</si>
  <si>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</si>
  <si>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</si>
  <si>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</si>
  <si>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</si>
  <si>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Implementarea unui sistem informatic integrat de management al documentelor, arhivă electronică și managementul relației cu cetățenii și mediul de afaceri, elaborarea Strategiilor de Dezvoltare Durabilă și Smart City</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</si>
  <si>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</si>
  <si>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AA1/10.12.2019</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</si>
  <si>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</si>
  <si>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</si>
  <si>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</si>
  <si>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Extinderea instrumentelor de management al performanței la nivelul Primăriei Municipiului Galați prin implementarea CAF</t>
  </si>
  <si>
    <t>Obiectiv general: Consolidarea capacitaþii administrative a Unitaþii administrativ teritoriale (UAT) Municipiul Galaþi pentru susþinerea unui
management performant prin introducerea si utilizarea instrumentului CAF aplicabil administraþiei locale, în concordanþa cu ”Planul de
acþiuni pentru i+J131mplementarea etapizata a managementului calitaþii în autoritaþi si instituþii publice 2016-2020” (cuantificare: 1 sistem de J131management implementat).                                                                                                        OS1. Implementarea si utilizarea instrumentului de auto-evaluare de tip CAF (Cadrul comun de autoevaluare a modului de
funcþionare a instituþiilor publice) la nivelul UAT Municipiul Galaþi pentru cresterea performanþei în administraþia publica locala si
îmbunataþirea serviciilor publice pentru comunitate.
 OS2. Dezvoltarea cunostinþelor si abilitaþilor unui numar de 45 de persoane de la nivelul UAT Municipiul Galaþi în vederea utilizarii
unui management al calitaþii si performanþei la nivelul autoritaþii publice locale.</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</si>
  <si>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</si>
  <si>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</si>
  <si>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</si>
  <si>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Giurgiu</t>
  </si>
  <si>
    <t>Dezvoltarea sistemului de management anticorupíe la nivelul judeúlui Giurgiu - SisABC</t>
  </si>
  <si>
    <t>Județul Giurgiu</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</si>
  <si>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</si>
  <si>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</si>
  <si>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AA1/05.06.2019</t>
  </si>
  <si>
    <t>Servicii transparente către cetățeni - Administrație locală perfromantă (SETALP)</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</si>
  <si>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</si>
  <si>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</si>
  <si>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OPTIMIZAREA PERFORMANȚEI SISTEMELOR INTERNE MANAGERIALE</t>
  </si>
  <si>
    <t>Judetul Gorj</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</si>
  <si>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</si>
  <si>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Gorj</t>
  </si>
  <si>
    <t>Tg. Jiu</t>
  </si>
  <si>
    <t>CALITATE = EFICIENTA = PERFORMANTA</t>
  </si>
  <si>
    <t>MUNICIPIUL TG - JIU</t>
  </si>
  <si>
    <t>JUDEȚUL GORJ</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</si>
  <si>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</si>
  <si>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</si>
  <si>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</si>
  <si>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</si>
  <si>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</si>
  <si>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</si>
  <si>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</si>
  <si>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</si>
  <si>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AA2/01.11.2019</t>
  </si>
  <si>
    <t>Introducerea de sisteme si standarde comune în administraþia publica locala ce optimizeaza procesele orientate catre beneficiari în
concordanța cu SCAP</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</si>
  <si>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</si>
  <si>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</si>
  <si>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Consolidarea Capacității Administrative a UAT Municipiul Motru</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</si>
  <si>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</si>
  <si>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</si>
  <si>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</si>
  <si>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Planificare strategica si managementul performantei la nivelul Primariei Municipiului
Gheorgheni prin instrumentul Balanced Scorecard</t>
  </si>
  <si>
    <t>Municipiului
Gheorgheni</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</si>
  <si>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</si>
  <si>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Harghita</t>
  </si>
  <si>
    <t>Gheorgheni</t>
  </si>
  <si>
    <t>AA2/13.08.2019</t>
  </si>
  <si>
    <t>Planificare strategică și managementul
performanței în folosul cetățenilor din
județul Harghita prin implementarea CAF
(CAFHR)</t>
  </si>
  <si>
    <t>Județul Harghita</t>
  </si>
  <si>
    <t xml:space="preserve">Obiectivul general este optimizarea proceselor orientate catre beneficiari în concordanþa cu SCAP prin introducerea sistemului CAF si instruirea personalului pentru implementarea unitara a managementului calitaþii si performanþei în administraþia publica locala, pentru a oferi servicii de calitate care sa asigure obþinerea satisfacþiei si încrederii cetaþenilor, în condiții de eficienþa, eficacitate.
Obiectivele specifice ale proiectului
1. Obiectiv specific 1: Elaborarea unui studiu privind situaþia actuala a managementului performanței la nivel strategic în cadrul Consiliului Județean Harghita si Introducerea unui instrument al managementului calitații, respectiv instrumentul CAF la nivelul Consiliului Județean Harghita pentru îmbunatațirea managementului performanței.
2. Obiectiv specific 2: Dezvoltarea si perfecționarea cunostințelor si abilitaților pentru 91 de persoane din cadrul Consiliului Judeþean Harghita în domeniul managementului performanței si a standardelor instrumentului CAF, cu scopul aplicarii acestor concepte în organizaþie pentru un management al calitații mai bun. Persoanele instruite vor acumula cunostințe care vizeaza atât principiile de management al calitații cât si aplicarea acestora în cadrul instituției. Cu ocazia desfasurarii fiecarei sesiuni de instruire, fiecarui modul de formare va fi prezentata o tema dedicata egalitații de sanse, nediscriminare si egalitate de gen si o tema dedicata dezvoltarii durabile.
</t>
  </si>
  <si>
    <t>Îmbunătățirea capacității instituționale și reducerea birocrației pentru cetățenii din Municipiul Toplița</t>
  </si>
  <si>
    <t>Municipiul Toplița</t>
  </si>
  <si>
    <t>Obiectivul general al proiectului corelat cu obiectivul specific al apelului de proiecte CP12/2018 urmareste imbunatatirea capacitatii
institutionale si reducerea birocratiei pentru cetateni, prin dezvoltarea si implementarea unei solutii informatice integrate.
OS 1: Achizitionarea unui pachet de solutii informatice pentru simplificarea procedurilor administrative si reducere a birocratiei
pentru cetateni.
OS 2: Dezvoltarea si implementarea solutiei informatice inovative la nivelul institutiei publice.
OS 3: Instruirea personalului din cadrul UAT Toplita pentru utilizarea optima a solutiei informatice integrate prin proiect.</t>
  </si>
  <si>
    <t>Toplita</t>
  </si>
  <si>
    <t>Eficientizarea proceselor interne ale primăriei și a interacțiunii cu cetățenii prin implementarea unui sistem informatic integrat și a unui portal de servicii electronice</t>
  </si>
  <si>
    <t>Municipiul Gheorgheni</t>
  </si>
  <si>
    <t>Cresterea eficienþei administrative a Primariei Municipiului Gheorgheni prin implementarea unor sisteme informatice inovative, ca masuri de simplificare si modernizare a furnizarii serviciilor catre cetaþeni si mediul de afaceri.
Obiectivele specifice ale proiectului
1. Optimizarea activitaților interne ale funcționarilor, prin implementarea unei platforme informatice integrate pentru managementul
fluxurilor de activitați si de documente, pentru managementul activitatilor financiar-economice, al gestiunii patrimoniului si al
activitatilor de urbanism.
2. Implementarea unei platforme software de tip portal, integrarea acesteia cu subsistemul back-office si configurarea in portal a
unor servicii electronice care sa fie furnizate online catre cetațeni.
3. Imbunataþirea abilitaților si cunostinþelor personalului municipiului Gheorgheni pentru utilizarea sistemelor informatice
implementate prin proiect.</t>
  </si>
  <si>
    <t>Management performant în administrația publică din municipiul Vulcan</t>
  </si>
  <si>
    <t>Municipiul Vulcan</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</si>
  <si>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</si>
  <si>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 xml:space="preserve">Hunedoara </t>
  </si>
  <si>
    <t>Vulcan</t>
  </si>
  <si>
    <t>Măsuri pentru prevenirea corupției în administrația publică locală a Municipiului Deva din județul Hunedoara</t>
  </si>
  <si>
    <t>Municipiul Deva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</si>
  <si>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</si>
  <si>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Hunedoara</t>
  </si>
  <si>
    <t>Deva</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</si>
  <si>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</si>
  <si>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</si>
  <si>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Solutii informatice integrate pentru simplificarea procedurilor administrative si reducerea birocratiei</t>
  </si>
  <si>
    <t>Municipiul Hunedoara</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</si>
  <si>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</si>
  <si>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</si>
  <si>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</si>
  <si>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</si>
  <si>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AA1/22.08.2019</t>
  </si>
  <si>
    <t>ePAS-eficientizarea Procedurilor Administrative prin Simplificare la Primăria Municipiului Petroșani</t>
  </si>
  <si>
    <t>Municipiul Petroșani</t>
  </si>
  <si>
    <t>Obiectiv general:Consolidarea capacitaþii Primariei Municipiului Petrosani de a asigura calitatea si accesul la serviciile publice oferite exclusiv de Primarie prin simplificarea procedurilor administraþiei locale si reducerea birocraþiei pentru cetaþeni                                                                     . OS1. Îmbunatațirea procesului de planificare strategica si alocare a resurselor în cadrul Primariei Municipiului Petrosani prin introducerea unui instrument informatic de bugetare participativa
OS2. Implementarea unor masuri administrative simplificate în relaþia cu cetaþenii, în corespondență cu Planul Integrat pentru simplificarea procedurilor administrative aplicabile cetaþenilor, atât din perspectiva back-office (adaptarea procedurilor interne delucru, digitalizarea arhivelor), cât si front-office (prelucrarea si soluționarea on-line a solicitarilor cetațenilor).
3. OS3. Dezvoltarea cunostinþelor si abilitaþilor personalului din cadrul Primariei Municipiului Petrosani, în vederea sprijinirii masurilor vizate de proiect. Este avuta în vedere formarea/instruirea, evaluarea/testarea si certificarea competenþelor/cunostințelor dobândite pentru 75 de persoane din cadrul grupului þinta, în ceea ce priveste simplificarea administrativa si planificarea strategica.</t>
  </si>
  <si>
    <t>Petroșani</t>
  </si>
  <si>
    <t>Proceduri Administrative Simplificate prin Eficientizare Digitala - la Primaria Municipiului Lupeni</t>
  </si>
  <si>
    <t>Municipiul Lupeni</t>
  </si>
  <si>
    <t>Obiectivul general al proiectului: Consolidarea capacității Primăriei municipiului Lupeni de a asigura calitatea și accesul la serviciile publice oferite exclusiv de Primărie prin
simplificarea procedurilor administrației locale și reducerea birocrației pentru cetățeni                                                                                OS1. Îmbunataþirea procesului de planificare strategica si alocare a resurselor în cadrul Primariei Municipiului Lupeni prin introducerea unui sistem intern managerial certificat
2. OS2. Implementarea unor masuri de simplificare pentru cetaþeni - în corespondenþa cu Planul Integrat pentru simplificarea procedurilor administrative aplicabile cetaþenilor - atât din perspectiva back-office (adaptarea procedurilor interne de lucru, digitalizarea arhivelor), cât si front-office.
3. OS3. Dezvoltarea cunostinþelor si abilitaþilor personalului din cadrul Primariei Municipiului Lupeni, în vederea sprijinirii masurilor vizate de proiect. Este avuta în vedere formarea/instruirea, evaluarea/testarea si certificarea competenþelor/cunostinþelor dobândite pentru 70 de persoane din cadrul grupului þinta, în ceea ce priveste simplificarea procedurilor. Obiectivul general al
serviciilor de instruire îl constituie familiarizarea persoanelor din grupul þinta cu implicaþiile simplificarii procedurilor administrative.</t>
  </si>
  <si>
    <t>Lupeni</t>
  </si>
  <si>
    <t>Soluții informatice integrate pentru simplificarea procedurilor administrative și reducerea birocrației la nivelul Municipiului Orăștie</t>
  </si>
  <si>
    <t>Municipiul Orăștie</t>
  </si>
  <si>
    <t>Obiectivul general al proiectului consta in consolidarea capacitații instituționale și eficientizarea activității la nivelul Municipiului Orastie prin simplificarea procedurilor administrative și reducerea birocrației pentru cetățeni, implementând măsuri din perspectiva back-office (adaptarea procedurilor interne de lucru, digitalizarea arhivelor) și front-office pentru serviciile publice furnizate.</t>
  </si>
  <si>
    <t>Orăștie</t>
  </si>
  <si>
    <t>Proceduri Administrative Simplificate la Primăria Municipiului Vulcan</t>
  </si>
  <si>
    <t xml:space="preserve">Consolidarea capacitații Primăriei Municipiului Vulcan de a asigura calitatea și accesul la serviciile publice oferite exclusiv de primărie prin simplificarea procedurilor administrației locale si reducerea birocrației pentru cetățeni.
Obiectivele specifice ale proiectului
1. OS1. Îmbunătățirea procesului de planificare strategica si alocare a resurselor în cadrul Primăriei Municipiului Vulcan prin introducerea unui instrument informatic de colectare, consultare si votare a propunerilor de la cetățeni.
2. OS2. Implementarea unor masuri de simplificare pentru cetățeni, în corespondență cu Planul Integrat pentru simplificarea procedurilor administrative aplicabile cetățenilor, atât din perspectiva back-office (adaptarea procedurilor interne de lucru, digitalizarea arhivelor), cât si front-office.
3. OS3. Dezvoltarea cunoștințelor și abilitaților personalului din cadrul Primăriei Municipiului Vulcan în vederea sprijinirii masurilor vizate de proiect. In principal este avuta în vedere instruirea, evaluarea si certificarea competențelor dobândite pentru 75 de persoane din cadrul grupului țintă în ceea ce privește utilizarea mecanismelor de simplificare a procedurilor.
</t>
  </si>
  <si>
    <t>Creșterea gradului de transparență în administrația publică locală și facilitarea accesului cetățeanului la serviciile publice în format electronic la nivelul Municipiului Brad</t>
  </si>
  <si>
    <t>MUNICIPIUL BRAD</t>
  </si>
  <si>
    <t>Obiectivul general al proiectului constă în consolidarea capacității instituționale și eficientizarea activității la nivelul Municipiului Brad, prin simplificarea procedurilor administrative și reducerea birocrației pentru cetățeni, implementând măsuri din perspectivă back-office (adaptarea procedurilor interne de lucru, digitalizarea arhivelor), și front-office pentru serviciile publice furnizate.
Obiectivele specifice ale proiectului
1. OS1. Implementarea unor măsuri de simplificare pentru cetățeni, în legătură cu Planul integrat pentru simplificarea procedurilor administrative aplicabile cetățenilor, atât din perspectivă back-office (adaptarea procedurilor interne de lucru, digitalizarea arhivelor), cât și front-office. În acest sens sunt avute în vedere achiziția și implementarea unei platforme integrate pentru arhivarea electronică, respectiv a unei platforme integrate (portal web, aplicație pentru dispozitive mobilă) pentru servicii electronice complete (inclusiv semnătură electronică), a unui terminal interactiv de tip self-service pentru servicii electronice. Platforma integrată pentru servicii electronice este bazată pe implementarea următoarelor principii: One Stop Shop pentru livrarea de servicii publice electronice; utilizarea inteligentă a informațiilor disponibile prin aplicarea principiului înregistrării "o singură dată" a datelor – conceptul  de identitate electronică a cetățeanului; spațiul privat virtual al cetățeanului în relația cu primăria.
2. OS2. Dezvoltarea cunoștințelor și abilităților personalului din cadrul Municipiului Brad, în vederea sprijinirii măsurilor vizate de proiect. Este avută în vedere formarea/instruirea, evaluarea/testarea și certificarea competențelor/cunoștințelor dobândite pentru 55 persoane din cadrul grupului țintă, în ceea ce privește utilizarea soluțiilor informatice implementate în cadrul proiectului . Obiectivul general al serviciilor de instruire îl constituie familiarizarea cu componentele soluţiei informatice implementate, prin însuşirea cunoştinţelor necesare utilizării aplicaţiilor, deprinderea funcţionalităţilor și a modului de folosire a acestora, înțelegerea implicațiilor și avantajelor raportate la realizarea obiectivelor specifice aferente proiectului.</t>
  </si>
  <si>
    <t>Brad</t>
  </si>
  <si>
    <t>Implementarea cadrului comun de auto-evaluare - garanția unei administrații eficiente în slujba cetățeanului</t>
  </si>
  <si>
    <t>Consiliul Județean Ialomița</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</si>
  <si>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</si>
  <si>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</si>
  <si>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</si>
  <si>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Calitate și performanță în administrația publică locală a Municipiului Urziceni</t>
  </si>
  <si>
    <t>Primăria Municipiului Urziceni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</si>
  <si>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</si>
  <si>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Urziceni</t>
  </si>
  <si>
    <t>AA 2/ 05.06.2019</t>
  </si>
  <si>
    <t>Formare, Dezvoltare, Responsabilizare pentru prevenirea coruptiei si asigurarea eticii si integritatii in administratia publica a Municipiului Fetesti</t>
  </si>
  <si>
    <t>Municipiul Fetesti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</si>
  <si>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</si>
  <si>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Fetesti</t>
  </si>
  <si>
    <t>AA 1/22.07.2019</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</si>
  <si>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</si>
  <si>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</si>
  <si>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</si>
  <si>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Eficiență și performanta in administratia
publica locala a Municipiului Fetesti</t>
  </si>
  <si>
    <t>Municipiul Fetești</t>
  </si>
  <si>
    <t>Obiectivul general al proiectului: Imbunatatirea capacitatii institutionale si eficientizarea activitatii in UAT Municipiul Fetesti prin
implementarea de masuri de simplificare a procedurilor administrative si reducere a birocratiei catre cetateni - introducerea unui sistem
informatic integrat in UAT- , cat si dezvoltarea cunostintelor personalului din cadru UAT, in scopul implementarii si utilizarii optime a
masurilor realizate prin proiect.
Obiectivul general va fi o consecinta directa a indeplinirii urmatoarelor doua obiective specifice definite in cadrul proiectului:
Obiectivele specifice ale proiectului
1. Obiectiv specific nr.1 - Dezvoltarea si implementarea unui sistem informatic integrat care sa sustina simplificarea procedurilor
interne de lucru si reducerea birocratiei pentru cetatenii Municipiului Fetesti din perspectiva back-office, cat si front-office, in
vederea furnizarii unor servicii publice performante si gestionate in mod eficient la nivelul UAT.
2. Obiectiv specific nr.2 - Dezvoltarea cunostintelor si abilitatilor personalului din UAT Mun. Fetesti prin formare pe teme specifice de
interes care au legatura cu OS2.1 si cu obiectivul general al proiectului, incluzand si un proces de instruire interna pentru
utilizarea masurilor dezvoltate prin proiect.</t>
  </si>
  <si>
    <t>Fetești</t>
  </si>
  <si>
    <t>Soluții informatice integrate pentru simplificarea procedurilor administrative și reducerea birocrației la nivelul Municipiului</t>
  </si>
  <si>
    <t>Municipiul Urziceni</t>
  </si>
  <si>
    <t>Obiectivul general al proiectului consta in consolidarea capacitaþii instituþionale si eficientizarea activitaþii la nivelul Municipiului Urziceni prin simplificarea procedurilor administrative si reducerea birocraþiei pentru cetaþeni, implementând masuri din perspectiva back-office (adaptarea procedurilor interne de lucru, digitalizarea arhivelor) si front-office pentru serviciile publice furnizate.                                 OS1. Simplificarea furnizarii serviciilor catre cetaþeni prin implementarea unei platforme integrate de servicii electronice care va
furniza digital fluxurile de lucru de baza din cadrul instituþiei, reducând astfel întârzierile în procesul decizional cu impact asupra
activitaþilor operative si va asigura accesul online la serviciile publice gestionate de UAT.
2. OS2. Îmbunataþirea abilitaþilor si cunostinþelor personalului UAT în domeniul utilizarii sistemelor informatice dezvoltate prin proiect</t>
  </si>
  <si>
    <t>Simplificarea Procedurilor Administrative prin Digitalizare</t>
  </si>
  <si>
    <t>Municipiul Pascani</t>
  </si>
  <si>
    <t xml:space="preserve">Obiectiv general-Consolidarea capacitaþii Primariei Municipiului Pascani de a asigura calitatea si accesul la serviciile publice oferite exclusiv de Primarie prin simplificarea procedurilor administraþiei locale si reducerea birocraþiei pentru cetaþenii.
Obiective specifice:
OS1. Îmbunataþirea procesului de planificare strategica si alocare a resurselor în cadrul Primariei Municipiului Pascani
prin introducerea unui instrument informatic de bugetare participativa.
 OS2.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OS3. Dezvoltarea cunostinþelor si abilitaþilor personalului din cadrul Primariei Municipiului Pascani , în vederea sprijinirii masurilor vizate de proiect. Este avuta în vedere formarea/instruirea,evaluarea/testarea si certificarea competenþelor/cunostinþelor dobândite pentru 75 de persoane din cadrul grupului þinta, în ceea ce priveste planificarea strategica. </t>
  </si>
  <si>
    <t>Iasi</t>
  </si>
  <si>
    <t>Pascani</t>
  </si>
  <si>
    <t>CP6 more /2017</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</si>
  <si>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</si>
  <si>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</si>
  <si>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</si>
  <si>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</si>
  <si>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</si>
  <si>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AA2/13.12.2019 prelungire 5 luni + 1 lună</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</si>
  <si>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</si>
  <si>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</si>
  <si>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Planificare strategica si decizionala la nivelul Unității Administrativ Teritoriale Județul Ilfov – garanția unui cadru administrativ coerent în beneficiul comunității</t>
  </si>
  <si>
    <t>1. Dezvoltarea si implementarea unor mecanisme si proceduri standard pe baza unei metodologii fundamentate pe analiza ex-post
a procesului decizional si a planificarii strategice la nivelul UAT-Judeþul Ilfov în perioada 2014-2018
2. Dezvoltarea si implementarea unui program de formare având ca obiect planificarea strategica si fundamentarea deciziilor în
vederea întaririi capacitaþii a 80 de angajaþi (demnitari, consilieri, personal de conducere si execuþie) ai UAT – Judeþul Ilfov.</t>
  </si>
  <si>
    <t>MaraQuality</t>
  </si>
  <si>
    <t>Județul Maramureș</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</si>
  <si>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</si>
  <si>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Maramureș</t>
  </si>
  <si>
    <t>Baia Mare</t>
  </si>
  <si>
    <t>MaraStrategy</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</si>
  <si>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</si>
  <si>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Planificare Strategică și Implementarea de Proceduri pentru reducerea birocrației în Municipiul Baia Mare și Zona Metropolitană</t>
  </si>
  <si>
    <t>Municipiul Baia Mare</t>
  </si>
  <si>
    <t>ASOCIATIA DE DEZVOLTARE INTERCOMUNITARA ZONA METROPOLITANA BAIA MARE</t>
  </si>
  <si>
    <t xml:space="preserve">Obiectivul general al proiectului: Imbunatatirea proceselor de luare a deciziei si planificare strategica la nivelul Municipiului Baia Mare si al Asociatiei de Dezvoltare Intercomunitara Zona Metropolitana Baia Mare, prin introducerea unor metode si sisteme coerente de fundamentare a deciziilor, corelare cu resursele disponibile si pregatirea personalului aparatului tehnic de specialitate, pentru utilizarea acestor instrumente.
Obiectivele specifice ale proiectului
1. Îmbunatațirea procesului de planificare strategica – elaborare Plan Strategic Instituțional, prioritizare a investițiilor (educație,
sanatate, infrastructura si transport), actualizarea strategiilor (SIDU, PMUD, PAED), cresterea implicarii comunitații locale si
atragerea de investiții
2. Furnizarea instrumentelor software de interacțiune cu cetațeanul si implicare a comunitații locale în actul administrative în
domeniile eGuvernare si transport public local
</t>
  </si>
  <si>
    <t>Imbunătățirea procesului de management în cadrul UAT Municipiul Drobeta Turnu Severin</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</si>
  <si>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</si>
  <si>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Mehedinți</t>
  </si>
  <si>
    <t>Drobeta Turnu Severin</t>
  </si>
  <si>
    <t>AA2/16.05.2019</t>
  </si>
  <si>
    <t>Sprijinirea măsurilor referitoare la prevenirea corupției la nivelul municipiului Drobeta Turnu Severin</t>
  </si>
  <si>
    <t>Municipiul Drobeta Turnu Severin</t>
  </si>
  <si>
    <t xml:space="preserve">Asociația Transparență pentru Integritate   </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</si>
  <si>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</si>
  <si>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AA1/26.07.2019</t>
  </si>
  <si>
    <t>Introducerea de sisteme SMART pentru reducerea birocrației din Municipiul Drobeta Turnu Severin</t>
  </si>
  <si>
    <t>Asociația Centrul pentru Dezvoltare Durabilă Columna</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</si>
  <si>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</si>
  <si>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</si>
  <si>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</si>
  <si>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</si>
  <si>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Mureș</t>
  </si>
  <si>
    <t>Târgu Mureș</t>
  </si>
  <si>
    <t>Creșterea calității serviciilor publice, îmbunătățirea sistemului de management al calității - Târgu-Mureș</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</si>
  <si>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</si>
  <si>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</si>
  <si>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</si>
  <si>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</si>
  <si>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</si>
  <si>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</si>
  <si>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Județul Mureș</t>
  </si>
  <si>
    <t>Municipiul Sighișoara</t>
  </si>
  <si>
    <t>Implementarea unor masuri de simplificare a serviciilor pentru cetateni la nivelul Consiliului Judetean Mures</t>
  </si>
  <si>
    <t>Consolidarea capacitații Consiliului Judetean Mures de a asigura calitatea si accesul la serviciile publice oferite prin simplificarea
procedurilor administrative si reducerea birocraþiei pentru cetațeni.</t>
  </si>
  <si>
    <t>Planificare strategica si simplificarea procedurilor administrative la nivelul Municipiului Tarnaveni</t>
  </si>
  <si>
    <t>Municipiul Tarnaveni</t>
  </si>
  <si>
    <t xml:space="preserve">Obiectivul general al proiectului/Scopul proiectului
Obiective proiect OBIECTIVUL GENERAL AL PROIECTULUI - Promovarea accesului egal la masuri integrate de educatie, ocupare, antreprenoriat, servicii sociale, acte, locuire, antidiscriminare pentru persoanele din zone urbane marginalizate din municipiul Tarnaveni, judeul Mures, aflate în risc de saracie si excluziune sociala din comunitaile marginalizate în care exista populaie aparinând minoritaii rome.
Strategia de implementare a proiectului are 4 COMPONENTE interconectate si clare, care sunt alocate partenerilor in functie de responsabilitatile acestora bazate pe experienta si expertiza specifica si care vizeaza o corelare comprehensiva in acordarea pachetului integrat de servcii si rezultate pentru grupul tinta propus in proiect. Cele 4 componente interconectate sunt urmatoarele: COMPONENTA 1 - servicii socio-medicale, acte, locuire; COMPONENTA 2 - ocupare si antreprenoriat; COMPONENTA 3 - educatie; COMPONENTA 4 - campanie antidiscriminare.
Obiectivele specifice ale proiectului
1. Obiectiv 1 - Acordarea si dezvoltarea de servicii socio-medicale, acordarea sprijinului in obtinerea de acte de proprietate si identitate, imbunatatirea conditiilor de locuire, realizarea unei campanii de antidiscriminare pentru persoanele din municipiul Tarnaveni, judeul Mures aflate în risc de saracie si excluziune sociala din comunitaile marginalizate în care exista populaie aparinând minoritaii rome.
2. Obiectiv 2 - Dezvoltarea deprinderilor pentru accesarea de locuri de munca pentru 376 de persoane din municipiul Tarnaveni, judeul Mures aflate în risc de saracie si excluziune sociala din comunitaile marginalizate în care exista populaie aparinând minoritaii rome.
3. Obiectiv 3 - Sprijinirea cresterii calitatii actului educational pentru 120 de copii prescolari si scolari si 40 de tineri si adulti din cadrul persoanelor din municipiul Tarnaveni, judeul Mures aflate în risc de saracie si excluziune sociala din comunitaile
marginalizate în care exista populaie aparinând minoritaii rome.
</t>
  </si>
  <si>
    <t>MURES</t>
  </si>
  <si>
    <t xml:space="preserve">Municipiul Tarnaveni </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</si>
  <si>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</si>
  <si>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</si>
  <si>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</si>
  <si>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NEAMȚ</t>
  </si>
  <si>
    <t>Municipiul Piatra Neamț</t>
  </si>
  <si>
    <t>finalizat</t>
  </si>
  <si>
    <t>Creșterea capacității administrative a Municipiului Roman prin reproiectarea SMC și introducerea CAF</t>
  </si>
  <si>
    <t>Municipiul ROMAN</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</si>
  <si>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</si>
  <si>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</si>
  <si>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</si>
  <si>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</si>
  <si>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ADMINISTRAȚIE ELECTRONICĂ LA NIVELUL MUNICIPIULUI ROMAN PENTRU REDUCEREA
BIROCRAȚIEI</t>
  </si>
  <si>
    <t>Municipiul Roman</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</si>
  <si>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</si>
  <si>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Implementarea unui sistem de management performant pentru îmbunătățirea proceselor interne și creșterea calității serviciilor Primăriei Municipiului Caracal</t>
  </si>
  <si>
    <t>Municipiul Caracal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</si>
  <si>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</si>
  <si>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Olt</t>
  </si>
  <si>
    <t>Caracal</t>
  </si>
  <si>
    <t>Transparență, etică și integritate prin parteneriat social</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</si>
  <si>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</si>
  <si>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</si>
  <si>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AA1</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</si>
  <si>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</si>
  <si>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</si>
  <si>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</si>
  <si>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AA 1/</t>
  </si>
  <si>
    <t>PRO-ADMIN - Administratie locala performanta</t>
  </si>
  <si>
    <t xml:space="preserve">
Dezvoltarea si implementarea unor solutii informatice privind simplificarea procedurilor administrative in primaria Carcal, in vederea
cresterii capacitatii institutionale privind fundamentarea deciziilor si planificare strategica pe termen lung, precum si reducerea birocratiei,
prin dezvoltarea si implementarea unor sisteme informatice inovative pentru serviciile furnizate catre cetateni.
Obiectivele specifice ale proiectului
 Obs. 1) Introducerea si implementarea unui mecanism de bugetare participativa in scopul cresterii calitatii procesului decizional,
pentru a raspunde in mod fundamentat si coerent nevoilor comunitatii locale Caracal.
 Obs. 2) Consolidarea capacitatii institutionale privind planificarea si fundamentarea strategica, prin dezvoltarea si elaborarea
Strategiei de dezvoltare durabila a Municipiului Caracal pentru perioada 2021 -2027 si a PMUD
Obs. 3) Dezvoltarea, implementarea si susinerea de masuri de simplificare, atat din perspectiva back-office cât si front-office
pentru serviciile furnizate direct cetatenilor si mediului de afaceri din municipiului Caracal.
 Obs. 4) Dezvoltarea si implementarea unor programe de instruire specifice privind dezvoltarea competentelor si abilitatilor pentru
angajatii (demnitari, consilieri, personal de conducere si executie) din municipiului Caracal.</t>
  </si>
  <si>
    <t>Administratie eficienta, servicii de calitate la nivel judetean</t>
  </si>
  <si>
    <t>Judetul Olt</t>
  </si>
  <si>
    <t xml:space="preserve">OS 1: Introducerea unor mecanisme si proceduri standard implementate la nivel local pentru fundamentarea deciziilor si planificarea strategica pe termen lung.
OS 2: Realizarea unor seturi de Proceduri simplificate pentru reducerea birocratiei pentru cetateni la nivel local, corelate cu Planul integrat de simplificare a procedurilor administrative pentru cetateni implementate.
OS 3: Cresterea nivelului de cunostinte si abilitati ale personalului Consiliului Judetean Olt, in vederea sprijinirii masurilor/actiunilor vizate de acest obiectiv specific.
</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</si>
  <si>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</si>
  <si>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</si>
  <si>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</si>
  <si>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</si>
  <si>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</si>
  <si>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</si>
  <si>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</si>
  <si>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</si>
  <si>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</si>
  <si>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PRAHOVA</t>
  </si>
  <si>
    <t>AA1/27.02.2019</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</si>
  <si>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</si>
  <si>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</si>
  <si>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</si>
  <si>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AA1/09.08.2019</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</si>
  <si>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</si>
  <si>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</si>
  <si>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Soluții informatice integrate pentru simplificarea procedurilor administrative si reducerea birocrației la nivelul Municipiului Câmpina</t>
  </si>
  <si>
    <t>Municpiul Câmpina
/PROGRAME DE FINANTARE, RELATII INTERNATIONALE SI PROTOCOL</t>
  </si>
  <si>
    <t>Obiectivul general al proiectului consta in consolidarea capacitaþii instituþionale si eficientizarea activitaþii la nivelul Municipiului Câmpina
prin simplificarea procedurilor administrative si reducerea birocraþiei pentru cetaþeni, implementând masuri din perspectiva back-office
(adaptarea procedurilor interne de lucru, digitalizarea arhivelor) si front-office pentru serviciile publice furnizate.</t>
  </si>
  <si>
    <t>Simplificare administrativă și optimizarea serviciilor pentru cetățeni în județul Prahova</t>
  </si>
  <si>
    <t>Obiectiv general: Optimizarea proceselor orientate catre cetateni, in concordanta cu Strategia pentru Consolidarea Administratiei Publice, respectiv,
cresterea calitatii procesului decizional la nivelul administratiri publice locale, pentru a raspunde in mod fundamentat si coerent nevoilor
comunitatii locale. Acest lucru se va realiza prin eficientizarea proceselor orientate catre cetateni si entitati juridice, prin realizarea unei platforme de furnizare online a serviciilor specifice CJ Prahova, introducerea serviciilor on-line, digitalizarea proceselor de administrare a documentelor prin introducerea acestora in arhiva si retro-digitalizarea documentelor din arhiva, în concordanta cu Strategia pentru Consolidarea Administratiei Publice.                                                                      OS1. Implementarea de masuri de simplificare pentru cetateni dar si pentru Beneficiar atat din perspectiva back-office cat si front-office
prin implementarea unui set de servicii on-line (furnizate exclusiv de catre Beneficiar) bazate pe o platforma de gestionare a
proceselor de administrare a documentelor, digitizarea si retro-digitalizarea documentelor din arhiva de interes pentru cetateni
sau entitatilor juridice din cadrul UAT-ului, respectiv furnizarea online a serviciilor gestionate exclusiv de catre CJ Prahova
OS2. Imbunatatirea competentelor si cunostintelor privind utilizarea procedurilor simplificate referitor la furnizarea de servicii on-line si
digitizarea documentelor pentru 30 persoane - personal de conducere si de executie din cadrul aparatului de specialitate al CJ Prahova.</t>
  </si>
  <si>
    <t>Soluții informatice integrate pentru optimizarea activității administrative, creșterea competentelor și a nivelului de calitate a serviciilor publice pentru cetățeni și mediul de afaceri la nivelul Municipiului Ploiești</t>
  </si>
  <si>
    <t>Municipiul Ploiești</t>
  </si>
  <si>
    <t>Consolidarea capacitaþii instituþionale a Primariei Municipiului Ploiesti prin monitorizarea si evaluarea continua a calitaþii si performanþei
administraþiei locale în vederea optimizarii proceselor administrative ale primariei si adoptarea unor masuri de crestere a implicarii
cetaþenilor în procesul de dezvoltare urbana si a transparentei actului administrativ, imbunatatirea mecanismelor de control, prin
implementarea unui sistem informatic inovativ de tip portal.
1. 1. Implementarea unor mecanisme si proceduri standard - Plan strategic instituþional 2020 – 2021, pentru a creste
eficienþa acþiunilor adimintrative la nivelul Municipiului Ploiesti.
2. 2. Optimizarea proceselor administrative ale primariei prin implementarea unui sistem informatic integrat de management
al calitaþii si performanþei care sa asigure gestiunea, monitorizarea si evaluarea continua a calitaþii si performanþei administraþiei
Municipiului Ploiesti.
3. 3. Simplificarea furnizarii serviciilor catre cetaþeni si mediul de afaceri, prin implementarea unei sistem informatic/platform
integrate de tip portal web centru de Inovare si Initiativa Civica pentru cresterea implicarii functionarilor primariei si a transparentei
actului administrativ si imbunatatirea mecanismelor de control.
4. 4. Îmbunataþirea abilitaþilor si cunostinþelor personalului municipiului Ploiesti în domeniul utilizarii sistemelor informatice
dezvoltate prin proiect si totodata îmbunatatirea competentelor profesionale a unui numar de 50 persoane din diferite niveluri
ierarhice (personal de conducere si de execuþie) din cadrul Municipiului Ploiesti pe teme specifice (ex. planificare strategica,
planificare bugetara, politici locale, fundamentare, elaborare, implementare, monitorizare si evaluare a deciziilor la nivelul
administraþiei publice locale, etc)</t>
  </si>
  <si>
    <t>Sălajul spune NU corupției!</t>
  </si>
  <si>
    <t>Județul Sălaj</t>
  </si>
  <si>
    <t>n/a</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</si>
  <si>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</si>
  <si>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SĂLAJ</t>
  </si>
  <si>
    <t>Zalău</t>
  </si>
  <si>
    <t>AA1/19.11.2019</t>
  </si>
  <si>
    <t>SPECIAL ZALĂU - Servicii Publice Electronice de Calitate și Integrate pentru Administrația Locală din Municipiul Zalău</t>
  </si>
  <si>
    <t>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</si>
  <si>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</si>
  <si>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</si>
  <si>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</si>
  <si>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Sălaj</t>
  </si>
  <si>
    <t>Implementarea Sistemului de Management al Calitatii si Performantei conform SR EN ISO 9001:2015 în cadrul Consiliului Judetean Salaj</t>
  </si>
  <si>
    <t>Judetul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</si>
  <si>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</si>
  <si>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Salaj</t>
  </si>
  <si>
    <t>Zalau</t>
  </si>
  <si>
    <t>Sisteme de management performant pentru Consiliul Județean Sălaj</t>
  </si>
  <si>
    <t>Consiliul Județean Sălaj</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</si>
  <si>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</si>
  <si>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AA1/11.02.2019</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</si>
  <si>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</si>
  <si>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Implementarea sistemului de management al calității pentru creșterea performanței administrației publice locale în municipiul Satu Mare</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</si>
  <si>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</si>
  <si>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</si>
  <si>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</si>
  <si>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Satu Mare</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</si>
  <si>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</si>
  <si>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</si>
  <si>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Introducerea de sisteme și standarde comune în administrația publică locală ce optimizează procesele orientate către cetățeni în Municipiul Carei</t>
  </si>
  <si>
    <t>Municipiul Carei</t>
  </si>
  <si>
    <t xml:space="preserve">Obiectivul general al proiectului consta în dezvoltarea capacitații instituționale si optimizarea activității la nivelul Municipiului Carei prin masuri implementate din perspectiva back-office (adaptarea procedurilor interne de lucru, digitalizarea arhivelor) si front-office (oferirea de servicii si informații accesibile tuturor cetățenilor), pentru serviciile publice furnizate de către administrația publica locala precum si dezvoltarea aptitudinilor angajaților.
Obiectivele specifice ale proiectului
1. OS1. Implementarea unor masuri în corespondenta cu Planul integrat pentru simplificarea procedurilor administrative pentru
cetățeni din perspectivele front-office si back-office prin achiziția si implementarea unei platforme integrate care va furniza digital fluxurile de lucru de baza din cadrul instituției si va asigura accesul online la serviciile publice gestionate de Municipiul Carei, pana in 2023.
2. OS2 .Dezvoltarea cunoștințelor si abilitaților a 30 de angajați din cadrul personalului de conducere si execuție al UAT Municipiul Carei, in vederea sprijinirii masurilor vizate de proiect prin formarea/instruirea utilizatorilor in ceea ce privește soluțiile informatice implementate in cadrul proiectului precum si a responsabilităților in materia comunicării, transparenta decizională si
managementul documentelor, pana in 2023.
</t>
  </si>
  <si>
    <t>Carei</t>
  </si>
  <si>
    <t>Sa spunem NU coruptiei</t>
  </si>
  <si>
    <t>Județul Sibiu</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</si>
  <si>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</si>
  <si>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</si>
  <si>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0,00</t>
  </si>
  <si>
    <t>AA nr.1/18.11.2019</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</si>
  <si>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</si>
  <si>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</si>
  <si>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</si>
  <si>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</si>
  <si>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</si>
  <si>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Sustenabilitate. Inovare. Bunăstare. Incluziune Socială. Unitate. SIBIU - Strategia 2030</t>
  </si>
  <si>
    <t>Județul SIBIU</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</si>
  <si>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</si>
  <si>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Resurse Integrate pentru o Dezvoltare Locală Sustenabilă</t>
  </si>
  <si>
    <t>Municipiul Mediaș</t>
  </si>
  <si>
    <t>Obiectivul general al proiectului/Scopul proiectului
Obiectivul general al proiectului consta in consolidarea capacitatii administrative a Municipiului Medias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OS 1 Dezvoltarea capacitatii de planificare strategica la nivelul administratiei publice locale din Municipiul Medias prin realizarea
Strategiei Smart City orizont 2027 si a Strategiei de Dezvoltare Durabila pentru perioada 2021-2027
2. OS 2 Eficientizarea si simplificarea serviciilor furnizate cetatenilor de catre Primaria Muncipiului Medias prin implementarea unei
solutii de portal cu servicii digitale pentru cetateni, managementul documentelor, ERP si retrodigitalizarea arhivei
3. OS3-Intarirea capacitatii institutionale in cadrul Primariei Municipiului Medias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</si>
  <si>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Etică și integritate în județul Suceava</t>
  </si>
  <si>
    <t>Județul Suceava</t>
  </si>
  <si>
    <t xml:space="preserve">Obiectivul general al proiectului/Scopul proiectului
Obiectivul general al proiectului constă în creșterea transparenței, eticii și integrității în cadrul Consiliului Județean Suceava și a unităților administrativ- teritoriale și instituțiilor publice din județul Suceava.
Acest obiectiv general încadrează proiectul în aria Axei prioritare 2. Administrație publică și sistem judiciar accesibile și transparente, Obiectivul specific 2.2. Creșterea transparenței, eticii și integrității în cadrul autorităților și instituțiilor publice din cadrul Programului Operațional Capacitate Administrativă 2014-2020.                                                                                                             Obiectivele specifice ale proiectului
1. Creșterea capacității administrației publice locale și instituțiilor publice din județul Suceava de elaborare, adoptare și implementare a normelor, mecanismelor și procedurilor în materie de etică, integritate și prevenire a corupției, în conformitate cu legislația națională.
2. Creșterea gradului de implementare a măsurilor de prevenire a corupției și a indicatorilor de evaluare la nivelul Consiliului Județean Suceava, a administrației publice locale și instituțiilor publice din județul Suceava.
3. Îmbunătățirea cunoștințelor și competențelor personalului administrației publice locale și instituțiilor publice din județul Suceava în ceea ce privește etica, integritatea și prevenirea corupției.
4. Educarea cetățenilor pentru a se implica activ în identificarea și combaterea cazurilor de corupție.
</t>
  </si>
  <si>
    <t>Suceava</t>
  </si>
  <si>
    <t>AP2/11i /2.1</t>
  </si>
  <si>
    <t>APLICAT - Administratie Publica Locala Informatizata, Calitativa si Accesibila Tuturor la Suceava</t>
  </si>
  <si>
    <t>Municipiul Suceava</t>
  </si>
  <si>
    <t xml:space="preserve">1. Implementarea unor masuri de simplificare a procedurilor administrative pentru cetaþeni, în corespondenþa cu Planul Integrat
pentru simplificarea procedurilor administrative aplicabile cetaþenilor, atât din perspectiva back-office (adaptarea procedurilor
interne de lucru, digitalizarea arhivelor), cât si front-office.
2. Dezvoltarea cunostinþelor si abilitaþilor personalului din cadrul Primariei Municipiului Suceava, în vederea sprijinirii masurilor vizate
de proiect.
</t>
  </si>
  <si>
    <t>Administrație publică locală eficientă, transparentă și orientată către cetățean în municipiul Turnu Măgurel</t>
  </si>
  <si>
    <t>Municipiul Turnu Măgurele</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</si>
  <si>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</si>
  <si>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</si>
  <si>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Turnu Magurele</t>
  </si>
  <si>
    <t>AA 1/09.08.2019 prel 2L</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</si>
  <si>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</si>
  <si>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</si>
  <si>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</si>
  <si>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SEPA - Simplificarea si eficientizarea procedurilor administrative</t>
  </si>
  <si>
    <t>Primăria Rosiorii de Vede</t>
  </si>
  <si>
    <t>Obiectivul general consta în îmbunatatirea capacitatii administrative, a calitatii si eficientei serviciilor publice furnizate la nivelul UAT Municipiul Rosiorii de Vede prin investitii integrate si complementare conform reglementarilor europene si nationale si prin mecanisme si
proceduri standard implementate la nivel local pentru fundamentarea deciziilor si planificarea strategica pe termen lung                                                                                                                                            OS 1. Masuri de simplificare a procedurilor administrative si reducerea birocratiei prin crearea si integrarea unui sistem
informatics pentru arhiva (digitalizarea arhivelor) si administrarea electronica a documentelor la nivelul Municipiului Rosiorii de Vede.                                                                              OS 1 se va îndeplini prin Activitatea 3 si va conduce la atingerea rezultatului POCA R3.
OS 2. Imbunatatirea competentelor profesionale a unui numar de 61 persoane din toate nivelurile ierarhice din cadrul UAT Municipiul Rosiorii de Vede pe teme specifice. OS 2 se va îndeplini prin Activitatea 5 si va conduce la atingerea rezultatului POCA R5.
OS 3. Implementarea unor mecanisme si proceduri standard (actualizare Strategie de dezvoltare a Municipiului, Plan strategic institutional, proceduri cadru de adoptare a hotarârilor de consiliu local) pentru a creste eficienta actiunilor adimintrative la nivelul Municipiului Rosiorii de Vede.                                                                                                                                     OS 3 se va îndeplini prin Activitatea 6 si va conduce la atingerea rezultatului de program POCA R1.</t>
  </si>
  <si>
    <t>Capacitate administrativa moderna si
inovativa</t>
  </si>
  <si>
    <t>Obiectivul general consta în îmbunatatirea capacitatii administrative, a calitatii si eficientei serviciilor publice furnizate la nivelul Consiliului Judetean Teleorman, din regiunea mai putin dezvoltata Sud-Muntenia, prin introducerea unor proceduri simplificate pentru reducerea
birocratiei conform reglementarilor europene si nationale (digitizarea proceselor de administrare a documentelor si retro-digitalizarea documentelor din arhiva).                                                                                                                                           OS 1. Masuri de simplificare a procedurilor administrative si reducerea birocratiei prin digitizarea proceselor de administrare a documentelor la nivelul Consiliului Judetean Teleorman. OS1 se va indeplini prin Activitatea 3 si va conduce la atingerea rezultatului de program POCA R3
2. OS2. Retro-digitalizarea documentelor din arhiva Consiliului Judetean Teleorman in vederea simplificarii proceselor si procedurilor administrative si reducerea timpilor de efectuare a activitatilor curente. OS2 se va indeplini prin Activitatea 3 si va
conduce la atingerea rezultatului POCA R3.</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</si>
  <si>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</si>
  <si>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</si>
  <si>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</si>
  <si>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</si>
  <si>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</si>
  <si>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</si>
  <si>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</si>
  <si>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</si>
  <si>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</si>
  <si>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AA1/21.11.2019; AA2/20.03.2020</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</si>
  <si>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</si>
  <si>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</si>
  <si>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AA 1/08.07.2019</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</si>
  <si>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</si>
  <si>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</si>
  <si>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</si>
  <si>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</si>
  <si>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</si>
  <si>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</si>
  <si>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TULCEA</t>
  </si>
  <si>
    <t>Tulcea</t>
  </si>
  <si>
    <t>AA nr. 1/18.10.2019</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</si>
  <si>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</si>
  <si>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</si>
  <si>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AA 1/05.12.2018</t>
  </si>
  <si>
    <t>Solutii administrative moderne - dezvoltarea si implementarea de proceduri si mecanisme simplificate in sprijinul cetatenilor in cadrul Consiliul Judetean Tulcea</t>
  </si>
  <si>
    <t>Judetul Tulcea</t>
  </si>
  <si>
    <t>Obs. 1) Introducerea si implementarea unui mecanism de bugetare participativa in scopul cresterii calitatii procesului decizional,
pentru a raspunde in mod fundamentat si coerent nevoilor comunitatilor din judetul Tulcea.
Pentru realizarea Obs.1) s-a avut în vedere activitatea A3 Dezvoltarea si implementarea unui mecanism de bugetare participativa
on-line in scopul elaborarii politicilor publice ce necesită resurse financiare din bugetele aferente anilor 2020 şi 2021 si
subactivitatile aferente. Rezultatul 1 contribuie la atingerea acestuia.
Obs. 2) Consolidarea capacitatii institutionale privind planificarea si fundamentarea strategica, prin dezvoltarea si elaborarea
Strategiei de dezvoltare durabila a Judetului Tulcea pentru perioada 2021 -2027.
Pentru realizarea Obs.2) s-a avut în vedere activitatea A4 Elaborarea Strategiei de dezvoltare durabila a Judetului Tulcea pentru
perioada 2021 -2027 si subactivitatile aferente. Rezultatul 2 contribuie la atingerea acestuia.
Obs. 3) Dezvoltarea, implementarea si susţinerea de mecanisme de cooperare inter-institutionala, din perspectivă back-office si
front-office pentru serviciile furnizate direct cetatenilor din Judetul Tulcea.
Pentru realizarea Obs.3) s-a avut în vedere activitatea A5 Dezvoltarea de solutii si sisteme informatice pentru simplificarea
serviciilor furnizate direct cetatenilor si mediului de afaceri. Rezultatul 3 contribuie la atingerea acestuia.
Obs. 4) Dezvoltarea si implementarea unor programe de instruire specifice privind dezvoltarea competentelor si abilitatilor pentru
angajatii (demnitari, consilieri, personal de conducere si executie) din Consiliului Judetean Tulcea.
Pentru realizarea Obs.4) s-a avut în vedere activitatea A6 Imbunatatirea competentelor si abilitatilor specifice domeniului
proiectului pentru personalul cu functii de conducere si executie din Consiliul Judetean Tulcea Rezultatul 4 contribuie la atingerea
acestuia</t>
  </si>
  <si>
    <t>Dezvoltarea unui sistem unitar de management al calității la nivelul Consiliului Județean Vâlcea și al instituțiilor subordonate</t>
  </si>
  <si>
    <t>Județul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</si>
  <si>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</si>
  <si>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VÂLCEA</t>
  </si>
  <si>
    <t>Râmnicu Vâlcea</t>
  </si>
  <si>
    <t>AA 1/ 12.04.2019, AA2/28.10.2019</t>
  </si>
  <si>
    <t>Prevenirea corupției prin măsuri  de sprijin integrate</t>
  </si>
  <si>
    <t>Municipiul 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</si>
  <si>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</si>
  <si>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Drăgășani</t>
  </si>
  <si>
    <t>Actul aditional nr.1/26.02.2019</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</si>
  <si>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</si>
  <si>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</si>
  <si>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</si>
  <si>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</si>
  <si>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</si>
  <si>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Calitate și performanță: strategie de management la Consiliul Județean Vaslui</t>
  </si>
  <si>
    <t>Consiliul Județean Vaslui</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</si>
  <si>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</si>
  <si>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Vaslui</t>
  </si>
  <si>
    <t>AA 1/ 15.04.2019</t>
  </si>
  <si>
    <t>Implementarea unui sistem de management al performanței și calității în Primăria municipiului Huși, județul Vaslui</t>
  </si>
  <si>
    <t>Primăria Municipiului 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</si>
  <si>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</si>
  <si>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Huși</t>
  </si>
  <si>
    <t>Sistem de management al performanței și calității în cadrul Primăriei Municipiului Vaslui SMC-BSC</t>
  </si>
  <si>
    <t>Primăria Municipiului Vaslui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</si>
  <si>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</si>
  <si>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Etică și integritate la Consiliul Județean Vaslui</t>
  </si>
  <si>
    <t>Județul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</si>
  <si>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</si>
  <si>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</si>
  <si>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</si>
  <si>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</si>
  <si>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</si>
  <si>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</si>
  <si>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</si>
  <si>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</si>
  <si>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</si>
  <si>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Introducerea de sisteme informatice pentru
optimizarea proceselor in Municipiul Husi</t>
  </si>
  <si>
    <t>Municipiul Huși</t>
  </si>
  <si>
    <t xml:space="preserve">Obiectivul general al proiectului este reprezentat de implementarea unor sisteme informatice in vederea optimizarii proceselor in cadrul
municipiului Husi, sustinut de o dezvoltare a abilitatilor personalului de la nivelul solicitantului.
Obiectivele specifice ale proiectului
1. OS 1. Dezvoltarea capacitatii necesare in vederea fundamentarii deciziilor si planificarii strategice pe termen lung, pentru
perioada 2020-2021.
2. OS 2. Implementarea unor sisteme informatice si dotarea cu echipamente hardware necesare optimizarii proceselor
administrative.
3. OS.3 Dezvoltarea de noi abilitati ale personalului în vederea optimizarii proceselor decizionale orientate catre cetateni.unicipiului Husi, sustinut de o dezvoltare a abilitatilor personalului de la nivelul solicitantului.
</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</si>
  <si>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</si>
  <si>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</si>
  <si>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</si>
  <si>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VRANCEA</t>
  </si>
  <si>
    <t>Focșani</t>
  </si>
  <si>
    <t>Viziune și performanță prin implementarea unor instrumente de planificare strategică, sisteme de managementul calității/performanței și a unor sisteme informatice inovative la nivelul Municipiului Focșani</t>
  </si>
  <si>
    <t>Municipiul Focsani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</si>
  <si>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</si>
  <si>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Creșterea capacității Ministerului Transporturilor de a realiza planificări strategice și a administra Master Planul General de Transport al României</t>
  </si>
  <si>
    <t>MINISTERUL TRANSPORTURILOR, INFRASTRUCTURII ȘI COMUNICAȚIILOR</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</si>
  <si>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</si>
  <si>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 xml:space="preserve">AA1/09.06.2017; AA2/12.10.2018; AA3/22.07.2019             </t>
  </si>
  <si>
    <t>Stabilirea cadrului de dezvoltare a instrumentelor de e-guvernare (EGOV)</t>
  </si>
  <si>
    <t>1. Secretariatul General al Guvernului</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</si>
  <si>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</si>
  <si>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                                                 AA1/08.12.2016; AA2/28.04.2017; AA3/18.01.2018; AA4/08.04.2019; AA5/19.03.2020</t>
  </si>
  <si>
    <t>AP1/11i /1.4</t>
  </si>
  <si>
    <t>IP5/2016</t>
  </si>
  <si>
    <t xml:space="preserve">Creșterea capacității administrative a ANAP și a instituțiilor publice responsabile  pentru  implementarea Strategiei naționale în domeniul achiziții publice </t>
  </si>
  <si>
    <t>Agenția Națională pentru Achiziții Publice</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</si>
  <si>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</si>
  <si>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AA6 /16.07.19</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</si>
  <si>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</si>
  <si>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</si>
  <si>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</si>
  <si>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</si>
  <si>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ONG</t>
  </si>
  <si>
    <t>IP3/2016</t>
  </si>
  <si>
    <t>Sistematizarea legislației din domeniul amenajării teritoriului, urbanismului și construcțiilor și consolidarea capacității administrative a structurilor de specialitate din instituțiile publice centrale cu responsabilități în domeniu</t>
  </si>
  <si>
    <t>MINISTERUL LUCRĂRILOR PUBLICE, DEZVOLTĂRII ȘI ADMINISTRAȚIEI</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</si>
  <si>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</si>
  <si>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Proiect cu acoperire națională</t>
  </si>
  <si>
    <t>BUCUREȘTI</t>
  </si>
  <si>
    <t xml:space="preserve">Management performant și unitar la nivelul Ministerului Afacerilor Interne pentru serviciile de urgență </t>
  </si>
  <si>
    <t>Ministerul Afacerilor Interne</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</si>
  <si>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</si>
  <si>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AA1/27.11.2018</t>
  </si>
  <si>
    <t xml:space="preserve">AP1/11i /1.3 </t>
  </si>
  <si>
    <t>IP4/2016</t>
  </si>
  <si>
    <t xml:space="preserve">Întărirea capacității Ministerului Public de punere în aplicare a noilor prevederi ale codurilor penale în domeniul audierilor  </t>
  </si>
  <si>
    <t>Ministerul Public - Parchetul de pe lângă Înalta Curte de Casație și Justiție</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</si>
  <si>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</si>
  <si>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AA1/10.01.2020</t>
  </si>
  <si>
    <t>Creșterea transparentei, calității și accesibilității serviciilor oferite cetățenilor de către sistemul judiciar, cu ajutorul tehnologiei</t>
  </si>
  <si>
    <t>Asociatia Technology and Innovation for Society Tehnologie si Inovare pentru Societate</t>
  </si>
  <si>
    <t xml:space="preserve">Obiectivul general al proiectului este creșterea nivelului de informare si accesibilitate a serviciilor oferite cetățenilor din grupuri vulnerabile din mediul urban: femei, tineri, persoane din grupuri vulnerabile, comunități marginalizate, si a altor cetățeni, de catre sistemul judiciar, cu ajutorul tehnologiei. Acesta este in concordanta cu Obiectivul specific 2.3. al programului, Asigurarea unei transparențe si integrități sporite la nivelul sistemului judiciar în vederea îmbunătățirii accesului si a calitaþii serviciilor furnizate la nivelul acestuia.
Obiectivele specifice ale proiectului
1. OS1. Creșterea accesului la justiție a 200 de cetățeni din mediul urban: tineri, femei, persoane care fac parte din grupuri vulnerabile, comunități marginalizate sau alți cetățeni care au nevoie de reformare, educare si consiliere in domeniul accesului la servicii oferite de sistemul juridic, prin derularea unei campanii de informare/educație juridica, prin utilizarea unor metode inovative si cu ajutorul tehnologiei, in cadrul caravanei “Justiție pentru toți”.
2. OS2. Accelerarea dezvoltării si diversificării paletei de servicii de informare, educare si consiliere juridica adecvate nevoilor cetățeanului din mediul urban, prin cooperare cu autoritari ale administrației publice locale si cu societatea civila prin organizarea unui “Accelerator pentru Justiție - Centrul real si virtual de resurse pentru accesul accelerat la justiție”, care sa acopere nevoile de informare, educare si consiliere in perioada de implementare a minim 100 de cetățeni: tineri, femei, persoane care fac parte din grupuri vulnerabile, comunități marginalizate sau alti cetățeni care au nevoie de informare, educare si consiliere in domeniul accesului la servicii oferite de sistemul juridic.
3. OS3. Promovarea si consolidarea cu ajutorul tehnologiei a metodelor alternative de soluționare a litigiilor prin crearea si dezvoltarea in acord cu nevoile identificate in mediul urban a unui “Portal interactiv de metode alternative de soluționare a litigiilor” pentru promovarea si consolidarea cu ajutorul tehnologiei a metodelor alternative de soluționare a litigiilor, prin derularea de campanii de informare si consiliere on-line a beneficiarilor actului de justiție: minim 50 de persoane, pe parcursul
implementarii-cetateni din mediul urban: tineri, femei, persoane care fac parte din grupuri vulnerabile, comunitati marginalizate sau alti cetățeni care au nevoie de informare, educare si consiliere in domeniul accesului la servicii oferite de sistemul juridic.
</t>
  </si>
  <si>
    <t>1,2,3,4,5,6,7</t>
  </si>
  <si>
    <t xml:space="preserve">Bacău
Botașani
Iași
Neamț
Suceava
Vaslui
Bihor
Bistrița Năsăud
Cluj
Maramureș
Satu Mare
Sălaj
Argeș
Călărași
Dîmbovița
Giurgiu
Ialomița
Prahova
Teleorman
Brăila
Buzău
Galați
Tulcea
Vrancea
Dolj
Gorj
Mehedinți
Olt
Arad
Caraș Severin
Hunedoara
Timiș
Alba
Brașov
Covasna
Haghita
Mureș
Sibiu
</t>
  </si>
  <si>
    <t>Justiție pentru mediu rural</t>
  </si>
  <si>
    <t>Asociatia Technology and Innovation For Society/Tehnologie ți Inovare pentru Societate Filiala Satu Mare</t>
  </si>
  <si>
    <t>Obiectivul general al proiectului este cresterea nivelului de informare si accesibilitate a serviciilor oferite cetatenilor din mediul rural de
catre sistemul judiciar, cu ajutorul tehnologiei. Acesta este in concordanta cu Obiectivul specific 2.3. al programului, Asigurarea unei
transparenþe si integritaþi sporite la nivelul sistemului judiciar în vederea îmbunataþirii accesului si a calitaþii serviciilor furnizate la nivelul
acestuia, corespunzator Axei prioritare 2: Administraþie publica si sistem judiciar accesibile si transparente.
Obiectivele specifice ale proiectului
1. OS1. Cresterea accesului la justiþie a 200 de cetateni din mediul rural care au nevoie de informare, educare si consiliere in
domeniul accesului la servicii oferite de sistemul juridic, prin derularea unei campanii de informare/educaþie juridica, prin utilizarea
unor metode inovative si cu ajutorul tehnologiei, in cadrul caravanei “Justitie pentru sate”.
2. OS2. Accelerarea dezvoltarii si diversificarii paletei de servicii de informare, educare si consiliere juridica adecvate nevoilor
cetaþeanului, prin cooperare cu autoritaþi ale administraþiei publice locale si cu societatea civila prin organizarea unui
“Acceleratorului pentru Justitie in mediul rural- Centrul real si virtual de resurse pentru accesul accelerat la justitie pentru mediul
rural” , care sa acopere nevoile de informare, educare si consiliere in perioada de implementare a minim 100 de cetateni din
mediul rural care au nevoie de informare, educare si consiliere in domeniul accesului la servicii oferite de sistemul juridic.
3. OS3. Promovarea si consolidarea cu ajutorul tehnologiei a metodelor alternative de soluþionare a litigiilor prin crearea si
dezvoltarea unui “Portalului interactiv de metode alternative de solutionare a litigiilor pentru mediul rural”, pentru promovarea si
consolidarea cu ajutorul tehnologiei a metodelor alternative de soluþionare a litigiilor, prin derularea de campanii de informare si
consiliere on-line a beneficiarilor actului de justitie: minim 50 de persoane, pe parcursul implementarii-cetatenidin mediul rural,
care fac parte din comunitati marginalizate sau alti cetateni din mediul rural care au nevoie de informare, educare si consiliere in
domeniul accesului la servicii oferite de sistemul juridic.</t>
  </si>
  <si>
    <t>Elaborarea planului de dezinstituționalizare a copiilor din instituții și asigurarea tranziției îngrijirii acestora în comunitate</t>
  </si>
  <si>
    <t>AUTORITATEA NATIONALA PENTRU PERSOANELE CU DIZABILITĂȚI, COPIL ȘI ADOPȚII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</si>
  <si>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</si>
  <si>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AA5 /08.03.2018</t>
  </si>
  <si>
    <t>Dezvoltarea capacității Ministerului Educației Naționale de monitorizare și prognoză a evoluției învățământului superior în raport cu piața muncii</t>
  </si>
  <si>
    <t>Ministerul Educației și Cercetării</t>
  </si>
  <si>
    <t>1. Academia Română</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</si>
  <si>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</si>
  <si>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AA6/02.11.2018</t>
  </si>
  <si>
    <t>Implementarea unui sistem de elaborare de politici publice în domeniul incluziunii sociale la nivelul MMJS</t>
  </si>
  <si>
    <t>Ministerul Muncii și Protecției Sociale</t>
  </si>
  <si>
    <t>1. INCE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</si>
  <si>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</si>
  <si>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AA7/25.01.2018</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</si>
  <si>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</si>
  <si>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</si>
  <si>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AA2/13.09.2019
AA3/13.12.2019</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</si>
  <si>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</si>
  <si>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</si>
  <si>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AA3 /17.05.2019</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</si>
  <si>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</si>
  <si>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</si>
  <si>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Întărirea capacităţii administrative a Ministerului Finanţelor Publice în implementarea măsurilor de sprijin de natura ajutorului de stat</t>
  </si>
  <si>
    <t>Ministerul Finanțelor Publice</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</si>
  <si>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</si>
  <si>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AA3/15.04.2019</t>
  </si>
  <si>
    <t xml:space="preserve">Consolidarea cadrului pentru creșterea calității serviciilor publice și pentru sprijinirea dezvoltării la nivel local (SPC) </t>
  </si>
  <si>
    <t>1. Scoala Națională de Studii Politice</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</si>
  <si>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</si>
  <si>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Omdrap 1120/19.02.2019</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</si>
  <si>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</si>
  <si>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AA2/ 13.12.2017</t>
  </si>
  <si>
    <t xml:space="preserve">Starea Națiunii. Construirea unui instrument inovator pentru fundamentarea politicilor publice </t>
  </si>
  <si>
    <t>Secretariatul General al Guvernului - Direcția pentru Strategii Guvernamentale</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</si>
  <si>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</si>
  <si>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AA5 /24.11.2017
AA6/18.10.2018</t>
  </si>
  <si>
    <t>Îmbunatăţirea capacităţii de planificare strategică şi management al Programelor Naţionale de Sănătate Publică (PNSP) finanțate de  Ministerul Sănătăţii</t>
  </si>
  <si>
    <t>Ministerul Sănătății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</si>
  <si>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</si>
  <si>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AA4 /17.02.2020</t>
  </si>
  <si>
    <t>Dezvoltarea și implementarea unui sistem integrat de management strategic la nivelul sistemului judiciar - SIMS</t>
  </si>
  <si>
    <t>Ministerul Justiției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</si>
  <si>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</si>
  <si>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</si>
  <si>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AA1/21.12.2018
AA2/17.12.2019</t>
  </si>
  <si>
    <t>Îmbunătățirea politicilor publice în învățământul superior și creșterea calității reglementărilor prin actualizarea standardelor de calitate -QAFIN</t>
  </si>
  <si>
    <t>2. Agenția Română de Asigurare a Calității in Învățământul Superior</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</si>
  <si>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</si>
  <si>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Monitorizarea și evaluarea strategiilor condiționalități ex-ante în educație și îmbunătățirea procesului decizional prin monitorizarea performanței instituționale la nivel central și local</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</si>
  <si>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</si>
  <si>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AA5/ 27.06.2018</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</si>
  <si>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</si>
  <si>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</si>
  <si>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AA1/10.11.2016; AA2/28.04.2017; AA3/16.01.2018; AA4/10.07.2018; AA5/31.01.2019</t>
  </si>
  <si>
    <t>Elaborarea ghidurilor necesare îmbunătățirii capacității administrative a autorităților pentru protecția mediului în scopul derulării unitare a procedurii de evaluare a impactului asupra mediului (EGEIA)</t>
  </si>
  <si>
    <t>MINISTERUL MEDIULUI, APELOR ȘI PĂDURILOR</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</si>
  <si>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</si>
  <si>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AA4/ 30.01.2018
AA5/03.07.2018 prel 6 luni</t>
  </si>
  <si>
    <t>AP 2/11i  /2.2</t>
  </si>
  <si>
    <t>IP7/2017</t>
  </si>
  <si>
    <t xml:space="preserve">Consolidarea capacității administrative a secretariatului tehnic al Strategiei Naționale Anticorupție 2016-2020 de a sprijini implementarea măsurilor anticorupție  </t>
  </si>
  <si>
    <t xml:space="preserve">1. Ministerul Afacerilor Interne
Direcţia Generală Anticorupţie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</si>
  <si>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</si>
  <si>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AA1/09.11.2018; AA2/09.08.2019;
AA3/18.12.2019</t>
  </si>
  <si>
    <t>Dezvoltarea capacității administrative a Ministerului Mediului de a implementa politica în domeniul managementului deșeurilor și al siturilor contaminate - C.A.D.S</t>
  </si>
  <si>
    <t>1.MFE</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</si>
  <si>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</si>
  <si>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AA6/08.04.2019 PRELUNGIRE 6 LUNI</t>
  </si>
  <si>
    <t>Dezvoltarea capacității administrative a Ministerului Mediului de a implementa politica în domeniul biodiversității</t>
  </si>
  <si>
    <t>1. I.N.C.E.</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</si>
  <si>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</si>
  <si>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AA6/ 04.01.2018</t>
  </si>
  <si>
    <t>Dezvoltarea capacității de management strategic prin operaționalizarea, la nivelul Centrului Guvernului, a unei structuri tip Strategy Unit (SU)</t>
  </si>
  <si>
    <t xml:space="preserve">Secretariatul General al Guvernului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</si>
  <si>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</si>
  <si>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AA8 /30.01.2019</t>
  </si>
  <si>
    <t>Îmbunătățirea capacității CNCISCAP de a coordona implementarea Strategiei pentru Consolidarea Administrației Publice 2014 - 2020</t>
  </si>
  <si>
    <t>Secretariatul General al Guvernului</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</si>
  <si>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</si>
  <si>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AA5/ 09.01.2019</t>
  </si>
  <si>
    <t>Dezvoltarea capacității administrației publice centrale de a realiza studii de impact</t>
  </si>
  <si>
    <t>1. Agenția Națională a Funcționarilor Publici</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</si>
  <si>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</si>
  <si>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AA7/19.09.2018</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</si>
  <si>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</si>
  <si>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</si>
  <si>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AA5/ 27.11.2017</t>
  </si>
  <si>
    <t>Dezvoltarea capacității administrative a MCI de implementare a unor acțiuni stabilite în Strategia Națională de Cercetare, Dezvoltare tehnologică și Inovare 2014-2020</t>
  </si>
  <si>
    <t>1. UEFISCDI
2. INCSMPS</t>
  </si>
  <si>
    <t xml:space="preserve">Scopul proiectului: adaptarea structurilor, optimizarea proceselor și pregătirea resurselor umane din MCI 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MCI, respectiv ale MECS, prin realizarea unei Platforme Informatice Integrate pentru Cercetare-Dezvoltare și Inovare (PII-CDI). 
B) Indeplinirea conditionalitaþilor ex-ante pentru Obiectivul Tematic 1 (OT1) al FESI, prevazute în cadrul Programului Operaþional
Competitivitate 2014-2020 prin realizarea mecanismului de orientare strategica, bazat pe descoperirerea antreprenoriala si
cresterea gradului de integrare a sistemului de CDI în economia naþionala ca raspuns la nevoia de a îmbunatati procesul de
monitorizare si evaluare a SNCDI.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</si>
  <si>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AA6/ 03.05.2018</t>
  </si>
  <si>
    <t>Extinderea sistemului de planificare strategică la nivelul ministerelor de resort</t>
  </si>
  <si>
    <t>1. Curtea de conturi
2. Academia Română</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</si>
  <si>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</si>
  <si>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 xml:space="preserve">AA8 /03.09.2018 prel. Proiect 45L               AA9/11.02.2019 realoc.sume                 AA 10/03.07.2019 prel. 50 L </t>
  </si>
  <si>
    <t>Îmbunătățirea capacității procesului decizional la nivelul sectorului financiar din Romania – TREZOR</t>
  </si>
  <si>
    <t>Agenția Națională de Administrare Fiscală</t>
  </si>
  <si>
    <t>1. Ministerul Finanțelor Publice</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</si>
  <si>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</si>
  <si>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AA2 /14.09.2017</t>
  </si>
  <si>
    <t>Evaluarea riscurilor de dezastre la nivel național (RO-RISK)</t>
  </si>
  <si>
    <t>Inspectoratul General pentru Situații de Urgență (IGSU)</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</si>
  <si>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</si>
  <si>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</si>
  <si>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AA7/17.05.2018</t>
  </si>
  <si>
    <t xml:space="preserve">Calitate, Standarde, Performanță - premisele unui management eficient la nivelul Ministerului Dezvoltării Regionale si Administrației Publice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</si>
  <si>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</si>
  <si>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Omdrap nr. 5844/03.10.2018</t>
  </si>
  <si>
    <t>Creșterea performanței activității vamale pentru facilitarea comerțului legitim</t>
  </si>
  <si>
    <t>Agentia Națională de Administrare Fiscală</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</si>
  <si>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</si>
  <si>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</si>
  <si>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</si>
  <si>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</si>
  <si>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</si>
  <si>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AA1/17.12.2019</t>
  </si>
  <si>
    <t>ETICA - Eficiență, Transparență și Interes pentru Conduita din Administrație</t>
  </si>
  <si>
    <t>Agenția Națională a Funcționarilor Publici</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</si>
  <si>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</si>
  <si>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AA2/06.09.2019</t>
  </si>
  <si>
    <t>Implementarea și dezvoltarea de sisteme și standarde comune pentru optimizarea proceselor decizionale în domeniul mediului</t>
  </si>
  <si>
    <t>1. ASE</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</si>
  <si>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</si>
  <si>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AA1/19.08.2019</t>
  </si>
  <si>
    <t xml:space="preserve">AP1/11i /1.2 </t>
  </si>
  <si>
    <t>IP6/2016</t>
  </si>
  <si>
    <t>Dezvoltarea unui sistem de management unitar al resurselor umane din administrația publică</t>
  </si>
  <si>
    <t>1. Ministerul Muncii și Protecției Sociale
2. Agenția Națională a Funcționarilor Publici</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</si>
  <si>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</si>
  <si>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AA3/20.11.2019 prelungire</t>
  </si>
  <si>
    <t>CP 2/2017 (MySMIS: POCA/111/1/1)</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</si>
  <si>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</si>
  <si>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</si>
  <si>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</si>
  <si>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</si>
  <si>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AA1/31.07.2019</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</si>
  <si>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</si>
  <si>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</si>
  <si>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</si>
  <si>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AA2/13.12.2019</t>
  </si>
  <si>
    <t>IP8/2017 (MySMIS:
POCA/129/1/1)</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</si>
  <si>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</si>
  <si>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</si>
  <si>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Consolidarea și eficientizarea sistemului național de recuperare a creanțelor provenite din infracțiuni</t>
  </si>
  <si>
    <t>Agenția Națională de Administrare a Bunurilor Indisponibilizate</t>
  </si>
  <si>
    <t>1. Ministerul Public - Parchetul de pe lângă Înalta Curte de Casație și Justiție</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</si>
  <si>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</si>
  <si>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</si>
  <si>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</si>
  <si>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AA1/02.04.2019 PRELUNGIRE 10 LUNI</t>
  </si>
  <si>
    <t>Sistem integrat de management pentru o societate informațională performantă (SIMSIP)</t>
  </si>
  <si>
    <t>CENTRUL NATIONAL DE RASPUNS LA INCIDENTE DE SECURITATE CIBERNETICA - CERTRO</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</si>
  <si>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</si>
  <si>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AA1/09.12.2019</t>
  </si>
  <si>
    <t>IP2/2015</t>
  </si>
  <si>
    <t>Consolidarea implementării standardelor de control intern managerial la nivel central şi local</t>
  </si>
  <si>
    <t>1. MDRAP</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</si>
  <si>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</si>
  <si>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AA3/ 12.10.2017</t>
  </si>
  <si>
    <t>Guvernare transparentă, deschisă și participativă – standartizare, armonizare, dialog îmbunătățit</t>
  </si>
  <si>
    <t xml:space="preserve">1. Ministerul Afacerilor Interne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</si>
  <si>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</si>
  <si>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AA1/05.05.2017; AA2/29.05.2017; AA3/18.12.2017; AA4/27.07.2018; AA5/27.05.2019</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</si>
  <si>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</si>
  <si>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</si>
  <si>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AA6/ 21.11.2017</t>
  </si>
  <si>
    <t xml:space="preserve">Consolidarea sistemelor de integritate - cea mai 
bună strategie de prevenire a corupției în administrația publică
</t>
  </si>
  <si>
    <t>1.Asociația pentru Democrației</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</si>
  <si>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</si>
  <si>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Omdrapfe nr.  1227/28.02.2019 </t>
  </si>
  <si>
    <t>Consolidarea capacitatii institutionale a Ministerului Cercetarii si Inovarii prin optimizarea proceselor
decizionale in domeniul de cercetare-dezvoltare si inovare</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</si>
  <si>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</si>
  <si>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</si>
  <si>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</si>
  <si>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Academia de Studii Economice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</si>
  <si>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</si>
  <si>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AP3/  /3.2</t>
  </si>
  <si>
    <t>AT 1/2016</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</si>
  <si>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</si>
  <si>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</si>
  <si>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123 - Informare și comunicare</t>
  </si>
  <si>
    <t>Omdrap nr. 5760/21.09.2018</t>
  </si>
  <si>
    <t>AP3/  /3.1</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</si>
  <si>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</si>
  <si>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</si>
  <si>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121 - Pregătire, punere în aplicare, monitorizare și inspectare
122 - Evaluare și studii
</t>
  </si>
  <si>
    <t>Omdrap nr. 5759/21.09.2018</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</si>
  <si>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</si>
  <si>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</si>
  <si>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121 - Pregătire, punere în aplicare, monitorizare și inspectare</t>
  </si>
  <si>
    <t>Omdrapfe nr. 222/23.01.18; Omlpda nr. 991/03.02.2020</t>
  </si>
  <si>
    <t>Cresterea capacitatii CNIPMMR de a formula si sustine politici publice alternative cu privire la activitatea sectorului IMM</t>
  </si>
  <si>
    <t>CONSILIUL NAȚIONAL AL INTREPRINDERILOR PRIVATE MICI ȘI MIJLOCII DIN ROMÂNIA</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</si>
  <si>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</si>
  <si>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Sectorul 1</t>
  </si>
  <si>
    <t>Creșterea capacității Federației naționale a sindicatelor muncii și protecției sociale și a membrilor acesteia în formularea de politici publice alternative în domeniul protecției muncii</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</si>
  <si>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</si>
  <si>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</si>
  <si>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</si>
  <si>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</si>
  <si>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</si>
  <si>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</si>
  <si>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</si>
  <si>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</si>
  <si>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</si>
  <si>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</si>
  <si>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OG: 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</si>
  <si>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Politici publice pentru Educație (EDUPOL)</t>
  </si>
  <si>
    <t>Asociația Centrul Syene pentru Educație</t>
  </si>
  <si>
    <t>Asociația pentru Promovarea Economiei Cunoașterii</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</si>
  <si>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OS1: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OS2: Dezvoltarea si promovarea a unui mecanism de monitorizare si a 2 politici publice alternative în domeniul educației.</t>
  </si>
  <si>
    <t xml:space="preserve"> O societate civila implicata in sistemul de sanatate si protectie sociala</t>
  </si>
  <si>
    <t>FEDERAȚIA UNIUNEA NAȚIONALĂ A ORGANIZAȚIILOR PERSOANELOR AFECTATE DE HIV/SIDA (UNOPA)</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</si>
  <si>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</si>
  <si>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NOSTRA - Noi standarde comune în administrația publică centrală din domeniul sănătății sexuale și reproductive</t>
  </si>
  <si>
    <t>Asociația Medicilor Rezidenți</t>
  </si>
  <si>
    <t>Asociatia ACCEPT</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</si>
  <si>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</si>
  <si>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ONG21. Participarea ONG-urilor la politica de Educație pentru dezvoltarea durabilă</t>
  </si>
  <si>
    <t>Asociatia REPER21</t>
  </si>
  <si>
    <t>Fundatia pentru Dezvoltarea Societatii Civile 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</si>
  <si>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</si>
  <si>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</si>
  <si>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</si>
  <si>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OMDRAP nr. 3247/25.11.2019/Actul adițional nr.2/25.11.2019</t>
  </si>
  <si>
    <t>PRO-PACT - Promovarea ONGurilor și partenerilor sociali prin advocacy, capacitare și training</t>
  </si>
  <si>
    <t>Centrul de Dezvoltare Socială T&amp;CO</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</si>
  <si>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</si>
  <si>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IAȘI</t>
  </si>
  <si>
    <t>Etica – eficiență, transparență și intiminate în cariera din admninistrație</t>
  </si>
  <si>
    <t>Blocul Național Sindical</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</si>
  <si>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</si>
  <si>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AA2/17.04.2019</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</si>
  <si>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</si>
  <si>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</si>
  <si>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</si>
  <si>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„Acces la educație incluzivă de calitate pentru copiii CES cu deficiențe auditive și vizuale (EDU-CES)”,</t>
  </si>
  <si>
    <t>Asociația "C4C Communication for Community"</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</si>
  <si>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</si>
  <si>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AA1/ 24.07.2019</t>
  </si>
  <si>
    <t>PRO Dezvoltare - ONGuri PRO-active în politicile publice vizând dezvoltarea economică și socială</t>
  </si>
  <si>
    <t>Fundația PAEM ALBA</t>
  </si>
  <si>
    <t>Asociaţia Consultanţilor și Experţilor în Economie Socială România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</si>
  <si>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</si>
  <si>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ALBA</t>
  </si>
  <si>
    <t>ALBA IULIA</t>
  </si>
  <si>
    <t>ONG-uri, actori relevanți în societatea civilă</t>
  </si>
  <si>
    <t>Asociația Centrul Regional de Voluntariat</t>
  </si>
  <si>
    <t>1. Asociaţia Tinerilor cu Iniţiativă din Zona Olteniei - Atizo
2.Asociatia Consilierilor Romani</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</si>
  <si>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</si>
  <si>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</si>
  <si>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</si>
  <si>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</si>
  <si>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Iași</t>
  </si>
  <si>
    <t>AA2/26.08.2019;
AA3/18.12.2019</t>
  </si>
  <si>
    <t>Politici alternative in economia sociala</t>
  </si>
  <si>
    <t>UNIUNEA GENERALA A INDUSTRIASILOR DIN ROMANIA UGIR 1903 FILIALA DOLJ</t>
  </si>
  <si>
    <t>Obiectiv general: Dezvoltarea capacitatii societatii civile, ca împreuna cu UAT, sa contribuie la sustinerea si dezvoltarea economiei sociale prin sprijinirea initiativelor antreprenoriale care vizeaza infiintarea de structuri de economie sociala in Romania (SES).
OS1. Crearea unui parteneriat public-privat la nivel national, format din 160 de reprezentati ai UAT si organizatii civice din
Romania, pentru formularea si promovarea de propuneri alternative la politicile publice initiate de Guvern.
OS2. Formarea membrilor GT, pentru cresterea capacitatii de a identifica probleme in comunitate si a formula politici publice alternative.
OS3. Formularea propunerilor de Politici Publice.</t>
  </si>
  <si>
    <t xml:space="preserve">                  AA4/02.08.2019</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</si>
  <si>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</si>
  <si>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</si>
  <si>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</si>
  <si>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AA1/20.08.2019            AA2/19.12.2019</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</si>
  <si>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</si>
  <si>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</si>
  <si>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</si>
  <si>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</si>
  <si>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TIMIS</t>
  </si>
  <si>
    <t>Timisoara</t>
  </si>
  <si>
    <t>Creșterea eficienței intervențiilor atât la nivelul MMJS, cât și a structurilor aflate în coordonarea MMJS</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</si>
  <si>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</si>
  <si>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</si>
  <si>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Act aditional nr. 1/13.09.2018</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</si>
  <si>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</si>
  <si>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1. Academia de Studii Economice
2. INSTITUTUL NAȚIONAL DE CERCETARE-DEZVOLTARE ÎN SILVICULTURA "MARIN
DRACEA"</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</si>
  <si>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</si>
  <si>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Optimizarea procedurilor administrative din cadrul Ministerului pentru Relația cu Parlamentul</t>
  </si>
  <si>
    <t>Departamentul pentru Relația cu Parlamentul</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</si>
  <si>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</si>
  <si>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POlitici în turism pentru o dezvoltare durabilă</t>
  </si>
  <si>
    <t>Agenția de Dezvoltare Durabilă a Județului Brașov</t>
  </si>
  <si>
    <t>1. Asociația de Dezvoltare Economică și Regională - A.D.E.R
2. Asociația pentru Promovarea și Dezvoltarea Turismului din Județul Brașov</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</si>
  <si>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</si>
  <si>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AA2/29.07.2019</t>
  </si>
  <si>
    <t>Buna guvernare in domeniul serviciilor sociale</t>
  </si>
  <si>
    <t>ASOCIATIA ASISTENTILOR SOCIALI PROFESIONISTI "PROSOCIAL"</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</si>
  <si>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</si>
  <si>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Cluj-Napoca</t>
  </si>
  <si>
    <t>”Zero birocrație - mecanism integrat de identificare si simplificare a sarcinilor administrative pentru mediul de afaceri si pentru cetațeni”</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</si>
  <si>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</si>
  <si>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Implicare civică pentru formularea propunerilor alternative de politici publice în educație”</t>
  </si>
  <si>
    <t>Institutul Roman Pentru Educație și Incluziune Sociala</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</si>
  <si>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</si>
  <si>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</si>
  <si>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Galati</t>
  </si>
  <si>
    <t>AA1/12.10.2018</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</si>
  <si>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</si>
  <si>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</si>
  <si>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</si>
  <si>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</si>
  <si>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</si>
  <si>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</si>
  <si>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</si>
  <si>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COOL JOBS –propunere alternativa de politici publici pentru prevenirea somajului în rândul tinerilor</t>
  </si>
  <si>
    <t>Federația „Forumul Tinerilor din România”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</si>
  <si>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</si>
  <si>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Tinerii au prioritate pe agenda publica!</t>
  </si>
  <si>
    <t>CENTRUL DE RESURSE ECONOMICE SI EDUCATIE PENTRU DEZVOLTARE - CREED</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</si>
  <si>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</si>
  <si>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Neamț</t>
  </si>
  <si>
    <t>Patra Neamț</t>
  </si>
  <si>
    <t>AA1/09.09.2019</t>
  </si>
  <si>
    <t>Initiativa Nationala pentru Formularea si Promovarea de Politici Publice Alternative - INAPP</t>
  </si>
  <si>
    <t>Fundația de Caritate și Întrajutorare ANA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</si>
  <si>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</si>
  <si>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</si>
  <si>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AA2/18.12.2019</t>
  </si>
  <si>
    <t>Coaliția pentru romi: elaborare și monitorizare de politici publice</t>
  </si>
  <si>
    <t>Agenția de Dezvoltare Comunitară ,,ÎMPREUNĂ”</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</si>
  <si>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</si>
  <si>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AA2 din 06.09.2019</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</si>
  <si>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</si>
  <si>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</si>
  <si>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</si>
  <si>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</si>
  <si>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AP 2/11i /2.3</t>
  </si>
  <si>
    <t>IP9/2017 (MySMIS:
POCA/131/2/3)</t>
  </si>
  <si>
    <t>Creșterea gradului de pregătire profesională a personalului auxiliar pentru a face față noilor provocări legislative</t>
  </si>
  <si>
    <t>Școala Națională de Grefieri</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</si>
  <si>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</si>
  <si>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AA1 din 27.06.2019              AA2 din 04.02.2020</t>
  </si>
  <si>
    <t>„Politici Publice in Economie Sociala - P.P.E.S"</t>
  </si>
  <si>
    <t>Fundația Orizont</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</si>
  <si>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</si>
  <si>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AA1/14.08.2019</t>
  </si>
  <si>
    <t>"RePas - Responsabilitate ;I parteneriat pentru sănătate"</t>
  </si>
  <si>
    <t>Asociația Română pentr Promovarea Sănătății</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</si>
  <si>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</si>
  <si>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</si>
  <si>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Justiția 2020: profesionalism și integritate</t>
  </si>
  <si>
    <t>Institutul National al Magistraturii</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</si>
  <si>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</si>
  <si>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AA2/19.09.2019</t>
  </si>
  <si>
    <t>Consolidarea capacității instituționale a Oficiului Național al Registrului Comerțului, a sistemului registrului comerțului și a sistemului de publicitate legală</t>
  </si>
  <si>
    <t xml:space="preserve"> Oficiului Național al Registrului Comerțului</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</si>
  <si>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</si>
  <si>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AA1/16.09.2019</t>
  </si>
  <si>
    <t>Bugetarea pe bază de gen în politicile public</t>
  </si>
  <si>
    <t>Fundația Corona</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</si>
  <si>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</si>
  <si>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</si>
  <si>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AA1/20.09.2018
AA2/19.09.2019
AA3/02.12.2019</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</si>
  <si>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</si>
  <si>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</si>
  <si>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</si>
  <si>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</si>
  <si>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</si>
  <si>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</si>
  <si>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</si>
  <si>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</si>
  <si>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</si>
  <si>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</si>
  <si>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</si>
  <si>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AA1/01.10.2019</t>
  </si>
  <si>
    <t>Cresterea capacitatii societatii civile de a formula politici publice alternative pentru sprijinirea
protectiei mediului prin reglementarea aplicabilitatii legilor privind perdelele forestiere – RPR</t>
  </si>
  <si>
    <t>ASOCIATIA "ROMANIA PRINDE RADACINI"</t>
  </si>
  <si>
    <t>AA3/27.09.2019</t>
  </si>
  <si>
    <t>Politici publice pentru dezvoltare durabilă</t>
  </si>
  <si>
    <t>Asociația ,,Centrul pentru Politici Publice Durabile Ecopolis”</t>
  </si>
  <si>
    <t>AA1/17.09.2019</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</si>
  <si>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</si>
  <si>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</si>
  <si>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</si>
  <si>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AA4/10.09.2019</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</si>
  <si>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</si>
  <si>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</si>
  <si>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</si>
  <si>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</si>
  <si>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Nonformal se poate – Politica publica alternativa pentru inserția tinerilor pe piața muncii</t>
  </si>
  <si>
    <t>Asociatia SE POATE</t>
  </si>
  <si>
    <t>Asociația Umanistă Română</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</si>
  <si>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</si>
  <si>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 xml:space="preserve">Ilfov </t>
  </si>
  <si>
    <t>Chiajna</t>
  </si>
  <si>
    <t>AA1-08.07.2019
AA2-20.09.2019</t>
  </si>
  <si>
    <t>Optiuni strategice pentru dezvoltarea durabila a sectorului forestier</t>
  </si>
  <si>
    <t>Asociația Administratorilor de Păduri</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</si>
  <si>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</si>
  <si>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Întărirea capacității societății civile de a formula politici publice alternative în domeniul serviciilor sociale prin dezvoltarea unui mecanism de colectare și monitorizare a nevoilor persoanelor vulnerabile</t>
  </si>
  <si>
    <t>Asociația Centrul European pentru Sprijinirea Incluziunii Sociale a Romilor din România (CESIRR)</t>
  </si>
  <si>
    <t>Asociația ASIST</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</si>
  <si>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</si>
  <si>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iNFOLex</t>
  </si>
  <si>
    <t>ASOCIATIA "SOCIETATEA NATIONALA SPIRU HARET PENTRU EDUCATIE, STIINTA SI CULTURA"</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</si>
  <si>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</si>
  <si>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2, 3, 4, 7</t>
  </si>
  <si>
    <t>Constanța
Prahova
Giurgiu
Arges
Dolj
Gorj
Mehedinți
Vâlcea
Brașov
Sibiu</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</si>
  <si>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</si>
  <si>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</si>
  <si>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</si>
  <si>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</si>
  <si>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</si>
  <si>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AA1/26.02.2020</t>
  </si>
  <si>
    <t>Îmbunatațirea cadrului juridic privind finanțarea publica a organizațiilor neguvernamentale</t>
  </si>
  <si>
    <t>Asociația Centrul pentru Legislație Nonprofit</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</si>
  <si>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</si>
  <si>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AA2/24.09.2019</t>
  </si>
  <si>
    <t>AP 2/11i /2.2</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</si>
  <si>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</si>
  <si>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</si>
  <si>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</si>
  <si>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</si>
  <si>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</si>
  <si>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AA1/24.07.2019</t>
  </si>
  <si>
    <t>AP2/11i /2.3</t>
  </si>
  <si>
    <t>CP3/2017 (MySMIS: POCA/113/2/3)</t>
  </si>
  <si>
    <t>INFO-MEDIERE - relație eficientă administrație -cetățean folosind alternativa amiabilă și accesibilă a medierii în soluționarea litigiilor</t>
  </si>
  <si>
    <t>Asociația "Institutul pentru Politici Publice"</t>
  </si>
  <si>
    <t xml:space="preserve"> 1. ASOCIATIA MUNICIPIILOR DIN ROMANIA - (A.M.R.),
2.  ASOCIATIA PROFESIONALA A MEDIATORILOR DIN ROMANIA, 
3. Asociatia PRO MEDIEREA</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</si>
  <si>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</si>
  <si>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AA 1/12.11.2018         AA 2/20.09.2019</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</si>
  <si>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</si>
  <si>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</si>
  <si>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</si>
  <si>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AA3/29.08.2019</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</si>
  <si>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</si>
  <si>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</si>
  <si>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</si>
  <si>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</si>
  <si>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</si>
  <si>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</si>
  <si>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</si>
  <si>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</si>
  <si>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</si>
  <si>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</si>
  <si>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</si>
  <si>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</si>
  <si>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</si>
  <si>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</si>
  <si>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</si>
  <si>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AA3/25.11.2019</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</si>
  <si>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</si>
  <si>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</si>
  <si>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</si>
  <si>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Program de educație și asistență juridică pentru îmbunătățirea accesului cetățenilor la justiție – JUST ACCESS</t>
  </si>
  <si>
    <t>Uniunea Naționala a Barourilor din Romania</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</si>
  <si>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</si>
  <si>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</si>
  <si>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AA2/22.10.2019         AA3/09.12.2019</t>
  </si>
  <si>
    <t>„VALUEMED - Elaborarea de politici publice în domeniul sănătății prin utilizarea studiilor de evaluare a tehnologiilor medicale”</t>
  </si>
  <si>
    <t>Societatea Academică din România (SAR)</t>
  </si>
  <si>
    <t>1. AUTORITATEA NAŢIONALĂ DE MANAGEMENT AL CALITĂŢII ÎN SĂNĂTATE
2. ASOCIATIA NATIONALA PENTRU PROTECTIA PACIENTILOR</t>
  </si>
  <si>
    <t>AA4/22.11.2019</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</si>
  <si>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</si>
  <si>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</si>
  <si>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</si>
  <si>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</si>
  <si>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</si>
  <si>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</si>
  <si>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</si>
  <si>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</si>
  <si>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</si>
  <si>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Slatina</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</si>
  <si>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</si>
  <si>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</si>
  <si>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</si>
  <si>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</si>
  <si>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</si>
  <si>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</si>
  <si>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</si>
  <si>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</si>
  <si>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</si>
  <si>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AA1 din 21.06.2019</t>
  </si>
  <si>
    <t>ALT-POL - Capacitarea uniunilor sindicale
din domeniul sanitar de a formula politici
publice alternative</t>
  </si>
  <si>
    <t>UNIUNEA SINDICALA "SANITAS" BUCURESTI</t>
  </si>
  <si>
    <t>1.SINDICATUL SANITAS COVASNA
2. FUNDATIA EUROACCES</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</si>
  <si>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</si>
  <si>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</si>
  <si>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</si>
  <si>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</si>
  <si>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</si>
  <si>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</si>
  <si>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</si>
  <si>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 xml:space="preserve">AA /1 03.12.2018 </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</si>
  <si>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</si>
  <si>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</si>
  <si>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</si>
  <si>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</si>
  <si>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</si>
  <si>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</si>
  <si>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</si>
  <si>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AA2/01.10.2019</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</si>
  <si>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</si>
  <si>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</si>
  <si>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</si>
  <si>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</si>
  <si>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</si>
  <si>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</si>
  <si>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</si>
  <si>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AA 2/08.07.2019 prel. 16 L</t>
  </si>
  <si>
    <t>Dezvoltarea parteneriatului dintre ONG-uri si administratie pentru promovarea modalitatilor durabile de
transport in interiorul localitatilor</t>
  </si>
  <si>
    <t>AGENTIA PTR.DEZVOLTARE REGIONALA A REGIUNII DE DEZVOLTARE SUD-EST</t>
  </si>
  <si>
    <t>ASOCIAȚIA ORGANIZAȚIA PENTRU
PROMOVAREA TRANSPORTULUI
ALTERNATIV ÎN ROMÂNIA</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</si>
  <si>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</si>
  <si>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Brăila</t>
  </si>
  <si>
    <t>AA 2/11.11.2019 prelungire</t>
  </si>
  <si>
    <t>Monumente istorice - planificare strategica si politici publice optimizate</t>
  </si>
  <si>
    <t>MINISTERUL CULTURII</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</si>
  <si>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</si>
  <si>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</si>
  <si>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AA 1/24.04.2019</t>
  </si>
  <si>
    <t>Servicii de consiliere juridică pentru victime ale unor abuzuri sau nereguli din administrație și justiție</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</si>
  <si>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</si>
  <si>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</si>
  <si>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AA1/13.11.2019</t>
  </si>
  <si>
    <t>Acces la justiție și la metodele alternative de soluționare a litigiilor</t>
  </si>
  <si>
    <t>Asociația Profesională Neguvernamentală de Asistența Socială ASSOC</t>
  </si>
  <si>
    <t>1. AASOCIAȚIA PROFESIONALĂ NEGUVERNAMENTALĂ DE ASISTENȚA SOCIALA ASSOC - FILIALA VÂLCEA
2. COMUNA MĂCIUCA</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</si>
  <si>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</si>
  <si>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3, 4, 5, 6, 7</t>
  </si>
  <si>
    <t xml:space="preserve">Arges
Vâlcea
Bistrița-Nasaud
Maramureș
Satu Mare
Sălaj
Alba
Sibiu
Hunedoara
</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</si>
  <si>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</si>
  <si>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</si>
  <si>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</si>
  <si>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AA 1/18.10.2019</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</si>
  <si>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</si>
  <si>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</si>
  <si>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</si>
  <si>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</si>
  <si>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</si>
  <si>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</si>
  <si>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AA3 /13.09.2019</t>
  </si>
  <si>
    <t>ForLegallnfo</t>
  </si>
  <si>
    <t>FUNDATIA "LUMINA INSTITUTII DE INVATAMANT"</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</si>
  <si>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</si>
  <si>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1, 6, 3, 2</t>
  </si>
  <si>
    <t xml:space="preserve">Iași
Neamț
Vaslui
Bihor
Cluj
Calarasi
Dâmbovița
Giurgiu
Prahova
Buzau
Constanța
Tulcea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</si>
  <si>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</si>
  <si>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</si>
  <si>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</si>
  <si>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AA4/02.03.2020</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</si>
  <si>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</si>
  <si>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</si>
  <si>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</si>
  <si>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</si>
  <si>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</si>
  <si>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</si>
  <si>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</si>
  <si>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</si>
  <si>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AA2/29.01.2020</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</si>
  <si>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</si>
  <si>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</si>
  <si>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</si>
  <si>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</si>
  <si>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</si>
  <si>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</si>
  <si>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AA1/02.08.2019</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</si>
  <si>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</si>
  <si>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</si>
  <si>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</si>
  <si>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</si>
  <si>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</si>
  <si>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„Servicii sociale pentru fiecare vârstnic – pachet de achiziții de servicii în fiecare comunitate”</t>
  </si>
  <si>
    <t>Fundația de Sprijin Comunitar</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</si>
  <si>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</si>
  <si>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</si>
  <si>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AA1/21.08.2019</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</si>
  <si>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</si>
  <si>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</si>
  <si>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</si>
  <si>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</si>
  <si>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</si>
  <si>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</si>
  <si>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</si>
  <si>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AA nr.2/29.11.2019 prelungire si modif fse, bn si cp</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</si>
  <si>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</si>
  <si>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</si>
  <si>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</si>
  <si>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</si>
  <si>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</si>
  <si>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</si>
  <si>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</si>
  <si>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AA1/18.12.2018</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</si>
  <si>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</si>
  <si>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</si>
  <si>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</si>
  <si>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</si>
  <si>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AA2/18.11.2019</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</si>
  <si>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</si>
  <si>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</si>
  <si>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</si>
  <si>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AA1/19.12.2019</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</si>
  <si>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</si>
  <si>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</si>
  <si>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</si>
  <si>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</si>
  <si>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AA1/25.09.2019</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</si>
  <si>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</si>
  <si>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</si>
  <si>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</si>
  <si>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</si>
  <si>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Dezvoltarea mediului rural prin implementarea dialogului social si civic</t>
  </si>
  <si>
    <t>ASOCIATIA MASTER. CONFERENCE. AWARDS. LAW. - (MCAL)</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</si>
  <si>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</si>
  <si>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</si>
  <si>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</si>
  <si>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AA1/14.10.2019</t>
  </si>
  <si>
    <t>Politica publica pentru mestesugul traditional</t>
  </si>
  <si>
    <t>Centrul Romano de Studii și Dezvoltare Socială (fostă Asociația Mesteșukar Mobil)</t>
  </si>
  <si>
    <t>1. Ministerul Culturii și Identității Naționale                                         2. Secretariatul General al Guvernului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</si>
  <si>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</si>
  <si>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Florești</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</si>
  <si>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</si>
  <si>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</si>
  <si>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</si>
  <si>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</si>
  <si>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</si>
  <si>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</si>
  <si>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</si>
  <si>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AA1/17.05.2019</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</si>
  <si>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</si>
  <si>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</si>
  <si>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</si>
  <si>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</si>
  <si>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Instrumente de consolidare a dialogului structurat în politicile publice în domeniul tineretului – ACTIVONGT</t>
  </si>
  <si>
    <t>CONVENTIA Nationala a Fundatiilor pentru Tineret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</si>
  <si>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</si>
  <si>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</si>
  <si>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Act adițional nr. 2/27.11.2019 modif fse, bn si cp</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</si>
  <si>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</si>
  <si>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</si>
  <si>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</si>
  <si>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</si>
  <si>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</si>
  <si>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</si>
  <si>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</si>
  <si>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</si>
  <si>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</si>
  <si>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</si>
  <si>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Act aditional nr. 1/28.01.2019</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</si>
  <si>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</si>
  <si>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</si>
  <si>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</si>
  <si>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AA1/27.09.2019</t>
  </si>
  <si>
    <t>Consolidarea integritatii în institutiiile_x000D_
publice si în mediul de afaceri</t>
  </si>
  <si>
    <t>MINISTERUL FINANTELOR PUBLICE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</si>
  <si>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</si>
  <si>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AA 1/06 .06.2019                                               AA2/10.02.2020</t>
  </si>
  <si>
    <t>ProLexKampanya</t>
  </si>
  <si>
    <t>FUNDAȚIA ''TUNA''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</si>
  <si>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</si>
  <si>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</si>
  <si>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</si>
  <si>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</si>
  <si>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</si>
  <si>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</si>
  <si>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</si>
  <si>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</si>
  <si>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</si>
  <si>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</si>
  <si>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</si>
  <si>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</si>
  <si>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</si>
  <si>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</si>
  <si>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</si>
  <si>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</si>
  <si>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</si>
  <si>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ASOCIAȚIA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</si>
  <si>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</si>
  <si>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</si>
  <si>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</si>
  <si>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</si>
  <si>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</si>
  <si>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</si>
  <si>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</si>
  <si>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</si>
  <si>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</si>
  <si>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</si>
  <si>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Acces egal la educaþie pentru minoritațile
etnice din România</t>
  </si>
  <si>
    <t>ASOCIATIA ARES'EL</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</si>
  <si>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</si>
  <si>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</si>
  <si>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</si>
  <si>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</si>
  <si>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</si>
  <si>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</si>
  <si>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</si>
  <si>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</si>
  <si>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</si>
  <si>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</si>
  <si>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AA1/07.03.2019     AA2/09.12.2019</t>
  </si>
  <si>
    <t>METROPOLITAN – Politica publica alternativa la politicile publice iniþiate de Guvern în domeniul
transportului public local si metropolitan de calatori din România</t>
  </si>
  <si>
    <t>Federația Zonelor Metropolitane și Agromerărilor Urbane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</si>
  <si>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</si>
  <si>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</si>
  <si>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 nr.1/13.02.2020</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</si>
  <si>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</si>
  <si>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</si>
  <si>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</si>
  <si>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</si>
  <si>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</si>
  <si>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</si>
  <si>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Asociația Habilitas - Centrul de Resurse și formare profesională</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</si>
  <si>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</si>
  <si>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AA3/02.03.2020</t>
  </si>
  <si>
    <t>Implică-te în politici publice pentru afaceri</t>
  </si>
  <si>
    <t>ASOCIAȚIA PENTRU DEZVOLTAREA ANTREPRENORIATULUI FEMININ</t>
  </si>
  <si>
    <t>AA1/16.10.2019                                           AA2/213.02.2020</t>
  </si>
  <si>
    <t>IP12/2018
(MySMIS: 
POCA/ 399/1/1)</t>
  </si>
  <si>
    <t>Îmbunătățirea capacității administrative a ME de a coordona procesul de conformare a legislației naționale cu legislația europeană în domeniul energetic</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</si>
  <si>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</si>
  <si>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Consolidarea capacitații Agenției Naționale de Administrare Fiscala de a susține inițiativele de modernizare</t>
  </si>
  <si>
    <t>Agenția Naționlă de Administrare Fiscală</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</si>
  <si>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</si>
  <si>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Sistem de management al calitatii pentru Ministerul Educatiei Nationale si structuri subordonate</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</si>
  <si>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</si>
  <si>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</si>
  <si>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</si>
  <si>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</si>
  <si>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AA1/22.07.2019</t>
  </si>
  <si>
    <t>Primarie Fara Hartie si Implicarea Cetatenilor in Planificarea Strategica a Sectorului 6</t>
  </si>
  <si>
    <t>SECTORUL 6 AL MUNICIPIULUI BUCUREŞTI</t>
  </si>
  <si>
    <t>Consolidarea capacităţii instituţionale a Primăriei Sectorului 6 prin introducerea de instrumente de planificare strategică pentru optimizarea proceselor administrative ale primăriei şi adoptarea unor măsuri de simplificare a furnizării serviciilor către cetăţeni şi mediul de afaceri, prin implementarea unor solutii inovative.
Proiectul contribuie astfel la îndeplinirea obiectivului specific 2.1 al POCA "Introducerea de sisteme şi standarde comune în administraţia publica locala ce optimizează procesele orientate catre beneficiari în concordanţă cu
SCAP". Implementarea acestui proiect va avea ca efect implicarea cetatenilor in procesul de planificare strategica şi simplificarea
administrativă a serviciilor furnizate către cetăţeni/mediu de afaceri, contribuind astfel la atingerea obiectivelor Strategiei pentru
consolidarea administratiei publice 2014-2020 (SCAP) - II.1.4, II.3, II.4, II.5 şi II.6 , III.1 şi III.2. Mentionam faptul ca proiectul contribuie la atingerea rezultatelor si indicatorilor POCA, asa cum se va detalia in sectiunile urmatoare.</t>
  </si>
  <si>
    <t>Consolidarea mecanismului de coordonare a implementarii Conventiei ONU privind drepturile persoanelor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</si>
  <si>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</si>
  <si>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</si>
  <si>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</si>
  <si>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</si>
  <si>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TAEJ - Transparenta, accesibilitate si educatie juridica prin imbunatatirea comunicarii publice la nivelul sistemului judiciar</t>
  </si>
  <si>
    <t>Consiliul Superior al Magistraturii</t>
  </si>
  <si>
    <t xml:space="preserve">1. Scoala Nationala de Grefieri;                                         2. Inspectia Judiciara                        3. Parchetul de pe langa Inalta Curte de Casatie si Justitie/adjunct procuror general                                                                                  4. Institutul National al Magistraturii                                                         5. Ministerul Justitiei                                                                                                                  </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</si>
  <si>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</si>
  <si>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Stabilirea cadrului de referință în domeniul dezvoltarii rețelei de banda larga în România</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</si>
  <si>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</si>
  <si>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</si>
  <si>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</si>
  <si>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În implementare</t>
  </si>
  <si>
    <t>AA1/08.04.2019
AA2/06.01.2020</t>
  </si>
  <si>
    <t>AP2/11i /2.2</t>
  </si>
  <si>
    <t>CP 11/2018</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</si>
  <si>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</si>
  <si>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</si>
  <si>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</si>
  <si>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AA1/03.02.2020</t>
  </si>
  <si>
    <t>IP14/2019
(MySMIS: 
POCA/ 513/1/1 )</t>
  </si>
  <si>
    <t>INCLUZIUNE ȘI EGALITATE DE SANSE
POST-2020 - Cadru strategic național de
politică pentru incluziunea socială și
egalitatea de șanse post 2020</t>
  </si>
  <si>
    <t>MINISTERUL MUNCII ȘI PROTECȚIEI SOCIALE</t>
  </si>
  <si>
    <t>1. AGENȚIA NAȚIONALĂ PENTRU EGALITATEA DE ȘANSE ÎNTRE FEMEI ȘI BĂRBAȚI
2. SCOALA NATIONALĂ DE STUDII POLITICE SI ADMINISTRATIVE</t>
  </si>
  <si>
    <t>Obiectivul general: Dezvoltarea capacitaþii administrative a MMJS si ANES de a fundamenta pe dovezi politicile publice din aria de responsabilitate, respectiv a cadrului strategic naþional privind incluziunea sociala si reducerea saraciei post 2020 si a cadrului strategic naþional pentru egalitatea de gen post 2020, conform cerintelor stabilite de Comisia Europeana, în vederea îndeplinirii condiþiilor favorizante esenþiale pregatirii documentelor aferente CFM post 2020 si accesarii FESI în perioada 2021-2027.
Obiective specifice:
OS 1. Cresterea capacitatii MMJS si ANES de a fundamenta politici publice bazate pe dovezi prin colaborarea cu experti din mediul universitar cu experienta in domeniu, in elaborarea cadrului strategic national post 2020 privind incluziunea sociala si respectiv egalitatea de gen, obiectiv atins prin RP1 si RP2.
2. OS 2. Imbunatatirea nivelului de cunoastere a fenomenelor saraciei, excluziunii sociale, egalitatii de gen, prin realizarea unei analize diagnostic bazata pe date statistice, obiectiv atins prin RP1 si RP2.
3. OS 3. Planificarea strategica post 2020 a masurilor interdisciplinare care vizeaza cresterea incluziunii sociale, reducerea saraciei,
precum si care vizeaza egalitatea de gen, obiectiv atins prin RP3.
4. OS 4 Sprijinirea procesului de programare a CFM post 2020 si îndeplinirea condiþiilor stabilite de Comisia Europeana pe domeniile incluziunii, reducerii saraciei si domeniul egalitatii de gen, pentru ca România sa acceseze fondurile europene post 2020, obiectiv atins prin RP3.
5. OS 5 Intarirea cooperarii interinstitutionale (a MMJS si ANES cu institutiile de nivel central si local cu atributii in incluziunea sociala si in ceea ce priveste egalitatea de gen) prin implicarea activa a acestora in elaborarea acestui cadru strategic, obiectiv atins prin RP3.</t>
  </si>
  <si>
    <t>AA1/27.11.2019 FSE SI CP</t>
  </si>
  <si>
    <t>Cresterea capacității sistemului CDI de a răspunde provocarilor globale. Consolidarea capacității+G413
anticipatorii de elaborare a politicilor publice bazate pe dovezi</t>
  </si>
  <si>
    <t>UNITATEA EXECUTIVA PENTRU FINANTAREA INVATAMANTULUI SUPERIOR, A CERCETARII,</t>
  </si>
  <si>
    <t>Obiectivul general: Consolidarea capacitaþi anticipatorii de elaborare a politicilor publice bazate pe dovezi în domeniul                                     Obiectivele specifice ale proiectului
1. Elaborarea cadrului Strategic Naþional de Cercetare, Dezvoltare si Inovare 2021-2027, incluzând sinergiile cu Strategia Naþionala
de Specializare Inteligenta
2. Elaborarea cadrului Strategic Naþional de Specializare Inteligenta
3. Îmbunataþirea politicilor publice si cresterea calitaþii reglementarilor în domeniul antreprenoriatului inovativ
4. Revizuirea legislaþiei în domeniul CDI, asociat cadrului strategic dezvoltat
5. Implementarea unui sistem de managementul calitaþii la nivelul MCI
6. Dezvoltarea competenþelor membrilor grupului þinta si actorilor implicaþi în activitaþile proiectului si în implementara cadrului
strategic dezvoltat (SNCDI, SNSI)</t>
  </si>
  <si>
    <t>Consolidarea capacității de planificare strategică a Ministerului Dezvoltării Regionale și Administrației Publice în renovarea fondului construit național din perspectiva eficientei energetice și a riscului</t>
  </si>
  <si>
    <t xml:space="preserve">Institutul Național de Cercetare Dezvoltare
în Construcții,
Urbanism și Dezvoltare Teritorială Durabilă "URBAN-INCERC
</t>
  </si>
  <si>
    <t>Obiectivul general: Consolidarea capacitaþii de planificare strategica si operaþionala a Ministerului Dezvoltarii Regionale si Administrației Publice în vederea
îndeplinirii obligațiilor europene privind eficiența energetica în cladiri si a eficientizarii acþiunilor ministerului în domeniul riscului seismic.
Obiectivele specifice ale proiectului
1. Asigurarea cadrului strategic pentru renovarea fondului construit, potrivit nevoilor naționale si prevederilor legislației europene prin
elaborarea Strategiei de renovare pe termen lung;
2. Optimizarea cadrului legislativ privind eficiența energetica în cladiri si reziliența fondului construit la riscul seismic;
3. Optimizarea proceselor decizionale de la nivelul MDRAP si de la nivelul autoritaților publice locale pentru utilizarea eficienta si
eficace a fondurilor publice în programe si proiecte;
4. Realizarea unor instrumente si metode eficiente de evidența si monitorizare pentru atingerea țintelor stabilite prin strategii si
reglementari europene si naționale privind fondul construit;
5. Formarea unui numar de 35 de persoane din cadrul MDRAP si ISC în vederea îmbunatațirii cunostințelor si abilitaților în domeniul
eficienței energetice si riscului seismic;
6. Asigurarea unor instrumente de informare si comunicare pentru aplicarea strategiei si legislației modificate.</t>
  </si>
  <si>
    <t>Armonizarea cadrului legislativ pentru implementarea planului de reformă în sănătate</t>
  </si>
  <si>
    <t>MINISTERUL SĂNĂTĂȚII</t>
  </si>
  <si>
    <t>Obiectivul general: Dezvoltarea si introducerea de sisteme si standarde comune în sistemul public de sanatate ce optimizeaza procesele decizionale - reprezentate de reglementari (acte normative, procedure, norme metodologice etc.) precum si a procesului de initiere,
adoptare,implementare si evaluare a acestora - orientate catre cetaþeni si mediul de afaceri în concordanþa cu SCAP
Obiectivele specifice:
1. OBS 1. Crearea unui cadru specific privind stabilirea si implementarea acþiunilor necesare consolidarii cadrului legislative in
domeniul sanatatii avand la baza imbunataþirea politicilor publice si cresterea calitaþii reglementarilor in domeniul sanatatii
2. OBS 2. Crearea unui set de reglementari legislative care sa conduca la simplificarea procedurilor administrative si reducerea
birocraþiei in domeniul sanatatii, proceduri care afecteaza atat cetaþeni precum si mediul de afaceri.
3. OBS 3. Dezvoltarea abilitaþilor si cunostinþelor unui numar de numar de 150 persoane, personal al autoritatile si institutiile
publice centrale – respectiv Ministerul Sanatatii si Casa Nationala a Asigurarilor de Sanatate, reprezentati ai Ministerului Sanatatii,
implicati de cele mai multe ori în procesele de legiferare, pentru utilizarea instrumentelor specifice de politica publica</t>
  </si>
  <si>
    <t>IP 11/2018</t>
  </si>
  <si>
    <t>Sprijin în implementarea SNAP prin consolidarea capacitații administrative a ANAP și a autoritaților contractante</t>
  </si>
  <si>
    <t>MINISTERUL LUCRĂRILOR PUBLICE, DEZVOLTĂRII ȘI ADMINISTRAȚIEI (Institutul Național de Administrație)</t>
  </si>
  <si>
    <t>Obiectivul general al proiectului  îl constituie sprijin în implementarea SNAP prin  consolidarea capacitații administrative a ANAP și a autorităților contractante în vederea creșterii transparentei și responsabilității sistemului de achiziții publice pentru o aplicare unitara a normelor și procedurilor de achiziții publice și reducerea neregulilor în acest domeniu.</t>
  </si>
  <si>
    <t>Consolidarea capacitaþii de implementare si evaluare a strategiilor/politicilor publice pe care le
coordoneaza OSIM si ME</t>
  </si>
  <si>
    <t>OFICIUL DE STAT PENTRU INVENTII SI MARCI</t>
  </si>
  <si>
    <t>Obiectiv general: Consolidarea capacitatii Oficiului de Stat pentru Inventii si Marci si a Ministerului Economiei in vederea elaborarii, implementarii si evaluarii strategiilor si politicilor publice in domeniul proprietatii industriale.                                                                                                                1. Sprijinirea Oficiului de Stat pentru Inventii si Marci si Ministerul Economiei in vederea elaborarii si implementarii unei Strategii
nationale in domeniul proprietatii industriale.
2. Facilitarea accesului solicitantilor/utilizatorilor la serviciile OSIM prin dezvoltarea si implementarea unei aplicaþii integrate software.
3. Dezvoltarea competentelor angajatilor Oficiului de Stat pentru Inventii si Marci si ai Ministerului Economiei in domeniul politicilor
publice.</t>
  </si>
  <si>
    <t>Consolidarea capacității autorităților administrației publice centrale de a optimiza procese de gestionare a organizării și desfășurării în România a evenimentelor sportive majore</t>
  </si>
  <si>
    <t>1. Școala Națională de Studii Politice și Administrative
2. Federația Română de Fotbal</t>
  </si>
  <si>
    <t>Obiectivul general al proiectului consta in consolidarea capacitatii MAI prin dezvoltarea de instrumente de coordonare, eficientizare si
crestere a calitatii serviciului de ordine si siguranta publica, precum si a gestionarii interventiilor în situatiile de urgenta si prim-ajutor calificat în organizarea si desfasurarea evenimentelor sportive majore în România.
OS1. Eficientizarea activitatii in cadrul MAI si aplicarea sistemului bazat pe dovezi prin:
- Elaborarea unui document strategic privind gestionarea evenimentelor sportive majore desfasurate în România;
- Elaborarea unui Plan de actiuni pentru organizarea si desfasurarea în România a evenimentului sportiv UEFA EURO 2020;
- Elaborarea unui plan de masuri privind pregatirea continua a actorilor cheie implicati în gestionarea evenimentelor sportive
majore organizate în România;
OS.2. Simplificarea si sistematizarea fondului activ al legislatiei din domeniul ordinii si sigurantei publice si a interventiilor in situatii
de urgenta si prim ajutor prin elaborarea unei propuneri de revizuire a Cadrului legislativ si a unui ghid de procedure pentru furnizarea serviciilor.
OS.3. Imbunatatirea nivelului de cunostinte si abilitati ale personalului din cadrul MAI si a structurilor aflate in subordonare/coordonare, asimilarea de bune practice din contextul international al organizarii de evenimente sportive majore.</t>
  </si>
  <si>
    <t>AA1/19.02.2020</t>
  </si>
  <si>
    <t>IP15/2019
(MySMIS: 
POCA/ 535/1/2 )</t>
  </si>
  <si>
    <t>POLISE - Implementarea de politici și instrumente moderne pentru selectia si evaluarea resurselor umane în Serviciul de Protecție si Pază</t>
  </si>
  <si>
    <t>SERVICIUL DE PROTECŢIE ŞI PAZĂ - U.M. 0149 BUCUREŞTI</t>
  </si>
  <si>
    <t>Obiectivul general al proiectul este de implementare a unui sistem modern de management al resurselor umane, prin utilizarea unor politici bazate pe dovezi, a unor instrumente unitare si moderne, adaptarea si optimizarea proceselor de selecție, recrutare si evaluare a pregătirii resurselor umane, inclusiv a personalului existent în organizație.</t>
  </si>
  <si>
    <t xml:space="preserve">AP1/11i /1.1 </t>
  </si>
  <si>
    <t>Consolidarea capacității ISC de a-și exercita competențele într-un mod unitar, eficient și eficace</t>
  </si>
  <si>
    <t>Inspectoratul de Stat în Construcții</t>
  </si>
  <si>
    <t>Obiectivul general al proiectul:Consolidarea capacității ISC de a exercita controlul de stat cu privire la respectarea disciplinei în urbanism si a regimului de autorizare a construcțiilor, precum si la aplicarea unitara a prevederilor legale în domeniul calității în construcții                                                                                                                       1.Simplificarea procedurilor ce vizeaza reducerea poverii administrative pentru mediul de afaceri prin introducerea unor instrumente
moderne si eficiente de management si de gestionare a neconformitaților constatate în activitatea de control a inspectorilor în
construcþii în toate domeniile specifice si la îmbunatațirea calitații si eficienței serviciilor publice oferite de catre ISC.
2. Extinderea sistemului informatic integrat de management existent.
3. Dezvoltarea competenþelor angajaþilor Inspectoratului de Stat în Construcții în domeniul politicilor publice</t>
  </si>
  <si>
    <t>A.N.A.N.P.-Pilon strategic în dezvoltarea comunitaþiilor locale si a mediului de afaceri prin
consolidarea capacitaþii administrative în ariile naturale protejate din România</t>
  </si>
  <si>
    <t>AGENTIA NATIONALĂ PENTRU ARII NATURALE PROTEJATE</t>
  </si>
  <si>
    <t>INSTITUTUL NATIONAL DE CERCETARI ECONOMICE "COSTIN C. KIRITESCU"</t>
  </si>
  <si>
    <t>Obiectivul general al proiectului este acela de a eficientiza managmentul ariilor naturale protejate si de a sprijini dezvoltarea durabila, bazata pe valorile biodiversității, în folosul cetățenilor si a mediului de afaceri.                                                                                                                              1. Îmbunatățirea accesului la informații despre ariile naturale protejate, prin dezvoltarea unui sistem de colectare, uniformizare si
gestionare a informațiilor, a unei bazei de date geospațiale si a unui mecanism pentru promovarea valorificarii durabile a
potențialului economic;
2. Eficientizarea proceselor administrative ale ANANP, prin implementarea unei platforme integrate;
3. Utilizarea optima a instrumentelor si mecanismelor elaborate si dezvoltate în cadrul proiectului prin instruirea grupului þinta.</t>
  </si>
  <si>
    <t>IP 10/2018 (MySMIS: 
POCA/354/1/3/)</t>
  </si>
  <si>
    <t>Ghidul specializărilor expertizei tehnice judiciare</t>
  </si>
  <si>
    <t>PARCHETUL DE PE LINGA INALTA CURTE DE CASATIE SI JUSTITIE      / TRIBUNALUL BUCURESTI</t>
  </si>
  <si>
    <t>Obiectivul general urmărit prin proiect vizează eficientizarea justiției ca serviciu public și îmbunătățirea calității actului de justiție prin elaborarea și implementarea unui instrument standard de management la nivelul sistemului judiciar aplicabil activității de expertiză tehnică judiciară.</t>
  </si>
  <si>
    <t>România durabilă - Dezvoltarea cadrului strategic și instituțional pentru implementarea Strategiei Naționale pentru Dezvoltarea Durabilă a României 2030</t>
  </si>
  <si>
    <t>1. Institutul Național de Statistică
2. Asociația Regională pentru Dezvoltare Antreprenorială Oltenia (ARDA OLTENIA)</t>
  </si>
  <si>
    <t>Obiective proiect
Implementarea SNDD 2030 prin asigurarea cadrului adecvat de implementare, cresterea capacitatii institutionale a autoritatilor centrale, eficientizarea comunicarii si colaborarii interinstitutionale, asigurarea consistentei implementarii prin monitorizarea progresului si prezentarea tendintelor de dezvoltare ale Romaniei, permitand decizii publice bazate pe dovezi in maniera proiectiva, anticipand evolutii si riscuri sistematice.
Obiectivele specifice ale proiectului
1. Operationalizarea cadrului strategic existent in domeniul dezvoltarii durabile prin elaborarea planului de actiune pentru implementarea Strategiei Naþtonale pentru Dezvoltarea Durabila a României 2030 (SNDD), de catre Departamentul pentru Dezvoltare Durabila al Guvernului României
2. Realizarea unui mecanism de monitorizare si raportare a implementarii SNDD, prin extinderea si valorificarea rezultatelor,
experientei si functionalitatii sistemului informatic agregator de date statistice elaborat in cadrul proiectului ”Starea Națiunii –
construirea unui instrument inovator pentru fundamentarea politicilor publice” (SIPOCA 11), cod SMIS 118963, gestionat de Directia pentru Strategii Guvernamentale din cadrul Secretariatului General al Guvernului Romaniei, si realizarea corespondentei cu indicatorii pe care Institutul National de Statistica si alte institutii publice relevante ii colecteaza, centralizeaza si agrega.
3. Crearea cadrului institutional adecvat pentru implementarea si monitorizarea SNDD prin infiintarea de nuclee de dezvoltare
durabila in cadrul autoritatilor publice centrale si locale, formarea profesionala in domeniul dezvoltarii durabile a personalului din
cadrul acestora, si dezvoltarea capacitatii institutionale a Departamentului pentru Dezvoltare Durabila al Guvernului Romaniei, in
vederea indeplinirii functiilor de planificare strategica in domeniul dezvoltarii durabile, de coordonare a activitatilor de implementare rezultate din setul de 17 Obiective de Dezvoltare Durabila ale Agendei 2030 si de monitorizare a indicatorilor dezvoltarii durabile, functii stabilite prin Hotararea Guvernului nr. 313/2017 privind infiintarea, organizarea si functionarea Departamentului pentru dezvoltare durabila, cu modificarile si completarile ulterioare.</t>
  </si>
  <si>
    <t>PROGRES în asigurarea tranziþiei de la îngrijirea în instituþii la îngrijirea în comunitate</t>
  </si>
  <si>
    <t>Obiectivul general al proiectului este acela de a creste capacitatea administrativa a autoritaþilor administraþiei publice centrale si locale cu atribuþii în domeniul protecției copilului, prin introducerea de instrumente si standarde comune, în vederea optimizarii procesului decizional de asigurare a tranziþiei de la îngrijirea în instituții la îngrijirea în comunitate.                                                                                                                         1. Dezvoltarea si aplicarea unui sistem de politici bazate pe dovezi în domeniul protecþiei copilului, prin implementarea la nivel
naþional a unui sistem de monitorizare si evaluare periodica a stadiului tranziþiei de la îngrijirea în instituþii la îngrijirea în comunitate.
2. Sprijinirea dezvoltarii autoritaþilor administraþiei publice locale cu atribuþii în domeniul prevenirii separarii copilului de familie în
vederea cresterii calitaþii serviciilor oferite copiilor expusi riscului de separare de familie.</t>
  </si>
  <si>
    <t>Consolidarea capacității administrative a Ministerului Energiei prin implementarea instrumentului CAF și a Sistemului de Management al Calității SR EN IS0 9001:2015</t>
  </si>
  <si>
    <t>Obiectivul general al proiectului consta în cresterea capacitaþii administrative la nivelul Ministerului Energiei prin dezvoltarea si
implementarea unui sistem unitar de management al calitaþii si performanþei – Standardul ISO 9001: 2015 si instrumentul CAF, inclusiv
dezvoltarea componentelor sistemului de management al Ministerului Energiei, astfel încât acesta sa faca faþa principiilor si cerinþelor SR
RO ISO 9001:2015, precum si îmbunataþirea competenþelor personalului în desfasurarea activitaþilor specifice managementului calitaþii.</t>
  </si>
  <si>
    <t>31.09.2021</t>
  </si>
  <si>
    <t>Îmbunatațirea capacitații autoritații publice centrale în domeniul managementului apelor în ceea ce
priveste planificarea, implementarea si raportarea cerințelor europene din domeniul apelor</t>
  </si>
  <si>
    <t xml:space="preserve">ADMINISTRATIA NATIONALA "APELE ROMANE" </t>
  </si>
  <si>
    <t>1. Elaborarea si/sau reactualizarea procedurilor si metodologiilor privind planificarea strategica legata de conformarea cu cerinþele
Directivei 91/271/CEE privind epurarea apelor uzate urbane si optimizarea bugetarii programelor dedicate realizarii
infrastructurii specifice în vederea realizarii conformarii în cel mai scurt timpul posibil
2. Elaborarea si promovarea unui proiect de act normativ (lege) pentru definirea obligaþiilor si responsabilitaþilor legate de colectarea
si epurarea apelor uzate urbane
3. Reactualizarea Planului de implementare al Directivei 91/271/CEE privind epurarea apelor uzate urbane prin luarea în
considerare a modificarilor în marimea si distribuþia populaþiei echivalente care a avut loc în perioada 2004-2017.
4. Elaborarea unei Strategii naþionale privind alimentarea cu apa, colectarea si epurarea apelor uzate urbane si revizuirea
reglementarilor în vederea cresterii eficienþei în aplicarea legislaþiei specifice, a reducerii costurilor de implementare si a realizarii
unei sinergii cu implementarea altor directive din domeniul apei respectiv Directiva Nitraþi, Directivei Cadru Apa si Directiva
Cadru Strategia Marina.
5. Dezvoltarea si implementarea, la nivelul Administraþiei Naþionale ”Apele Române”, a unui sistem si a procedurilor si mecanismelor
pentru coordonarea si consultarea cu factorii interesaþi privind implementarea, monitorizarea si evaluarea politicilor si strategiilor
din domeniul alimentarii cu apa, canalizarii si epurarii apelor uzate urbane.
6. Dezvoltarea abilitaþilor si competenþelor personalului din cadrul Ministerului Apelor si Padurilor si al Administraþiei Naþionale
”Apele Române” în vederea coordonarii interinstituþionale si eficientizarea proceselor, masurilor, acþiunilor stabilite pentru
îmbunataþirea alimentarii cu apa, canalizarii si epurarii apelor uzate</t>
  </si>
  <si>
    <t>Persoane cu dizabilități - tranziția de la servicii rezidențiale la servicii în comunitate</t>
  </si>
  <si>
    <t xml:space="preserve">Accelerarea procesului de dezinstituționalizare a persoanelor adulte cu dizabilități concomitent cu proiectarea politicii publice și a instrumentelor de lucru pentru dezvoltarea de alternative de sprijin pentru viața independentă și integrare în comunitate și prevenirea re/instituționalizării
Obiectivele specifice ale proiectului
1. OS 1 – Elaborarea unei propuneri de politici publice pentru dezvoltarea de alternative de sprijin pentru viața independenta și
integrare în comunitate și prevenirea re/instituționalizării, bazata pe dovezi obținute din evaluarea ex ante
2. OS 2 – Proiectarea instrumentelor de lucru în domeniul serviciilor sociale pentru persoane adulte cu dizabilități.
3. OS 3 – Realizarea coordonării la nivel interinstituțional pentru evitarea suprapunerilor de inițiative și evitarea dublei finanțări.
</t>
  </si>
  <si>
    <t>Întărirea capacității INA privind dezvoltarea de studii/ analize cu impact asupra sistemului de formare profesională în administrația publică</t>
  </si>
  <si>
    <t>Institutul Național de Administrație</t>
  </si>
  <si>
    <t>1. SGG
2. ANFP</t>
  </si>
  <si>
    <t>Obiectivul general al proiectului este legat de întarirea capacitaTii actorilor implicaTi în procesul de formulare a propunerilor de politici
publice, bazate pe dovezi, în domeniul formarii profesionale pentru administraþia publica.
Obiective specifice:
OS1 - Cresterea capacitaþii instituþionale prin: realizarea unei analize/cercetari cu privire la nevoile de formare pentru personalul din administraþia publica si cu privire la piaþa de formare pentru administraTia publica;
OS2 - Promovarea bunelor practici în administraþia publica si încurajarea schimbului de experienþa si a networkingului
prin: crearea si operaþionalizarea Reþelei Naþionale a Furnizorilor de Formare pentru Administraþia Publica (ReForm);crearea
unei baze de date cu furnizorii de formare pentru administraþia publica;organizarea de evenimente în cadrul reþelei.
OS3 - Dezvoltarea de competenþe profesionale/ 100 participanti la activitati formare pt OS1.1.</t>
  </si>
  <si>
    <t>AA 1/15.01.2019 - SUSPENDARE 3 LUNI</t>
  </si>
  <si>
    <t>Creșterea capacității MMJS de coordonare metodologică a SPAS-urilor în vederea îndeplinirii atribuțiilor si obligațiilor legale pe domeniul serviciilor sociale și a creșterii calității serviciilor oferite cetățenilor</t>
  </si>
  <si>
    <t>Obiectivul general al proiectului:
Imbunatatirea cadrului sprijinirii dezvoltarii la nivel local si cresterea calitatii serviciilor publice de asistenta sociala prin dezvoltarea unui set de instrumente, proceduri, metodologii, ghiduri, instructiuni care sa sprijine autoritatile publice locale in indeplinirea atributiilor si obligatiilor pe domeniul serviciilor sociale care le revin printr-o abordare bazata pe dezvoltarea colaborativa - care sa implice autoritatile cu atributii in domeniul servicilor sociale (MMJS in calitate de autoritate publica centrala, si , respectiv DGASPC si SPAS in calitate de autoritati ale
administratiei publice locale), astfel incat sa asigure coordonarea si colaborarea intre aceste institutii.
Obiectivele specifice ale proiectului
1. Imbunatatirea coordonarii dintre actorii care activeaza in serviciile sociale (MMJS, autoritatile administratiei publice locale)pentru evitarea eventualelor suprapuneri de initiative si activitati care vizeaza serviciile sociale.
2. Cresterea capacitatii administrative a SPAS de a-si îndeplini obligaþiile prevazute de legislaþie în ceea ce priveste serviciile
sociale, precum si de a dezvolta si implementa iniþiative care vizeaza furnizarea de servicii comunitare integrate în comunitate la un înalt nivel calitativ si cu mijloace moderne</t>
  </si>
  <si>
    <t>Întărirea capacității administrative a Autorității Naționale de Reglementare pentru Serviciile Comunitare de Utilități Publice pentru reglementarea, autorizarea, evaluarea și monitorizarea serviciilor comunitare de utilități publice</t>
  </si>
  <si>
    <t>Autoritatea Națională de Reglementare pentru Serviciile Comunitare de Utilități Publice</t>
  </si>
  <si>
    <t>Asociația Municipiilor din România</t>
  </si>
  <si>
    <t>Obiectiv general: Dezvoltarea unui sistem coerent de gestiune printr-un sistem informatic integrat, introducerea de sisteme si standarde comune în administraþia publica ce optimizeaza procesele decizionale orientate catre cetaþeni si mediul de afaceri, în concordanþa cu SCAP.            OS.1. Simplificarea si sistematizarea fondului activ al legislaþiei din domeniul de activitate al ANRSC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OS2. Imbunatatirea nivelului de pregatire prin acumularea de cunostinþe si abilitaþi ale personalului A.N.R.S.C, participarea la
activitaþi de formare</t>
  </si>
  <si>
    <t>Optimizarea, eficientizarea cadrului procedural și digitalizarea proceselor  de management al resurselor umane din cadrul STS</t>
  </si>
  <si>
    <t>SERVICIUL DE TELECOMUNICATII SPECIALE</t>
  </si>
  <si>
    <t>1. ACADEMIA DE STUDII ECONOMICE DIN BUCURESTI
2. UNITATEA MILITARA 01512/Conducere
3. UNITATEA MILITARA 02648</t>
  </si>
  <si>
    <t xml:space="preserve">Analiza sistemica si revizuirea cadrului procedural de management al resurselor umane si crearea unui nou set de instrumente
informatizate care sa permită gestiunea unitara, optimizarea si eficientizarea proceselor specifice de recrutare, selecție, formare, evaluare si managementul carierei personalului S.T.S., facilitând totodată interoperabilitatea si creșterea performanțelor angajaților din generații diferite.
Obiectivele specifice ale proiectului
1. Îmbunătățirea cadrului de politici si proceduri existente la nivelul STS în domeniul managementului resurselor umane.
2. Asigurarea gestionarii unitare a proceselor de recrutare, selecție, managementul performantei si managementul carierei pentru
personalul STS, prin dezvoltarea si implementarea de instrumente moderne.
3. Îmbunătățirea cunoștințelor si abilitaților profesionale ale personalului cu atribuii în gestionarea proceselor de recrutare, selecție, managementul performantei si managementul carierei la nivelul STS, prin organizarea si implementarea unor programe de formare si perfecționare (mentorat, coaching, cursuri pentru aptitudini tehnice si manageriale).
</t>
  </si>
  <si>
    <t>INTELLIGENCE în serviciul cetățenilor</t>
  </si>
  <si>
    <t>SERVICIUL ROMÂN DE INFORMAȚII PRIN UNITATEA MILITARĂ 0929 BUCUREȘTI</t>
  </si>
  <si>
    <t>1. UM 0472 BUCUREȘTI
2. ACADEMIA NATIONALA DE INFORMATII "MIHAI VITEAZUL" - UNITATEA MILITARA 0418 BUCURESTI
3. SERVICIUL ROMAN DE INFORMATII PRIN INSTITUTUL PENTRU TEHNOLOGII AVANSATE</t>
  </si>
  <si>
    <t>Proiectul propus are ca scop îmbunătățirea cadrului normativ intern si instituțional privind managementul resurselor umane, prin asigurarea unui instrument modern si unitar de management al necesarului de resurse umane si prin îmbunătățirea mecanismelor instituționale si a instrumentelor specifice pentru planificarea strategica a resurselor umane la nivelul Serviciului Român de informații, respectiv dezvoltarea competențelor personalului din cadrul SRI în domeniul resurselor umane.</t>
  </si>
  <si>
    <t>Dezvoltarea capacității administrative a Ministerului Mediului privind gestionarea situațiilor de urgență generate de riscurile specifice ministerului si a situațiilor privind starea mediului</t>
  </si>
  <si>
    <t>Serviciul de Telecomunicatii Speciale</t>
  </si>
  <si>
    <t>Obiectivul general al proiectului este acela de a îmbunataþi capacitatea Ministerului Mediului în gestionarea situatiilor de urgenþa generate
de tipurile de risc specifice ministerului si a tipurilor de risc unde ministerul asigura funcþia de sprijin, precum si a situaþiilor privind starea
mediului.
Obiectivele specifice ale proiectului
1. Elaborarea unor pachete de propuneri pentru eficientizare administrativa, sistematizare si simplificare legislativa privind
gestionarea situaþiilor de urgenþa generate de tipurile de risc specifice Ministerului Me-diului si a tipurilor de risc unde ministerul
asigura funcþia de sprijin, precum si a situaþiilor privind starea mediului (poluarile accidentale, radioactivitate si calitaþii aerului).
 2. Cresterea capacitatii administrative a Ministerului Mediului prin dezvoltarea si eficientizarea functionarii dispeceratului pentru
gestionarea situatiilor de urgenta generate de tipurile de risc specifice Ministerului Mediului si a tipurilor de risc unde ministerul
asigura funcþia de sprijin, precum si a situaþiilor privind starea mediului.
3. Utilizarea optima a sistemului informatic dezvoltat în cadrul proiectului prin instruirea grupului þinta si prin diseminarea
informatiilor catre alte institutii.</t>
  </si>
  <si>
    <t>Consolidarea funcțiilor de management strategic la nivelul SGG</t>
  </si>
  <si>
    <t>-</t>
  </si>
  <si>
    <t>Consolidarea sistemului de management strategic la nivelul centrului guvernului si al ministerelor, prin cresterea capacitații SGG de a
coordona sistemul de management strategic, prin introducerea unor mecanisme noi si moderne de coordonare a elaborarii politicilor si
strategiilor naþionale (policy lab) si prin întarirea capacitații de management strategic la nivelul ministerelor.
Obiectivele specifice ale proiectului
1. Cresterea calitații coordonarii, elaborarii si implementarii documentelor strategice/ întarirea funcþiei de management strategic la
nivelul SGG;
2. Dezvoltarea de noi instrumente pentru întarirea funcþiilor de management strategic la nivelul SGG.
3. Diagnosticarea capacitaþii de management strategic la nivelul ministerelor;
4. Dezvoltatea capacitaþii a trei ministere de a elabora documente strategice
5. Elaborarea a trei strategii naționale intersectoriale</t>
  </si>
  <si>
    <t>Fundamentarea politicii de investiții pentru dezvoltarea socio-economică în perioada 2021-2030</t>
  </si>
  <si>
    <t>Sprijinirea fundamentarii politicii investiþionale, a formularii prioritaþilor de investiþii în vederea identificarii unor obiective/proiecte relevante.
Obiectivele specifice ale proiectului
1. cresterea gradului de coerenþa si complementaritate a proiectelor de investiþii de la nivel local si regional
2. proiectarea unei politici investiþionale coerente
3. identificare rapida a nevoilor de investiþii si de asigurare a coordonarii interinstituþionale</t>
  </si>
  <si>
    <t>Studii de impact pentru o reglementare mai buna!</t>
  </si>
  <si>
    <t>Obiectivul general al proiectului este acela de a îmbunataþi calitatea reglementarilor elaborate de instituþiile administraþiei publice centrale.
Obiectivele specifice ale proiectului vizeaza:
Dezvoltarea mecanismului de control al calitatii reglementarilor si a procedurilor operaþionale aferente;
Sprijinirea unui numar de 3 institutii ale administratiei publice centrale (ministere, agentii sau autoritati de reglementare)
în realizarea a 3 studii de impact care pot include evaluari ex-post ale rezultatelor unor politici publice sau reglementari, estimându-se
în acelasi timp, impactul unor optiuni de solutionare a problemelor aparute in implementarea acestora. Politicile publice vizate
vor fi în domeniile economic, social si cultural.
Îmbunatatirea nivelului de instruire a specialistilor din administratia publica implicati în realizarea analizelor de impact cu
privire la metodologia specifica de realizare a acestora, precum si la alte practici în domeniu aplicate la nivel european.
Consolidarea Comunitatii expertilor in evaluarea impactului reglementarilor (CEEIR) si a rolului DCPP în coordonarea
acesteia.</t>
  </si>
  <si>
    <t>Sistem performant de management al resurselor umane din cadrul Ministerului Afacerilor Interne</t>
  </si>
  <si>
    <t>MINISTERUL AFACERILOR INTERNE/DGMRU</t>
  </si>
  <si>
    <t xml:space="preserve">Dezvoltarea unui sistem unitar, coerent, predictibil si sustenabil de management al resurselor umane din cadrul Ministerului Afacerilor Interne
Obiectivele specifice ale proiectului
1. Dezvoltarea si implementarea de proceduri si instrumente unitare si moderne de management al resurselor umane din cadrul Ministerului Afacerilor Interne, adaptate specificului instituțional, prin:
a. identificarea unor modalității de îmbunătățire a procedurilor specifice managementului carierei personalului în cadrul MAI
b. dezvoltarea instrumentelor de previziune si planificare a resurselor umane
c. definirea profilului competențelor de resurse umane necesare pentru îndeplinirea unei funcții de conducere în cadrul MAI
2. Consolidarea capacitații structurilor de resurse umane ale MAI de a derula procese de resurse umane eficiente si flexibile,
particularizate în funcție de specificul instituțional, prin implementarea unui sistem informatic care sa servească evidenței si
gestiunii personalului, derulării proceselor de resurse umane si fundamentării politicilor de personal
3. Creșterea capacitații MAI pentru implementarea unor politici de personal adaptate specificului instituțional, prin:
a. asigurarea unei pregătiri adecvate a personalului MAI cu funcții de conducere în domeniul managementului resurselor umane si în domenii conexe activității de baza, precum cunoașterea personalului, evaluare comportamentala, negociere si mediere, gestionarea conflictelor
b. pregătirea suplimentara a personalului care își desfășoară activitatea în structurile de resurse umane în domeniul resurselor umane si în domenii conexe activității de baza, precum cunoașterea personalului, negociere si mediere, gestionarea conflictelor
</t>
  </si>
  <si>
    <t>Extinderea sistemului de planificare strategică la nivelul ministerelor de resort-II</t>
  </si>
  <si>
    <t>Curtea de Conturi
Academia Română</t>
  </si>
  <si>
    <t>Obiectivul general al proiectului este sa sprijine cele 9 ministere de resort în elaborarea PSI si în corelarea acestora cu bugetul pe programe. Astfel, se va contribui la îmbunatațirea procesului decizional si la cresterea calitaþii cheltuielilor publice prin extinderea sistemului de planificare strategica existent pentru cele 9 ministere de resort.
Obiectivele specifice ale proiectului
1. Elaborarea si actualizarea PSI-urilor în fiecare din cele 9 ministere de resort care nu au la acest moment PSI elaborat.
2. Extinderea sistemului de monitorizare prin crearea de instanþe ale aplicaþiei la nivelul celor 9 ministere de resort si conectarea acestora la dashboard-ului de la nivelul SGG, care nu sunt conectate la acest sistem în prezent.
3. Formarea personalului de la nivelul celor 9 ministere de resort în domeniul planificarii strategice si în utilizarea aplicaþiei IT de monitorizare a PSI.</t>
  </si>
  <si>
    <t>Național</t>
  </si>
  <si>
    <t>AA1/26.11.2019 AA LA ACORDUL DE PARTENERIAT</t>
  </si>
  <si>
    <t>CCR-SAI pentru cetățean</t>
  </si>
  <si>
    <t>Curtea de Conturi a României</t>
  </si>
  <si>
    <t>Consolidarea capacitații instituþionale a Curții de Conturi a României de a realiza activitatea de audit public extern în acord cu standardele
internaționale în domeniu si asteptarile societații.
Obiectivele specifice ale proiectului
1. Îmbunatațirea planificarii strategice la nivelul CCR.
2. Actualizarea reglementarilor în domeniul auditului public extern.
3. Întarirea capacitațiii profesionale în domeniul auditului public extern.</t>
  </si>
  <si>
    <t>Monitorizarea și evaluarea integrată a performanței serviciilor publice</t>
  </si>
  <si>
    <t>1. Patronatul Serviciilor Publice
2. MINISTERUL ECONOMIEI, ENERGIEI ȘI MEDIULUI DE AFACERI</t>
  </si>
  <si>
    <t>Obiectivul general al proiectului il reprezinta consolidarea capacitatii administratiei publice din Romania prin introducerea de sisteme si standarde comune care sa conduca la imbunatatirea activitatii de monitorizare si evaluare a performantei serviciilor publice furnizate.
Obiectivele specifice ale proiectului
1. OS1: Crearea unui cadru general unitar de monitorizare/evaluare a performantei serviciilor publice
2. OS2: Realizarea de unei analize integrate privind performanta actuala a serviciilor publice
3. OS4: Furnizarea unui cadru specific de imbunatatire a performantelor serviciilor comunitare de utilitati publice
4. OS4: Perfectionarea cunostintelor si dezvoltarea abilitatilor personalului din cadrul administratiei publice centrale</t>
  </si>
  <si>
    <t>Consolidarea capacității administrative a MADR susținută de planificare strategică și un sistem de politici publice bazate pe dovezi, sistematizarea și simplificarea procedurilor de lucru cu mediul de afaceri și cu cetățenii din România, cu accent pe zona montană</t>
  </si>
  <si>
    <t>MINISTERUL AGRICULTURII SI DEZVOLTARII RURALE</t>
  </si>
  <si>
    <t>Obiectivul general al proiectului este acela de a întari capacitatea MADR de elaborare de politici publice bazate pe dovezi, de reducere a poverii administrative pentru mediul de afaceri si implementarea unor masuri de simplificare pentru cetațeni.
Obiectivele specifice ale proiectului
1. Extinderea si îmbunataþirea unui sistem de politici publice bazate pe dovezi în cadrul M.A.D.R. si a structurilor acesteia, crearea mecanismelor instituþionale, administrative si procedurale, inclusiv sistematizarea legislaþiei actuale cu accent pe cea aferenta zonei montane din România si formularea unui plan etapizat de propuneri pentru îmbunataþirea si simplificare a acesteia 2. Elaborarea unor proceduri de lucru eficiente si prietenoase cu mediul de afaceri si cetaþenii, în concordanþa cu specificitaþile geografice, economice, sociale si culturale.
3. Instruirea grupului þinta pentru aplicarea acestora si diseminarea informaþiilor în cadrul comunitaþilor locale (mediul de afaceri si
cetaþeni).</t>
  </si>
  <si>
    <t>Consolidarea capacității MADR de a elabora politici și reglementări specifice în vederea implementării unui sistem strategic național pentru trasabilitatea și integritatea produselor agroalimentare</t>
  </si>
  <si>
    <t>Obiectivul general al proiectului este acela de a întari capacitatea M.A.D.R. de elaborare de propuneri de politici publice în domeniul agroalimentar bazate pe dovezi, de reducere a poverii administrative pentru mediul de afaceri si implementarea unor masuri de simplificare pentru cetațeni.
Obiectivele specifice ale proiectului
1. Elaborarea unui pachet de propuneri de politici publice în domeniul agroalimentar (de ex: trasabilitatea si integritatea, gestionarea
situaþiilor de criza de piaþa sau epizootice, promovarea produselor agroalimentare si cuantificarea risipei alimentare) bazate pe
dovezi, crearea mecanismelor instituþionale, administrative si procedurale, inclusiv sistematizarea legislaþiei actuale si formularea
unui plan etapizat de propuneri pentru îmbunataþirea, simplificare si completarea dupa caz a acesteia;
2. Elaborarea unui sistem informatic integrat de management si monitorizare în domeniul agroalimentar (sistem informatic care sa
furnizeze date privind productia, procesare, depozitare, comercializare, consum, bilant import/export, prognoze consum intern si
cerere-oferta pe piaþa interna precum si pe noi pieþe, etc) - SIIMM
3. Instruirea grupului þinta atât pentru aplicarea propunerilor de politici publice cât si pentru utilizarea sistemului informatic si ulterior
diseminarea informaþiilor catre mediul de afaceri si cetateni.</t>
  </si>
  <si>
    <t>Consolidarea Sistemului Statistic National
si modernizarea proceselor de productie
statistica pentru efectuarea recensamintelor
nationale</t>
  </si>
  <si>
    <t>INSTITUTUL NATIONAL DE STATISTICA</t>
  </si>
  <si>
    <t>INA</t>
  </si>
  <si>
    <t>Modernizarea si sistematizarea cadrului legal, a instrumentelor de colectare a datelor si a metodelor de gestiune integrata a proceselor
statistice pentru consolidarea capacitaþii INS în pregatirea, organizarea si realizarea recensamintelor naþionale (din perioada 2020-2021 si
ulterior) si elaborarea statisticilor oficiale ce susþin politicile publice si procesul decizional.
Obiectivele specifice ale proiectului
1. revizuirea si elaborarea în perioada 2019-2022 a 8 acte normative (legislaþie primara si secundara) la nivelul cerinþelor proceselor
statistice actuale pentru funcþionarea Sistemului Statistic National (SSN) si producþia de statistici oficiale, precum si privind Recensamântul General Agricol 2020 (RGA2020) si Recensamântul Populaþiei si Locuinþelor 2021 (RPL2021) si testarea preliminara a instrumentelor de colectare si prelucrare a datelor conform noilor prevederi legale;
2. introducerea în perioada 2019-2022 a instrumentelor moderne de colectare a datelor primare pentru producþia de statistici oficiale (1 sistem integrat si documentat pentru RGA2020, 1 sistem integrat si documentat pentru RPL2021, 1 sistem integrat si documentat pentru perioadele intercenzitare) si a metodelor de gestiune a proceselor statistice (1 sistem integrat si documentat pentru Modelului Generic de Activitaþi pentru Organismele Statistice - MGAOS)/ Modelului Generic de procese Statistice - MGPS)
3. consolidarea în perioada 2019-2022 a proceselor de evaluare, pregatire si de elaborare a documentelor strategice privind dezvoltarea statisticii (1 foaie de parcurs 2019-2020 si 1 Strategie de Dezvoltare a Sistemului Statistic Naþional - SDSSN 2021-2027);
4. asigurarea necesarului de cunostinþe si competenþe în perioada 2019-2022 pentru personalul implicat în producþia statisticilor oficiale, a realizarii recensamintelor naþionale si a proceselor de planificare pe termen lung si operaþionala a statisticii oficiale (10 programe de instruire, pentru 675 de participanþi)</t>
  </si>
  <si>
    <t>Creșterea capacității administrative a Camerei Deputaților pentru furnizarea de servicii de calitate</t>
  </si>
  <si>
    <t>CAMERA DEPUTATILOR/DA</t>
  </si>
  <si>
    <t xml:space="preserve">Obiectivul general al proiectului consta in creșterea capacității administrative a structurii organizatorice a serviciilor Camerei Deputaților prin măsuri de simplificare a furnizării serviciilor către beneficiari, susținute prin implementarea unor soluții informatice inovative. 
OS1. Optimizarea și simplificarea proceselor operaționale din cadrul Camerei Deputaților pentru reducerea cu cel puțin 20% a duratei pentru parcurgerea procedurilor administrative aferente serviciilor publice furnizate cetățenilor, prin digitalizarea fluxurilor de lucru din cadrul instituției.
OS2. Îmbunătățirea abilitaților si cunoștințelor personalului Camerei Deputaților  pentru înțelegerea abordării pe procese și implementarea măsurilor de simplificare implementate prin proiect, precum și pentru utilizarea sistemelor informatice dezvoltate prin proiect. Este avuta in vedere formarea/instruirea, evaluarea/testarea și certificarea competentelor/cunoștințelor dobândite pentru 100 de persoane din cadrul grupului țintă, in ceea ce privește susținerea măsurilor implementate in cadrul proiectului. </t>
  </si>
  <si>
    <t>Elaborarea politicii urbane ca instrument de consolidare a capacității administrative si de planificare strategică a zonelor urbane din România</t>
  </si>
  <si>
    <t>N.A</t>
  </si>
  <si>
    <t>Obiectivul proiectului este acela de elaborare a politicii urbane ca instrument de consolidare a capacitatii administrative si de planificare
strategica a oraselor din România în sensul fundamentarii cadrului normativ, investitional si financiar si schimbarii mentalitatii în ceea ce
priveste procesul de dezvoltare urbana.
Obiective specifice:
OS 1 - Îmbunatatirea cadrului strategic privind dezvoltarea urbana;
OS2 - Îmbunatatirea cadrului de reglementare prin propunerile ce vor fi efectuate în cadrul Politicii Urbane, adresate nivelului central si
local;
OS3 - Îmbunatatirea cadrului de finanþare, prin implementarea propunerilor ce vizeaza programele de finanþare de la nivel naþional si
investiþiile de la nivel local;
OS4 - Îmbunatatirea guvernantei centrale si locale prin optimizarea proceselor decizionale de la nivelul MDRAP si de la nivelul
autoritaþilor publice locale pentru utilizarea eficienta a fondurilor publice în programe si proiecte de dezvoltare urbana.</t>
  </si>
  <si>
    <t>Dezvoltarea capacității instituționale a Ministerul Fondurilor Europene printr-un sistem integrat de management al calității</t>
  </si>
  <si>
    <t>MINISTERUL FONDURILOR EUROPENE/DGMRU-SACA</t>
  </si>
  <si>
    <t xml:space="preserve">Proiectul propune dezvoltarea capacitații administrative a Ministerul Fondurilor Europene (”MFE”) prin crearea si dezvoltarea unui cadru unitar pentru managementul performant la nivelul MFE si susținerea reformelor instituționale, în concordanta cu "Planul de acțiuni pentru implementarea etapizata a managementului calității în autorități si instituții publice 2016-2020”, însoțite de implementarea unor soluții informatice inovative pentru evaluarea si monitorizarea managementului calității.
Obiectivele specifice ale proiectului
1. OS1. Cresterea performanței organizaționale prin implementarea Instrumentului de auto-evaluare a modului de funcționare a instituțiilor administrației publice (CAF) în MFE, în concordantă cu Planul de acțiuni pentru implementarea etapizata a managementului calității în autorități și instituții publice 2016-2020.
2. OS2. Cresterea eficienței serviciilor oferite de structurile din cadrul MFE prin implementarea si certificarea SR EN ISO 9001:2015 si a unor aplicații informatice suport pentru managementul calității.
3. OS2. Cresterea eficienþei serviciilor oferite de structurile din cadrul MFE prin implementarea si certificarea SR EN ISO 9001:2015 si a unor aplicații informatice suport pentru managementul calității.
</t>
  </si>
  <si>
    <t>EMOD - Dezvoltarea capacitații instituționale a Agenției Naționale de Integritate pentru eficientizarea fluxurilor interne de lucru si a modului de depunere a declarațiilor de avere si de interese în procesul electoral și annual</t>
  </si>
  <si>
    <t>Agentia Nationala de Integritate</t>
  </si>
  <si>
    <t>1. OS1. Optimizarea si simplificarea proceselor operaþionale de asigurare a respectarii normelor în materie de integritate la nivelul
ANI prin digitalizarea fluxurilor de lucru din cadrul instituþiei.
2. OS2. Îmbunataþirea abilitaþilor si cunostinþelor personalului ANI pentru înþelegerea abordarii pe procese si implementarea
masurilor de simplificare implementate prin proiect, precum si pentru utilizarea sistemelor informatice dezvoltate prin proiect. Sunt
avute în vedere formarea/instruirea, evaluarea/testarea si certificarea competentelor/cunostinþelor dobândite pentru 79 de
persoane din cadrul grupului þinta, în ceea ce priveste susþinerea masurilor implementate prin proiect.</t>
  </si>
  <si>
    <t>Dezvoltarea și introducerea de sisteme și standarde în Ministerul Sănătății ce optimizează procesele decizionale privind activitatea de vaccinare în România - ROVAC</t>
  </si>
  <si>
    <t xml:space="preserve">Obiectivul general al ROVAC este de a intari capacitatea sistemului de sănătate publică în implementarea programelor naționale de vaccinare, cu scop principal de a crește și acoperi vaccinarea în populația generală, prin elaborarea de proceduri, metodologii, strategii, asigurarea de infrastructură și pilotarea de modele de bune practici și promovarea acestora.
Obiectiv specific nr. 1 al proiectului – Aplicarea sistemului de politici bazate pe dovezi în autoritățile și instituțiile publice centrale, inclusiv evaluarea ex ante a impactului, printr-o strategie nationala, o campanie de informare și conștientizare si asigurarea de infrastructură pentru vaccinare.
Obiectiv specific nr. 2 al proiectului – Imbunatațirea cunoștințelor și abilităților personalului din Ministerul Sanatatii și din structurile cu responsabilități în dezvoltarea și punerea în aplicare a politicilor și programelor de vaccinare și imunizare, prin participarea la programe de instruire.
</t>
  </si>
  <si>
    <t>Optimizarea managementului la nivelul sistemului judiciar. Componenta de instanțe judecatoresti</t>
  </si>
  <si>
    <t>1. Identificarea si dezvoltarea mecanismelor necesare pentru reducerea duratei proceselor, îmbunataþirea ratei de soluþionare a
cauzelor, scaderea duratei de soluþionare a cauzelor;
2. Dezvoltarea si implementarea unor instrumente standard de management integrat, pentru a fi introduse la nivelul instanþelor, care
sa permita îmbunataþirea practicilor manageriale, sa asigure predictibilitatea în luarea deciziilor ce privesc buna funcþionare a
instanþelor si, totodata, sa permita adaptarea soluþiilor manageriale la specificul fiecarei instanþe.</t>
  </si>
  <si>
    <t>Eficientizarea activităților de autorizare și control a operatorilor economici prin implementarea unui sistem informatic integrat dedicat</t>
  </si>
  <si>
    <t xml:space="preserve">Obiectivul general al proiectului il reprezinta consolidarea capacitatii institutionale a Ministerului Turismului, de dezvoltare si sustinere a
unui turism modern si competitiv in Romania, prin implementarea unui sistem informatic care sa permita optimizerea proceselor
decizionale orientate catre cetateni si mediul de afaceri in concordanta cu SCAP
OS1. Imbuntatirea capacitatii de management a Ministerului Turismului, pentru indeplinirea functiilor sale, prin realizarea unei analize a procedurilor existente la nivelul institutiei cu privire la depunerea documentelor necesare obtinerii autorizarii operatorilor
economici si la activitatea de control.
OS2. Consolidarea capacitatii Ministerului Turismului de a asigura calitatea si accesul la serviciile publice prin implementarea unui sistem informatic integrat pentru gestionarea online si in timp real a tuturor categoriilor de autorizatii emise.
OS3. Cresterea nivelului de pregatire a personalului Ministerului Turismului prin instruirea unui numar de 230 de angajati pentru utilizarea sistemului informatic integrat implementat precum si a procedurilor si a proceselor interne.
</t>
  </si>
  <si>
    <t>Îmbunatatirea capacitatii autoritatii publice centrale în domeniul protectiei mediului marin în ceea ce priveste monitorizarea, evaluarea, planificarea, implementarea si raportarea cerintelor stabilite în Directiva Cadru Strategia Marina si pentru gospodarirea integrata a zonei costiere</t>
  </si>
  <si>
    <t>1. ADMINISTRATIA NATIONALA "APELE ROMANE"                                                                                     2. INSTITUTUL NAŢIONAL DE CERCETARE-DEZVOLTARE MARINĂ "GRIGORE ANTIPA"</t>
  </si>
  <si>
    <t>1. Asigurarea cadrului optim pentru repartizarea competentelor între administraþia publica centrala si administraþia publica locala si
exercitarea lor sustenabila si în mod special a actiunii.2. Cresterea coerentei, eficientei, predictibilitatii si transparentei procesului decizional în administraþia publica prin: Stabilirea cadrului institutional pentru îmbunatatirea implementarii politicilor si a punerii în aplicarea prioritatilor Guvernului; Dezvoltarea si monitorizarea periodica a mecanismului de coordonare a implementarii documentelor strategice;Îmbunatatirea procesului de evaluare a impactului reglementarilor, a procesului de consultare publica, concomitent cu sistematizarea si simplificarea legislatiei.
3. Solutii IT pentru eficientizarea administratiei publice prin identificarea si implementarea solutiilor ITC avizate de institutiile abilitate
potrivit legii, de natura sa îndeplineasca cerinþele operationale identificate. 4. Îmbunatatirea proceselor interne la nivelul instituþiilor publice prin cresterea calitatii proceselor de monitorizare si evaluare a politicilor publice guvernamentale. 5. Dezvoltarea de mecanisme de monitorizare si evaluare a serviciilor publice. 6. Proiectul implementeaza acþiuni din Strategia privind mai buna reglementare 2014-2020 legate în special de: Cresterea calitatii fluxului reglementarilor; Implementarea legislatiei europene;Dezvoltarea capacitatii administrative pentru implementarea politicilor privind mai buna reglementare</t>
  </si>
  <si>
    <t>Îmbunătăţirea sistemului de monitorizare a tranzacţiilor intracomunitare</t>
  </si>
  <si>
    <t>AGENTIA NATIONALA DE ADMINISTRARE FISCALA/Cabinet Secretar General</t>
  </si>
  <si>
    <t xml:space="preserve">Obiectivul general al proiectului îl reprezintă consolidarea capacității Agenției Naționale de Administrare Fiscală de optimizare a proceselor decizionale orientate către cetăţeni şi mediul de afaceri, prin dezvoltarea și introducerea unui sistem informatic de monitorizare a tranzacțiilor intracomunitare.
Obiective specifice:
Reducerea poverii administrative şi a birocraţiei pentru cetăţeni şi mediul de afaceri prin elaborarea unei proceduri îmbunătățite şi simplificate de monitorizare a tranzacţiilor intracomunitare de bunuri;
2. Consolidarea capacității administrative în domeniul controlului tranzacţiilor intracomunitare de bunuri şi eficientizarea analizei de risc prin implementarea sistemului informatic de monitorizare;
3. Creșterea capacității administrative de control a Agenţiei în domeniul antifraudei fiscale prin gestionarea uniformă şi controlul eficient al documentelor privind tranzacţiile intracomunitare de bunuri;
4. Eficientizarea activităţii de prevenire şi combatere a evaziunii fiscale în domeniul comerţului intracomunitar ca urmare a încărcării și gestionării electronice prin aplicaţia informatică a informațiilor primite de la operatorii economici;
5. Creșterea gradului de conștientizare a mediului de afaceri și a nivelului conformării voluntare prin derularea campaniei de informare şi promovare a procedurii simplificate şi a sistemului informatic aferent;
6. Îmbunătățirea cunoștințelor și abilităților angajaţilor de la nivelul ANAF prin instruirea acestora în vederea însușirii procedurii îmbunătățite de monitorizare a tranzacţiilor intracomunitare şi utilizării sistemului informatic dezvoltat în cadrul proiectului.
</t>
  </si>
  <si>
    <t>Cresterea coerentei cadrului normativ si a eficientei reglementarilor tehnice in domeniul constructiilor</t>
  </si>
  <si>
    <t>1.Optimizarea cadrului de reglementare în domeniul construcþiilor, cu accent pe reducerea sarcinilor administrative, cresterea
eficacitaþii organismelor responsabile si a coerenþei reglementarilor tehnice aplicabile construcþiilor si investiþiilor publice
2. Dezvoltarea unor instrumente metodologice, de informare si comunicare pentru asigurarea proiectarii de calitate în domeniul
arhitecturii si ingineriei si pentru asigurarea îndeplinirii angajamentelor asumate, inclusiv din perspectiva transpunerii si
implementarii în legislaþia naþionala a actelor comunitare în domeniul construcþiilor
3. Informarea si instruirea unui aparat administrativ eficient care sa se bazeze pe instrumente obiective, cuantificabile si usor de
monitorizat si actualizat pentru asigurarea un mediu construit sustenabil, inteligent si incluziv si sprijinirea dezvoltarii la nivel local
si pentru cresterea calitaþii serviciilor publice</t>
  </si>
  <si>
    <t>Crearea cadrului strategic si operational
pentru planificarea si reorganizarea la nivel
national si regional a serviciilor de sanatate</t>
  </si>
  <si>
    <t>1. Elaborarea Strategiei Naþionala de Sanatate 2021 – 2027
2. Dezvoltarea unei metodologii de elaborare a masterplanurilor regionale de servicii de sanatate;
3. Elaborarea celor cinci masterplanuri regionale de servicii de sanatate pentru regiunile: Centru, Sud-Est, Sud-Muntenia, Vest,
Bucuresti-Ilfov;
4. Crearea unui sistem de indicatori facil de colectat si cuantificat pentru monitorizarea si evaluarea implementarii MRSS;
5. Actualizarea Planurilor Regionale de Servicii Regionale de Sanatate;
6. Instruirea reprezentantilor Ministerul Sanataþii, ai Casei Nationale de Asigurari de Sanatate, ai INSP, SNSPMS, si ai
autoritaþilor/instituþiilor publice locale membre ale comitetelor de directoare regionale si judeþene, implicaþi în activitatea de
elaborare, avizare, aprobare a MRSS, precum si în activitaþile de monitorizare si evaluare a acestora.</t>
  </si>
  <si>
    <t>Cadrul strategic pentru dezvoltarea infrastructurii politicilor publice derulate de MRP</t>
  </si>
  <si>
    <t>DEPARTAMENTUL PENTRU ROMÂNII DE PRETUTINDENI</t>
  </si>
  <si>
    <t>Obiectivul general  al proiectului este dezvoltarea la nivelul MRP a unui set de instrumente de planificare strategică prin fundamentarea unei noi Strategii pentru românii de pretutindeni 2021-2024, in vederea identificării de soluții specifice, ca răspuns la problemele particulare existente în fiecare comunitate românească din afara granițelor. Realizarea acestui obiectiv va contribui la atingerea Obiectivului specific 1.1. Dezvoltarea și introducerea de sisteme și standarde comune în administrația publică ce optimizează procesele decizionale orientate către cetățeni și mediul de afaceri, în concordanță cu SCAP, din cadrul Axei prioritare 1. Administrație publică și sistem judiciar eficiente a POCA 2014-2020. 
Obiective specifice:
Optimizarea procesele decizionale orientate către cetățenii români din afara granițelor și mediul de afaceri,  se va realiza prin îndeplinirea următoarelor obiective specifice:
1. Fundamentarea strategiilor și politicilor elaborate în domeniile de competență ale MRP, cu accent pe buna guvernare;
2. Realizarea unui Plan de optimizare și prioritizare a intervențiilor finanțate de MRP;
3. Îmbunătățirea abilităților personalui MRP în vederea elaborării unui set de instrumente de planificare strategică pentru românii de pretutindeni.</t>
  </si>
  <si>
    <t>Îmbunătățirea cadrului de fundamentare și evaluare a politicilor publice de dezvoltare teritorială</t>
  </si>
  <si>
    <t xml:space="preserve">Îmbunătățirea capacității de fundamentare a deciziilor luate la nivelul MDRAP și punerea în aplicare a politicilor publice bazate pe dovezi.
Obiectivele specifice ale proiectului:
Elaborarea unei politici publice în domeniul programelor de investiții gestionate de MDRAP. 
Realizarea unei proceduri îmbunătățite de coordonare și cooperare interinstituțională pentru corelarea investițiilor de dezvoltare.
</t>
  </si>
  <si>
    <t>Întărirea capacității autorității publice centrale în domeniul apelor în scopul implementării etapelor a 2-a și a 3-a ale Ciclului II al Directivei Inundații - RO-FLOODS</t>
  </si>
  <si>
    <t>ADMINISTRATIA NATIONALA "APELE ROMANE"</t>
  </si>
  <si>
    <t>Obiectivul general al proiectului îl reprezintă fundamentarea și sprijinirea măsurilor de implementare ce vizează adaptarea structurilor, optimizarea proceselor și pregătirea resurselor umane necesare îndeplinirii obligațiilor asumate prin Legea Apelor nr. 107/1996 cu modificarile și completările ulterioare, a H.G. 846/2010 privind aprobarea Strategiei Naționale de Management al Riscului la inundații pe termen mediu și lung, precum și conformarea cu cerințele Directivei 2007/60/EC privind evaluarea și gestionarea riscului la inundații în scopul consolidării capacității autorităților și instituțiilor publice din domeniul gopodăririi apelor și al managementului riscului la inundații.
Obiective specifice:
1 Hărți de hazard și hărți de risc la inundații in vederea pregatirii de catre autoritatile responsabile a raportarii acestora catre CE, etapa a 2 a pentru ciclul II de implementare a Directivei Inundatii, necesare pentru imbunatatirea planurilor de amenajare a teritoriului la nivel național, județean și zonal, a planurilor de urbanism - P.U.G., P.U.Z., P.U.D. si planurilor bazinale, judetene si locale de apărare împotriva inundațiilor, ghețurilor și poluărilor accidentale.
2 Versiune preliminara a Planurilor de Management al Riscului la Inundatii la nivelul bazinelor hidrografice (11 PMRI+PMRI Fluviul Dunarea) actualizate in vederea pregatirii de catre autoritatile responsabile a raportarii acestora catre CE, etapa a 3- a pentru ciclul II de implementare al Directivei Inundatii, care sa includa combinatii de masuri struturale/nestructurale, masuri verzi si de punere in siguranta a infrastructurii bazate pe analize cost-beneficiu si prioritizate conform metodologiilor realizate in cadrul proiectului; identificarea activitatilor viitoare pentru ciclul III de implementare al Directivei Inundatii si dezvoltarea de idei de proiecte/versiuni preliminare de fise de proiect. 
3 Portal GIS funcțional
4 Hotărâre de Guvern pentru aprobarea Planurilor de Management al Riscului la Inundatii- ciclul II in urma parcurgerii procedurii pentru Evaluarea Strategica de Mediu.
5 Cunoștințe și abilități imbunatatite ale personalului din autoritatile publice centrale ale Ministerului Apelor si Padurilor, , Ministerul Afacerilor Interne, Ministerul Dezvoltarii Regionale si Administratiei Publice, Ministerul Agriculturii si Dezvoltarii Rurale, Ministerul Transporturilor, Ministerul Energiei, Ministerul Finantelor Publice, Ministerul Mediului si din institutiile din subordonare/coordonare Administratia Nationala Apele Romane, Institutul National de Hidrologie si Gospodarirea Apelor Agentiile de mediu, Inspectoratul General pentru Situatii de Urgenta, Agentia Nationala de Imbunatatiri Funciare, Compania Nationala de Administrare a Infrastructurii Rutiere, Directii Regionale de Drumuri si Poduri , Romsilva si alte institutii si organizatii cu responsabilitati, in domeniul managementului riscului la inundatii si a implementarii Directivei Inundatii 60/2007/CE.</t>
  </si>
  <si>
    <t>Eliminarea factorilor pentru inflația de cauze, identificarea elementelor normative și a tendințelor de aglomerare - EFICIENTA</t>
  </si>
  <si>
    <t>CONSILIUL SUPERIOR AL MAGISTRATURII</t>
  </si>
  <si>
    <t>Proiectul are ca principală contribuție la program îmbunătățirea accesului la justiție printr-un proces transparent și predictibil de reducere a cauzelor care conduc la aglomerarea instanțelor şi implicit durata lungă de soluţionare. Mecanismele create prin intermediul proiectului sunt de natură să asigure un sistem transparent de intervenție şi soluţionare a cauzelor repetitive. Buna funcționare a justiţiei presupune capacitatea de a evalua continuu gradul de eficiență a sistemului raportat la durata procedurilor, practica uniformă, corelarea factorilor de legiferare cu cei de aplicare prin decizii judiciare, eliminarea cauzelor de aplicare neunitară şi nepredictibilă a cadrului de reglementare ori a deficiențelor de elaborare a normelor care conduc la dificultăți de aplicare în sistemul judiciar. 
Obiective specifice:
1 Elaborarea mecanismelor (metodologii şi instrumente) de avertizare timpurie a situațiilor de cauze repetitive;
2 Crearea unei platforme de dialog interinstituțional pentru îmbunătățirea reglementărilor ca urmare a datelor reieșite din gestionarea cauzelor în sistemul judiciar;
3 Realizarea studiilor pentru identificarea modificărilor legislative şi elaborarea proiectelor concrete, privind procedurile judiciare în cauzele civile, comerciale, de familie si contencios administrativ necesare gestionării cauzelor repetitive care aglomerează şi îngreunează soluționarea cu eficiență a cauzelor pe rolul instanțelor;
4 Elaborarea instrumentelor de politică publică (proceduri, instrumente şi campanie de conștientizare) pentru stimularea soluționării alternative a disputelor.</t>
  </si>
  <si>
    <t>Dezvoltarea capacității instituționale a Ministerului Sanătății și Direcțiilor de sănătate publică județene, respectiv a municipiului București pentru simplificarea procedurilor de reglementare sanitară</t>
  </si>
  <si>
    <t xml:space="preserve">OS1. Implementarea unor măsuri de simplificare pentru cetățeni și de reducere a poverii administrative pentru mediul de afaceri (digitalizarea serviciilor de avizare și autorizare, arhivarea electronică, retrodigitalizarea arhivei), pentru furnizarea digitală a serviciilor menționate și a fluxurilor de lucru de bază din cadrul instituției, în scopul eficientizării proceselor, reducând astfel durata procedurilor aferente serviciilor de avizare și autorizare furnizate exclusiv de către MS/DSP.                                                                                                                                                     OS2. Îmbunătățirea abilitaților și cunoștințelor personalului MS/DSP în utilizarea instrumentelor aferente măsurilor implementate prin proiect. Se urmareste formarea/instruirea și certificarea a 200 de persoane din cadrul grupului țintă (familiarizarea cu soluțiile implementate, însușirea cunoștințelor necesare utilizării aplicațiilor informatice, deprinderea funcționalităților și a modului de folosire, înțelegerea implicațiilor și avantajelor pentru realizarea obiectivelor specifice aferente proiectului).
</t>
  </si>
  <si>
    <t>Consolidarea capacitatii institutionale a autoritatilor administratiei publice centrale cu atributii în domeniu, în vederea cresterii calitatii serviciului public de politie locala</t>
  </si>
  <si>
    <t>1. MINISTERUL ECONOMIEI, ENERGIEI ȘI MEDIULUI DE AFACERI (INSTITUTUL NAŢIONAL DE     ADMINISTRAŢIE)                      2. AGENTIA NATIONALA A FUNCTIONARILOR PUBLICI</t>
  </si>
  <si>
    <t>OS 1. Realizarea instrumentelor necesare autoritaþilor publice centrale si locale în scopul îmbunataþirii cadrului organizatoric si
funcþional specific structurilor de poliþie locala
OS 2. Crearea cadrului normativ specific asigurarii unui management eficient al carierei poliþistului local si modernizarea
sistemului de formare continua si de perfecþionare a pregatirii personalului din structurile de Poliþie Locala</t>
  </si>
  <si>
    <t>FIECARE OM CONTEAZĂ! Evaluarea nevoilor persoanelor fără adăpost și a impactului serviciilor sociale existente asupra calitătii vietii acestora</t>
  </si>
  <si>
    <t>Dezvoltarea capacitatii administrative a MMJS de a-si fundamenta politicile publice care vizeaza persoanele fara adapost bazate pe dovezi ce optimizeaza procesele decizionale orientate catre cetateni si mediul de afaceri, în concordanta cu SCAP.
Scopul proiectului este de a dezvolta si introduce sisteme si standarde comune în administratia publica (o politica publica, o metodologie,
analiza localizarii în strada, cartografierea situatiei, un raport de analiza cantitativa si calitativa), realizarea unei diagnoze a nevoilor sociale
a persoanelor fara adapost, cresterea calitatii serviciilor oferite cetatenilor, respectarea transparentei si eficientei în elaborarea actului
administrativ si cresterea performantei profesionale a functionarilor publici.
1. O.S.1. Cresterea eficientei si eficacitatii politicilor publice care vizeaza persoanele fara adapost prin dezvoltarea unei metodologii de identificare a persoanelor fara adapost, reprezentarea geo-spatiala acestora, diagnoza nevoilor acestora si elaborarea unei politici publice în acest sens
2. O.S.2. Imbunatatirea nivelului de cunoastere a fenomenului persoanelor fara adapost, print realizarea unui raport de analiza cantitativa si calitativa a datelor culese din teren, insotit de recomandari privind serviciile oferite persoanelor acestui grup vulnerabil.
3. O.S. 3. Cresterea performantelor profesionale ale functionarilor publici prin participarea la cursurile de instruire în domeniul politicilor publice si interventiilor care vizeaza persoanele fara adapost precum si a utilizarii instrumentelor create.
4. O.S.4. Elaborarea si fundamentarea propunerii de politica publica privind persoanele fara adapost consultand reprezentanti ai AAPL, ONG-uri si alti factori interesati.</t>
  </si>
  <si>
    <t xml:space="preserve"> Proiect cu acoperire natională</t>
  </si>
  <si>
    <t>119 - Investitii în capacitatea institutională și în eficienta administratiilor și a serviciilor publice la nivel national, regional și local, în perspectiva realizării de reforme, a unei mai bune legiferări și a bunei guvernante</t>
  </si>
  <si>
    <t>Consolidarea capacității Arhivelor Naționale
de furnizare a serviciilor publice (eVITALA)</t>
  </si>
  <si>
    <t>Arhivele Naționale</t>
  </si>
  <si>
    <t>Obiectivul general al proiectului este consolidarea capacității Arhivelor Naționale de furnizare a serviciilor publice, prin simplificare și modernizare normativă și de infrastructura.
Obiectivele specifice ale proiectului
1. Sistematizarea și simplificarea fondului activ al legislației prin elaborarea unor norme metodologice în aplicarea Legii Arhivelor, pentru transformarea digitală a evidenței arhivistice.
2. Simplificare procedurala și reducere a birocrației prin elaborarea unui regulament de acces la cercetare si a 2 proceduri subsecvente.
3. Reducerea poverii administrative pentru cetățeni și organizații prin accesibilizarea online a instrumentelor de evidență arhivistică, stabilirea de criterii pentru digitalizarea de acces si înlocuire, precum și pentru planificarea condițiilor de păstrare și conservare
arhivă în vederea accesului îmbunatățit la documente.
4. Dezvoltarea cunostințelor și abilităților personalului din Arhivele Naționale, prin organizarea de instruiri privind normativele întocmite și folosirea optimă a instrumentelor informatice pentru exploatarea conținutului informațional furnizat în proiect.
5. Sprijinirea dezvoltării la nivel local prin elaborarea și adoptarea unui Plan de acțiune pentru cresterea calității serviciilor de conservare, depozitare și acces la sediile ANR in scopul cresterii calității serviciilor publice oferite de structurile teritoriale (județene și din municipiul Bucrești) ale Arhivelor Naționale.</t>
  </si>
  <si>
    <t>Cresterea capacitatii administrative a ANC si MMJS prin sistematizare si simplificare legislativa in domeniul calificarilor</t>
  </si>
  <si>
    <t>AUTORITATEA NATIONALA PENTRU CALIFICARI A.N.C.</t>
  </si>
  <si>
    <t>MINISTERUL MUNCII SI JUSTITIEI SOCIALE/secretar general</t>
  </si>
  <si>
    <t>Obiectivul general al proiectului este de a dezvolta și implementa standarde pentru creșterea calității educației și formării profesionale în Romania prin eficientizarea fondului de reglementare pentru definirea calificărilor și prin armonizarea legislației care vizează sistemul național de calificări.
Obiectivele specifice ale proiectului:
1. OS1 – revizuirea reglementarilor privind sistemul national al calificarilor prin completarea fondului legislativ existent cu un numar de 5 propuneri de acte normative..
2.OS2 – dezvoltarea unui instrument standardizat de evaluare pentru calificari in vederea cresterii calitatii procesului de evaluare a competentelor profesionale.
3. OS3 – operationalizarea registrului national al calificarilor prin corelarea calificarilor cu COR si CNC prin elaborarea/revizuirea unui numar de 250 standarde ocupationale.
4. OS4 – dezvoltarea competentelor personalului ANC si MMJS, de la nivel central și din structuri subordonate, pentru transpunerea unitară a legislației din domeniul calificărilor si pentru comunicare transparentă și eficientă cu stakeholderii.</t>
  </si>
  <si>
    <t>Dezvoltarea, stimularea și eficientizarea muncii prin agent de muncă temporară și a serviciilor de formare profesională pentru o piață a muncii competitivă și performantă</t>
  </si>
  <si>
    <t>Obiectivul principal al proiectului il reprezinta de pe o parte impulsionarea muncii prin agent de munca temporara, þinând cont de principiul egalitații de tratament juridic care se ofera salariaþilor temporari în raport de cei angajați pe durata nedeterminata si asigurarea eficienței principiului de „flexi-securitate” prevazut de legislația europeana si internaționala.
Obiectivele specifice ale proiectului
1. Flexibilizarea relatiilor de munca si cresterea numarului de contracte de munca temporare în scopul dezvoltarii pieþei muncii si în conformitate cu reglementarile naþionale si ale Directivelor Europene /Conventiilor Organizatiei Internationale a Muncii in urma identificarii necesitatilor de modificarea a prevederilor legale în vigoare în raport cu modificarile survenite pe piata muncii din România;
2.  Cresterea satisfactiei beneficiarilor serviciilor oferite de infrastructura administrativa implicata în procedura de autorizare si conditiile de functionare a agentilor de munca temporara
3. Dezvoltarea si introducerea de sisteme comune inclusiv informatice, care sa faciliteze procedurile de autorizare a furnizorilor de formare profesionala a adulþilor, a accesului cetatenilor la aceste programe de formare autorizate.</t>
  </si>
  <si>
    <t>Îmbunătățirea procesului de reglementare în domeniul transplantului</t>
  </si>
  <si>
    <t>Obiectivul principal al proiectului il reprezinta Dezvoltarea si introducerea de sisteme si standarde comune în domeniul transplantului menite sa optimizeze procesele decizionale - reprezentate de reglementari (acte normative, proceduri, ghiduri, etc.)
Obiectivele specifice ale proiectului
1. Analiza si restructurarea tuturor actelor normative care guverneaza activitatea de transplant
2. Introducerea de standarde de cost aferente fiecarei activitaþi si proceduri din domeniul transplantului
3. Dezvoltarea si implementarea funcționalitaților Registrului Național de Transplant
4. Instruirea personalului autorizat în manipularea si gestionarea Registrului Național de Transplant</t>
  </si>
  <si>
    <t>Ajustarea legislației relevante privind combaterea dopajului în sport</t>
  </si>
  <si>
    <t>Agentia Nationala Anti-Doping</t>
  </si>
  <si>
    <t>OS1. Imbunatatirea cadrului metodologic privind combaterea dopajului în sport, cu accent pe măsuri de conștientizare și prevenire a dopajului în sport prin realizarea, testarea si adoptarea a 4 metodologii de lucru și a unui studiu.                                                                                                        OS2. Actualizarea si imbunatatirea cadrului legislativ pentru implementarea reglementărilor internaționale privind combaterea dopajului în sport, inclusiv a sistemului de monitorizare a dopajului și prevenirea și combaterea traficului ilicit de substanțe dopante cu grad mare de risc, definit și dezvoltat prin realizarea a 5 initiative legislative in consultare activa publica                                                                                                                        OS3. Îmbunătățirea procesului de management și digitalizarea fluxurilor de lucru din cadrul ANAD prin dezvoltarea și implementarea unei platforme informatice pentru servicii electronice care va asigura accesul online la serviciile publice de avizare/autorizare gestionate de ANAD și va furniza digital fluxurile de lucru asociate proceselor de avizare/autorizare din cadrul instituției                                                                                      OS4. Imbunatatirea comopetentelor personalului ANAD prin realizarea unei metodologii de formare a personalului si derularea a 4 programe de formare pentru 49 de angajati ai ANAD</t>
  </si>
  <si>
    <t>Modernizarea sistemului de evaluare a dizabilităţii din România</t>
  </si>
  <si>
    <t>AUTORITATEA NATIONALA PENTRU PERSOANELE CU DIZABILITATI</t>
  </si>
  <si>
    <t xml:space="preserve">Obiectivul general al proiectului/Scopul proiectului:
Realizarea si implementarea, printr-o abordare in acord cu prevederile Conventiei ONU pentru drepturile persoanelor cu dizabilitati, a unui set de criterii medico-psiho-sociale în vederea încadrării în grad de handicap a persoanelor cu dizabilitati, mecanism ce devine etapa de bază pentru intervenţii individualizate și dezvoltarea serviciilor necesare, precum și pentru utilizarea eficientă a resurselor financiare din cadrul sistemului de protecție.                                                                                                                                                                                                                                                                              OS1. Sistematizarea legislatiei si operationalizarea unui cadru institutional functional în sistemul de evaluare a dizabilității în România, bazat pe o abordare in acord cu obligatiile Romaniei ca stat parte la Conventia ONU pentru protectia drepturilor persoanelor cu dizabilitati                                                                                                                                                                                                                                                                                                                                           OS 2. Cresterea nivelului de expertiza si competenta atat pentru specialistii in cadrul administratiei publice centrale, cat si pentru specialistii din cadrul serviciilor locale de evaluare pentru incadrare in handicap a persoanelor cu dizabilitati. </t>
  </si>
  <si>
    <t>Sistem de monitorizare a fluxurilor de deșeuri menajere și similare în scopul îmbunătățirii mecanismelor de gestionare a instrumentului economic ”Plătește Pentru Cât Arunci</t>
  </si>
  <si>
    <t>Ministerul Mediului, Apelor și Pădurilor</t>
  </si>
  <si>
    <t>ACADEMIA DE STUDII ECONOMICE DIN BUCURESTI</t>
  </si>
  <si>
    <t>Obiectivul general al proiectului îl constituie realizarea unui sistem de monitorizare a fluxurilor de deseuri menajere si similare în scopul
îmbunataþirii mecanismelor de gestionare a instrumentului economic “Plateste Pentru Cât Arunci”, astfel încât sa poata creste gradul de
reciclare a deseurilor municipale.
Obiectivele specifice ale proiectului
1. Realizarea unui Plan de acþiune pentru digitalizarea si implementarea PPCA.
2. Realizarea unui Mecanism privind aplicarea instrumentului economic „Plateste pentru cât arunci” (PPCA).
3. Competenþe crescute pentru personalul Ministerului Mediului, autoritaþilor în subordine sau coordonare si personalului din cadrul
structurilor asociative ale autoritaþilor administraþiei publice locale pentru implementarea instrumentului economic PPCA</t>
  </si>
  <si>
    <t>Consolidarea capacitatii institutionale a Ministerului Mediului si a unitatilor din subordine pentru
imbunatatirea politicilor din domeniul biodiversitatii</t>
  </si>
  <si>
    <t>MINISTERUL MEDIULUI, APELOR SI PADURILOR</t>
  </si>
  <si>
    <t xml:space="preserve">1. UNIVERSITATEA DIN        BUCURESTI                                2.INSTITUTUL DE BIOLOGIE                                    3.  AGENTIA NATIONALA PENTRU PROTECTIA MEDIULUI         </t>
  </si>
  <si>
    <t>1.Dezvoltarea metodelor necesare optimizarii procesului decizional la nivelul Ministerului Mediului, al Agenþiei Naþionale pentru
Protecþia Mediului, Administraþiei Rezervaþiei Biosferei Delta Dunarii si al autoritaþilor publice locale subordonate în vederea
îmbunataþirii politicilor publice în domeniul biodiversitaþii, prin elaborarea ghidurilor necesare derularii unitare la nivel national a
procedurii de evaluare adecvata.
2. Dezvoltarea metodelor necesare optimizarii procesului decizional la nivelul Ministerului Mediului, al Agenþiei Naþionale pentru
Protecþia Mediului si al autoritaþilor publice locale subordonate, în vederea îmbunataþirii politicilor publice în domeniul
biodiversitaþii, prin implementarea în legislaþia naþionala a Protocolului de la Nagoya.</t>
  </si>
  <si>
    <t>Consolidarea capacitaþii instituþionale pentru îmbunataþirea politicilor din domeniul schimbarilor
climatice si adaptarea la efectele schimbarilor climatice</t>
  </si>
  <si>
    <t>1. AGENTIA NATIONALA PENTRU PROTECTIA MEDIULUI                                  2. GARDA NATIONALA DE MEDIU                                       3. UNIVERSITATEA DIN BUCURESTI                                 4. AGENŢIA NAŢIONALĂ PENTRU ARII NATURALE PROTEJATE</t>
  </si>
  <si>
    <t>1.Dezvoltarea de mecanisme de coordonare si monitorizarea politicilor si acþiunilor de adaptare la schimbarile climatice si
din domeniul calitaþii aerului prin intermediul unor servicii interconectate si proiectate astfel încât sa asigure o calitate buna a
mediului si protecþia cetaþenilor în contextul situaþiilor generate de riscurile climatice extreme (valuri de caldura/frig, seceta,
precipitaþii abundente generatoare de inundaþii, viscol, etc.) si poluare atmosferica.
2. Realizarea unei Platforme naþionale de adaptare la schimbarile climatice – RO-ADAPT, cu informaþii si date specializate
privind schimbarile climatice si efectele induse de acestea atât în domeniul protecþiei mediului (inclusiv calitatea aerului) si
biodiversitaþii, precum si in alte sectoare cheie vulnerabile (energie, transport, dezvoltare urbana, apa potabila si resurse de apa)
pentru o mai buna fundamentare a politicilor si strategiilor de dezvoltare si planificare pe termen mediu si lung, precum si pentru o
mai buna informare a cetaþenilor, la nivel naþional, asupra riscurilor generate de cresterea frecvenþei si intensitaþii riscurilor
climatice extreme.
3. Realizarea de servicii climatice specializate prin crearea unui Centru Naþional de Monitorizare Climatica (CNMC) cu rol
de suport pentru fundamentarea politicilor si strategiei naþionale de adaptare la efectele schimbarilor climatice.
4. Realizarea unor ghiduri, proceduri si metodologii pentru identificarea, cuantificarea si evaluarea serviciilor ecosistemice
în vederea adoptarii celor mai bune decizii privind conservarea si gestionarea mediului, si implicit un mijloc de reducere a
emisiilor de gaze cu efect de sera.</t>
  </si>
  <si>
    <t>Îmbunătățirea Calității și Performanței Serviciilor Spitalicești prin Evaluarea Costurilor și Standardizare (CaPeSSCoSt)</t>
  </si>
  <si>
    <t>1. ȘCOALA NAȚIONALĂ DE SĂNĂTATE PUBLICĂ, MANAGEMENT ȘI PERFECȚIONARE ÎN DOMENIUL SANITAR BUCUREȘTI                                2.AUTORITATEA NAŢIONALĂ DE MANAGEMENT AL CALITĂŢII ÎN SĂNĂTATE       CASA NATIONALA DE ASIGURARI DE SANATATE</t>
  </si>
  <si>
    <t>1. Sistematizarea procesului de colectare si prelucrare a datelor utilizate pentru calculul costurilor serviciilor spitalicesti în
România, prin elaborarea si implementarea instrumentelor unitare, necesare în analiza si evaluarea serviciilor de sanatate.
2. Elaborarea si adoptarea unor standarde de cost pentru primele 20 cele mai frecvente patologii - cazuri internate în
regim de spitalizare continua, ceea ce va permite consolidarea capacitaþii administrative de planificare strategica si financiara la
nivelul sistemului de sanatate.
3. Sistematizarea si simplificarea actelor normative incidente în domeniul calitaþii serviciilor de sanatate.</t>
  </si>
  <si>
    <t>Management performant la nivelul DGRIP, DGCTI, DSG și instituțiile prefectului</t>
  </si>
  <si>
    <t xml:space="preserve">Ministerul Afacerilor Interne </t>
  </si>
  <si>
    <t>Obiectivul general al proiectului este crearea si dezvoltarea unui cadru unitar pentru managementul calitații si performanței la nivelul DGRIP, DGCTI, DSG si la nivelul celor 42 Instituții ale Prefectului.
Obiectivele specifice ale proiectului:
1. Eficientizarea activitații organizaționale prin implementarea Instrumentului de auto-evaluare a modului de funcționare a instituțiilor administrației publice (CAF) in DGRIP, DGCTI si cele 42 Instituții ale Prefectului.
2. Cresterea performanței organizaționale prin implementarea sistemului integrat de management al performanței organizaționale compus din sistemul de management Balanced Scorecard (BSC) implementat la nivelul DGRIP, DGCTI si 42 Instituții ale Prefectului si din Document Management System (DMS) mplementat la nivel central (DGRIP, DGCTI, DSG) si Instituții ale
Prefectului invederea autoamatizarii fluxurilor de colaborare pe orizontala intre prefecturi si pe veriticala intre DGRIP si prefecturi.
3. Cresterea capacitații personalului de a implementa sisteme si instrumente unitare de management al calitații si performanței prin pregatirea specifica a personalului din cadrul MAI (DGRIP, DGCTI, DSG) si al celor 42 Instituții ale Prefectului.</t>
  </si>
  <si>
    <t>IP16/2019</t>
  </si>
  <si>
    <t>Dezvoltarea și implementarea unor mecanisme electronice integrate pentru desfășurarea și
monitorizarea achizițiilor centralizate</t>
  </si>
  <si>
    <t>Oficiul Național pentru Achiziții Centralizate</t>
  </si>
  <si>
    <t>1. MINISTERUL AFACERILOR INTERNE/MAI/DSU
2. CONSILIUL NATIONAL DE SOLUTIONARE A CONTESTATIILOR/Serviciul economic</t>
  </si>
  <si>
    <t xml:space="preserve">Întărirea capacității O.N.A.C. și a partenerilor prin utilizarea de instrumente inovatoare necesare operaționalizării și eficientizării procesului de achiziții centralizate și reducerii neregulilor, precum și prin clarificarea rolurilor și competențelor structurilor implicate în pregătirea și gestionarea achizițiilor publice, în contextul complexității procesului generat de elementele de noutate privind colectarea simultană/agregarea nevoilor, standardizarea specificațiilor tehnice a produselor/serviciilor achiziționate de O.N.A.C.
Obiectivele specifice:
1. Îmbunătățirea cooperării intra și interinstituțională dintre principalele instituții publice implicate în gestionarea sistemului de achiziții centralizate şi utilizatori 
2. Creșterea calității procesului de achiziții publice centralizate prin eficientizarea practicilor interne de lucru ale ONAC și operaționalizarea procedurilor de atribuire centralizată
3. Reducerea barierelor administrative în domeniul achizițiilor centralizate din sectorul serviciilor medicale de urgență prin extinderea mandatului ONAC și stabilirea rolurilor înte principalii actori implicați 
4. Accesibilizarea practicii judiciare a CNSC prin realizarea unei analize pentru identificarea principalelor probleme, reclamate prin contestații, în atribuirea produselor/ serviciilor care pot face obiectul achizițiilor centralizate în vederea reducerii neregulilor
5.  Dezvoltarea unor mecanisme electronice integrate pentru planificare și monitorizarea procedurilor de atribuire centralizate în vederea creșterii transparenței și randamentului sistemului pentru o utilizare mai eficientă a fondurilor publice.
6. Îmbunătățirea competențelor și cunoștințelor personalului ONAC și al partenerilor
</t>
  </si>
  <si>
    <t>AP1/11i /1.2</t>
  </si>
  <si>
    <t>Sistem INTEGRAT de Management în Sistemul de Asigurari Sociale de Sanatate</t>
  </si>
  <si>
    <t>CASA NAȚIONALĂ DE ASIGURARI DE SĂNĂTATE</t>
  </si>
  <si>
    <t>Obiectivul general al proiectului este a dezvolta un sistem integrat de management care sa permita elaborarea de rapoarte, analize, studii menite sa imbunatateasca si sa consolideze capacitatea decizionala a autoritaþii prin prelucrarea datelor specifice colectate de Platforma
informatica din asigurarile de sanatate (PIAS) care cuprinde: Sistemul informatic unic integrat (SIUI), Sistemul naþional al cardului de
asigurari sociale de sanatate (CEAS), Sistemul naþional de prescriere electronica (SIPE) si Sistemul dosarului electronic de sanatate al pacientului (DES), sisteme create la momente diferite, de echipe diferite, în maniere diferite, rezultând un amalgam care, desi functional si de neînlocuit din punct de vedere operational nu poate fi folosit pentru analiza integrata. Pentru ca datele sa fie integrate, ele trebuie sa fie
convertite, reformatate, renumerotate, sumarizate, etc. rezultand o unica imagine a activitatilor CNAS care vor conduce printre altele la consolidarea capacitatii institutionale si o planificare strategica eficienta, respectiv elaborarea de politici publice bazate pe dovezi Obiectivele specifice ale proiectului:
1. Fundamentarea riguroasa a deciziilor de management CNAS/CJAS bazate pe înþelegerea nevoilor, reducerea riscurilor, cresterea eficientei cheltuielilor publice ;
2. Generarea de rapoarte personalizate în vederea efectuarii analizelor, rapoartelor de diferite tipuri sau statisticilor necesare la nivel intern sau in solicitarile externe (Ministerul Sanataþii, Institutul Naþional de Statistica, Institutul Național de Sanatate Publica, etc.);
3. Cresterea gradului de pregatire profesionala a personalului de decizie si crearea unei structuri organizatorice optime.</t>
  </si>
  <si>
    <t>Întărirea capacității autorității publice centrale în domeniul managementului apelor în scopul implementării Strategiei Naționale de Management al Riscului la Inundații (SNMRI) pe termen mediu și lung</t>
  </si>
  <si>
    <t>1.Elaborarea unui document strategic care vizeaza modificarea/completarea/reactualizarea ,,Strategiei naþionale de management al
riscului la inundaþii pe termen mediu si lung,,, prin adaptarea legislativa la cerinþele instituþionale actuale si la unele metodologii
noi.
2. Revizuirea si reactualizarea Planului de acþiune pentru implementarea Strategiei Naþionale de Management al Riscului la Inundaþii
pe termen mediu si lung, prin luarea în considerare a masurilor si acþiunilor întreprinse în perioada 2010-2018.
3. Elaborarea Raportului de mediu aferent documentului strategic care vizeaza modificarea/completarea/reactualizarea ,,Strategiei
naþionale de management al riscului la inundaþii pe termen mediu si lung,, , în contextul noilor modificari legislative si
administrative
4. Elaborarea si promovarea unui proiect de act normativ (Hotarâre a Guvernului) pentru aprobarea noului document strategic
rezultat în urma modificarii/completarii/reactualizarii .
5. Identificarea si stabilirea concreta a responsabilitaþilor, masurilor si acþiunilor care trebuie întreprinse la nivelul fiecarei instituþii cu
responsabilitaþi în domeniu, în vederea implementarii ,,Strategiei naþionale de management al riscului la inundaþii pe termen
mediu si lung, pentru perioada 2020-2035.
6. Stabilirea, la nivelul Ministerului Apelor si Padurilor si al Administraþiei Naþionale ”Apele Române”, a unui cadru instituþional privind
monitorizarea si evaluarea implementarii politicilor si strategiilor prin proceduri si mecanisme din domeniul managementului
riscului la inundaþii, aplicabile tuturor instituþiilor de la nivel central si local, cu atribuþii în managementul riscului la inundaþii.
7. Dezvoltarea, la nivelul Ministerului Apelor si Padurilor si al Administraþiei Naþionale ”Apele Române”, a unui sistem/ mecanism de
monitorizare si raportare a implementarii masurilor si acþiunilor prevazute în Planul de acþiune pentru implementarea Strategiei
naþionale de management al riscului la inundaþii,pentru perioada 2019-2035.
8. Dezvoltarea bazei de date naþionale privind inundaþiile, prin marcarea zonei inundate si a obiectivelor afectate (dupa fiecare
inundaþie) ca instrument operativ necesar luarii deciziilor si dispunerii masurilor celor mai eficiente pentru minimizarea efectelor.
9. Dezvoltarea abilitaþilor si competenþelor personalului din cadrul Ministerului Apelor si Padurilor si al Administraþiei Naþionale
”Apele Române” în vederea coordonarii interinstituþionale si eficientizarea proceselor, masurilor, acþiunilor stabilite pentru
îmbunataþirea implementarii prevederilor Strategiei naþionale de management al riscului la inundaþii.</t>
  </si>
  <si>
    <t>Cresterea capacitatii institutionale pentru dezvoltarea nationala coordonata a ingrijirilor paleative si ingrijirilor la domiciliu (PAL PLAN)</t>
  </si>
  <si>
    <t>MINISTERUL SANATATII</t>
  </si>
  <si>
    <t>1. CASA NATIONALA DE ASIGURARI DE SANATATE    2. AUTORITATEA NAŢIONALĂ DE MANAGEMENT AL CALITĂŢII ÎN SĂNĂTATE  3.MINISTERUL MUNCII ȘI PROTECȚIEI SOCIALE          4. FUNDATIA HOSPICE CASA SPERANTEI</t>
  </si>
  <si>
    <t>Obiectiv general: Proiectul vizeaza crearea si introducere a unui mecanism unitar si fluent de planificare, dezvoltare, evaluare si monitorizare a unui sistem national de ingrijiri paliative (IP) si de ingrijiri generale la domiciliu (ID), in sensul ingrijirilor medicale si serviciilor de îngrijire personală (activităţi de bază ale vieţii zilnice si activităţi instrumentale ale vieţii zilnice), pentru asigurarea asistentei persoanelor suferind de boli cronice progresive sau incurabile, si a celor cu grad ridicat de dependenta.                                                                                            OS 1: Dezvoltarea capacității autorităților publice centrale de a elabora politici publice bazate pe dovezi in vederea cresterii accesului la servicii de calitate. 
OS 2:Dezvoltarea coordonata la nivel national si integrarea IP si ID in sistemul de sanatate                                                                                                                         OS 3: Armonizarea si simplificarea reglementarilor legislative privind ingrijirile paliative si ingrijirile la domiciliu pentru cresterea accesului la servicii de calitate</t>
  </si>
  <si>
    <t>Valoarea neeligibilă a proiectului</t>
  </si>
  <si>
    <t>Procent executie</t>
  </si>
  <si>
    <t>Diferenta de plata pana la finalizarea proiectului</t>
  </si>
  <si>
    <t>CP 13 less/2019</t>
  </si>
  <si>
    <t>Municipiul Blaj – Administratie publica
inteligenta si participativa</t>
  </si>
  <si>
    <t>Obiectivele specifice ale proiectului
OS1. Elaborarea documentelor strategice ce vor sta la baza obþinerii finanþarilor din politica de coeziune aferente perioadei 2021-
2027, inclusiv Strategia integrata de dezvoltare urbana (SIDU), si Planul de mobilitate urbana durabila (PMUD).OS 2. Infiintarea Centrului de Inovare si Imaginatie Civica (CIIC) si dezvoltarea mecanismelor în vederea optimizarii proceselor decizionale orientate catre cetateni si mediul de afaceri din Municipiul Blaj.OS3.Dezvoltarea si implementarea unui sistem electronic de digitalizare si simplificare a serviciilor publice oferite cetatenilor Municipiului Blaj, tinand cont de competentele partajate ale acestuia cu autoritatile administratiei publice centrale, prin implementarea sistemului informatic geospatial (GIS).OS4. Retro-digitalizarea documentelor din arhiva si crearea infrastructurii necesare arhivarii electronice a documentelor tradiþionale existente în arhiva instituþiei, care prezinta valoare operaþionala în prezent.OS 5. Formarea/instruirea functionarilor publici si contractuali, inclusiv a factorilor de decizie la nivel politic, în planificare strategica si utilizarea instrumentelor digitale.</t>
  </si>
  <si>
    <t>Optimizarea proceselor orientate către cetățeni în Municipiul Onești</t>
  </si>
  <si>
    <t>Obiectivul general al proiectului consta in consolidarea capacitații instituționale si eficientizarea activitații la nivelul Municipiului Onesti prin continuarea simplificarii procedurilor administrative si reducerea birocraþiei pentru cetațeni, implementând masuri din perspectiva backoffice (adaptarea procedurilor interne de lucru, digitalizarea arhivelor) si front-office pentru serviciile publice furnizate aferente
competenþelor partajate ale administraþiei publice locale.
Obiectivele specifice ale proiectului
1. OS1: Implementarea unor masuri de simplificare pentru cetațeni, in corespondenta cu Planul integrat pentru simplificarea
procedurilor administrative aplicabile cetaþenilor din perspectiva front-office, dar si back-office prin introducerea unor soluții
aplicative noi si integrarea cu cele existente, în scopul digitalizarii fluxurilor de lucru, pentru reducerea timpului de procesare a
cererilor cetațenilor si asigurarea accesului online la serviciile publice gestionate de Municipiul Onesti din domeniul urbanismului
si asistenței sociale.
2. OS2: Dezvoltarea cunostințelor si abilitaților personalului din cadrul Municipiului Onesti, in vederea sprijinirii masurilor vizate de
proiect. Este avuta in vedere formarea/instruirea, evaluarea/testarea si certificarea competentelor/cunostințelor dobândite pentru
50 persoane din cadrul grupului ținta, in ceea ce priveste utilizarea soluþiilor informatice implementate in cadrul proiectului</t>
  </si>
  <si>
    <t>119 - Investiții în capacitatea instituțională și în eficiența administrațiilor și a serviciilor publice la nivel național, regional și local, în perspectiva realizării de reforme, a unei mai bune legiferări și a bunei guvernanțe119 - Investiții în capacitatea instituțională și în eficiența administrațiilor și a serviciilor publice la nivel național, regional și local, în perspectiva realizării de reforme, a unei mai bune legiferări și a bunei guvernanțe</t>
  </si>
  <si>
    <t>Promovarea dezvoltarii urbane durabile prin
elaborarea documentelor de planificare
strategica pentru perioada 2021-2027 -
PLANIFIC</t>
  </si>
  <si>
    <t>Obiectivele specifice ale proiectului
1. Elaborarea Strategiei Integrate de Dezvoltare Urbana. Obiectivul specific este în corelare cu Activitatea 3, respectiv cu Rezultatul
de proiect 1.
2. Elaborarea Planului de Mobilitate Urbana Durabila. Obiectivul specific este în corelare cu Activitatea 4, respectiv cu Rezultatul de
proiect 2.
3. Extinderea cunostinþelor si abilitaþilor personalului din Municipiul Buzau în vederea cunoasterii condiþionalitaþilor specifice
perioadei de finanþare 2021-2027, precum si a procedurilor de prioritizare a proiectelor, de monitorizare a implementarii planurilor
de acþiune si de evaluare a rezultatelor acestora, pentru documentele strategice elaborate. Obiectivul specific este în corelare cu
Activitatea 5 si cu Rezultatul de proiect 3.</t>
  </si>
  <si>
    <t>Imbunatatirea calitatii serviciilor furnizate de primaria Municipiului Toplita prin introducerea si mentinerea sistemului de management al calitatii ISO9001:2015</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</si>
  <si>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</si>
  <si>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Toplița</t>
  </si>
  <si>
    <t>REZILIAT</t>
  </si>
  <si>
    <t>Planificare strategică în municipiul Deva pe termen mediu și lung și acces mai facil al cetățenilor la servicii publice gestionate partajat de către UAT municipiul Deva</t>
  </si>
  <si>
    <t>Obiectivul general al proiectului
Consolidarea capacitatii institutionale si eficientizarea activitatilor la nivelul Municipiului Deva prin utilizarea mecanismelor/ instrumentelor de planificare strategica pe termen mediu si lung in procesul de dezvoltare economico sociala a municipiului in perioada programatica 2021-2027 si ulterior si simplificarea procedurilor administrative si reducerea birocratiei pentru cetateni implementand masuri din perspectiva back-office cat si front-office pentru servicii partajate in responsabilitatea administratiei publice locale.
Obiectivele specifice ale proiectului
1. OS1 - Asigurarea unei mobilitati urbane durabile in municipiul Deva prin eleborarea unui Plan de mobilitate urbana durabila ca
instrument strategic de planificare a dezvoltarii in perioada programatica 2021-2027.
2. OS2 - Asigurarea unei dezvoltari durabile si coerente in municipiul Deva prin elaborarea unei Strategii integrate pentru dezvoltare
urbana (SIDU) ca instrument strategic de planificare a dezvoltarii in perioada programatica 2021-2027
3. OS3 - Implementarea unor proceduri simplificate in domeniul serviciilor partajate pentru reducerea birocratiei pentru cetateni, in
corespondenta cu Planul integrat pentru simplificarea procedurilor administrative aplicabile cetatenilor, atat din perspectiva backoffice
cat si front-office.</t>
  </si>
  <si>
    <t>Continuarea simplificarii procedurilor
administrative si reducerea birocraþiei
pentru cetaþeni prin digitalizarea serviciilor
publice</t>
  </si>
  <si>
    <t>Obiectivele specifice ale proiectului
1. OS1: Implementarea unor masuri de simplificare pentru cetaþeni, in corespondenta cu Planul integrat pentru simplificarea
procedurilor administrative aplicabile cetaþenilor din perspectiva front-office, dar si back-office prin introducerea unor soluþii
aplicative noi si integrarea cu cele existente, în scopul digitalizarii fluxurilor de lucru, pentru reducerea timpului de procesare a
cererilor cetaþenilor si asigurarea accesului online la serviciile publice gestionate de Municipiul Urziceni din domeniul
urbanismului, asistenþei sociale si siguranþei si ordinii publice
2. OS2: Dezvoltarea cunostinþelor si abilitaþilor personalului din cadrul Municipiului Urziceni, in vederea sprijinirii masurilor vizate de
proiect. Este avuta in vedere formarea/instruirea, evaluarea/testarea si certificarea competentelor/cunostinþelor dobândite pentru
30 persoane din cadrul grupului þinta, in ceea ce priveste utilizarea soluþiilor informatice implementate in cadrul proiectului</t>
  </si>
  <si>
    <t>Ialomita</t>
  </si>
  <si>
    <t>AA2/19.02.2020, I3</t>
  </si>
  <si>
    <t>Strategie inteligentă bazată pe integrare și urbanizare smart - SIBIU SMART</t>
  </si>
  <si>
    <t>Obiectivul general al proiectului consta în dezvoltarea urbana durabila a Municipiului Sibiu prin asigurarea unei planificari strategice
coerente si integrate.
Obiectivele specifice ale proiectului
1. Îmbunatațirea planificarii strategice si a mobilitații la nivelul municipiului Sibiu prin elaborarea Strategiei Integrate de Dezvoltare
Urbana si actualizarea Planului de Mobilitate Urbana Durabila. Obiectivul specific este în corelare cu Activitatile 3 si 4, respectiv
cu Rezultatul de proiect 1.
2. Extinderea cunostințelor si abilitaților personalului din Municipiul Sibiu în domeniul planificarii strategice, a procedurilor de
prioritizare a proiectelor si de monitorizare a implementarii planurilor de acþiune pentru documentele strategice elaborate.
Obiectivul specific este în corelare cu Activitatea 5 si cu Rezultatul de proiect 2.</t>
  </si>
  <si>
    <t>Planificarea si managementul mobilității urbane durabile prin elaborarea PMUD</t>
  </si>
  <si>
    <t>Obiectivul general al proiectului este reprezentat de dezvoltarea unui plan strategic coerent, conceput sa asigure o viziune sustenabila de
dezvoltare a mobilitaþii urbane durabile în Municipiul Focsani, prin elaborarea Planului de Mobilitate Urbana Durabila, astfel încât acestea
sa raspunda nevoilor si exigențelor de finanþare pentru perioada de programare a fondurilor europene 2021-2027.                                                               Obiectivele specifice ale proiectului
1. Elaborarea Planului de Mobilitate Urbana Durabila. Obiectivul specific este în corelare cu Activitatea 3, respectiv cu Rezultatul de
proiect 1.
2. Extinderea cunostințelor si abilitaților personalului din Municipiul Focsani în vederea cunoasterii condiționalitaților specifice pentru
perioada de finanþare 2021-2027, a arhitecturii programelor operaționale si a oportunitaților de finanțare, a procedurilor de
prioritizare a proiectelor, de monitorizare a implementarii PMUD si de evaluare a rezultatelor acestuia. Obiectivul specific este în
corelare cu Activitatea 4 si cu Rezultatul de proiect 2.</t>
  </si>
  <si>
    <t>Ordin 1352/24.03.2020</t>
  </si>
  <si>
    <t>AA3/04.09.2019; suspendat din 09.04.2020 pt 2 luni</t>
  </si>
  <si>
    <t>AA1/19.03.2020</t>
  </si>
  <si>
    <t>AA2/24.10.2019, I3</t>
  </si>
  <si>
    <t>Optimizarea procesului decizional si al planificării strategice și bugetare la nivelul Consiliului Județean Bihor</t>
  </si>
  <si>
    <t>Fundamentarea si implementarea unui management strategic performant în administraþia publica din judeþul Bihor.
Obiectivele specifice ale proiectului
1. OS 1. Susþinerea procesului decizional la nivelul administraþiei publice locale din judeþul Bihor, pentru a raspunde în mod
fundamentat si coerent nevoilor comunitaþilor locale, prin elaborarea si diseminarea Strategiei de dezvoltare durabila a judeþului
Bihor pe perioada 2021-2026, precum si a celor doua Ghiduri specifice, care au aplicabilitate pentru Consiliul Judeþean Bihor
pentru UAT-urile din judeþ si unitaþile subordonate consiliului judeþean.
2. OS 2. Optimizarea utilizarii resurselor software si hardware existente în vederea simplificarii pentru reducerea birocraþiei pentru
cetaþeni la nivel local.
3. OS 3. Îmbunataþirea corelarii componentei bugetare cu componenta strategica prin dezvoltarea abilitaþilor si capacitaþilor
angajaþilor si alesilor locali ai Consiliului Judeþean Bihor, prin participarea la 4 programe de formare.
4. OS 4. Cresterea coerenþei, eficienþei si transparenþei procesului decizional prin transfer de know-how în domeniul dezvoltarii si
cooperarii instituþionale si internaþionale, prin participarea angajaþilor cosiliului judeþean la vizite de studiu la instituþii naþionale si
internaþionale, si organizarea de 2 workshop-uri specifice.</t>
  </si>
  <si>
    <r>
      <rPr>
        <u/>
        <sz val="12"/>
        <rFont val="Calibri"/>
        <family val="2"/>
        <scheme val="minor"/>
      </rPr>
      <t>Obiectivul general al proiectului:</t>
    </r>
    <r>
      <rPr>
        <sz val="12"/>
        <rFont val="Calibri"/>
        <family val="2"/>
        <scheme val="minor"/>
      </rPr>
      <t xml:space="preserve">
Introducerea de sisteme si standarde comune în administraþia publica locala ce optimizeaza procesele orientate catre beneficiari în concordanþa cu SCAP:
• Implementarea de mecanisme si proceduri standard la nivel local pentru simplificare si raþionalizare a procedurilor
administrative
• Introducerea de instrumente electronice si procese de lucru simplificate pentru reducerea birocraþiei, corelate cu Planul integrat de simplificare a procedurilor administrative pentru cetaþeni implementate
Obiectivele specifice ale proiectului
1. Obiectiv specific de proiect 1: Digitizarea, simplificarea si optimizarea fluxurilor de lucru pentru procesele orientate catre cetaþeni în administraþia locala a Municipiului Fagaras.
2. Obiectiv specific de proiect 2: Îmbunataþirea cunostinþelor si abilitaþilor alesilor locali, precum si angajaþilor administraþiei locale în furnizarea si comunicarea unor servicii publice de calitate catre cetaþeni
3. Obiectiv specific de proiect 3: Îmbunataþirea cunostinþelor si abilitaþilor alesilor locali, precum si angajaþilor administraþiei locale în furnizarea si comunicarea unor servicii digitizate si online catre cetaþeni</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</si>
  <si>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</si>
  <si>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r>
      <t xml:space="preserve">Municipiului </t>
    </r>
    <r>
      <rPr>
        <sz val="12"/>
        <color theme="1"/>
        <rFont val="Calibri"/>
        <family val="2"/>
        <scheme val="minor"/>
      </rPr>
      <t>Galați</t>
    </r>
  </si>
  <si>
    <r>
      <t>As</t>
    </r>
    <r>
      <rPr>
        <sz val="12"/>
        <color theme="1"/>
        <rFont val="Calibri"/>
        <family val="2"/>
        <scheme val="minor"/>
      </rPr>
      <t>ociația "Institutul pentru Politici Publice"</t>
    </r>
  </si>
  <si>
    <r>
      <t>“Calitate, eficiență și performanță a managementului la nivelul UAT Municipiul Zalău (CEP UAT Zalău)</t>
    </r>
    <r>
      <rPr>
        <i/>
        <sz val="12"/>
        <color theme="1"/>
        <rFont val="Calibri"/>
        <family val="2"/>
        <scheme val="minor"/>
      </rPr>
      <t>”</t>
    </r>
  </si>
  <si>
    <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sz val="12"/>
        <rFont val="Calibri"/>
        <family val="2"/>
        <scheme val="minor"/>
      </rPr>
      <t xml:space="preserve">etica si integritatea, inclusiv prin abordarea temelor de devoltare durabila, egalitate de 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
</t>
    </r>
  </si>
  <si>
    <r>
      <t>FEDERA</t>
    </r>
    <r>
      <rPr>
        <sz val="12"/>
        <color theme="1"/>
        <rFont val="Calibri"/>
        <family val="2"/>
        <scheme val="minor"/>
      </rPr>
      <t>ŢIA NAŢIONALĂ A SINDICATELOR MUNCII ȘI PROTECŢIEI SOCIALE</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</si>
  <si>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sz val="12"/>
        <rFont val="Calibri"/>
        <family val="2"/>
        <scheme val="minor"/>
      </rPr>
      <t>Obiectivele specifice ale proiectului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</si>
  <si>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rPr>
        <sz val="12"/>
        <rFont val="Calibri"/>
        <family val="2"/>
        <scheme val="minor"/>
      </rPr>
      <t>Obiectiv general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</si>
  <si>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sz val="12"/>
        <rFont val="Calibri"/>
        <family val="2"/>
        <scheme val="minor"/>
      </rPr>
      <t>Obiectivul general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Obiectivele specifice ale proiectului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</si>
  <si>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rPr>
        <sz val="12"/>
        <rFont val="Calibri"/>
        <family val="2"/>
        <scheme val="minor"/>
      </rPr>
      <t>Obiectivul general consta in dezvoltarea capacitatii ONG-urilor de a dezvolta politici publice alternative, în vederea optimizarii proceselor decizionale ale administratieipublice, orientate catre cetateni si mediul de afaceri. Obiective specifice: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</si>
  <si>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rPr>
        <sz val="12"/>
        <rFont val="Calibri"/>
        <family val="2"/>
        <scheme val="minor"/>
      </rPr>
      <t>Obiectiv general: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Obiective specifice: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</si>
</sst>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00000"/>
    <numFmt numFmtId="165" formatCode="_-* #,##0.00\ _l_e_i_-;\-* #,##0.00\ _l_e_i_-;_-* &quot;-&quot;??\ _l_e_i_-;_-@_-"/>
    <numFmt numFmtId="166" formatCode="#,##0.00_ ;\-#,##0.00\ "/>
    <numFmt numFmtId="167" formatCode="#,##0.00;[Red]#,##0.00"/>
  </numFmts>
  <fonts count="14" x14ac:knownFonts="1">
    <font>
      <sz val="11"/>
      <color theme="1"/>
      <name val="Calibri"/>
      <family val="2"/>
      <scheme val="minor"/>
    </font>
    <font>
      <sz val="11"/>
      <color theme="1"/>
      <name val="Calibri"/>
      <family val="2"/>
      <scheme val="minor"/>
    </font>
    <font>
      <sz val="11"/>
      <color theme="1"/>
      <name val="Calibri"/>
      <family val="2"/>
      <charset val="238"/>
      <scheme val="minor"/>
    </font>
    <font>
      <b/>
      <sz val="12"/>
      <color theme="1"/>
      <name val="Calibri"/>
      <family val="2"/>
      <scheme val="minor"/>
    </font>
    <font>
      <sz val="12"/>
      <color theme="1"/>
      <name val="Calibri"/>
      <family val="2"/>
      <scheme val="minor"/>
    </font>
    <font>
      <sz val="12"/>
      <name val="Calibri"/>
      <family val="2"/>
      <scheme val="minor"/>
    </font>
    <font>
      <u/>
      <sz val="12"/>
      <name val="Calibri"/>
      <family val="2"/>
      <scheme val="minor"/>
    </font>
    <font>
      <i/>
      <sz val="12"/>
      <color theme="1"/>
      <name val="Calibri"/>
      <family val="2"/>
      <scheme val="minor"/>
    </font>
    <font>
      <sz val="12"/>
      <name val="Calibri"/>
      <family val="2"/>
      <charset val="238"/>
      <scheme val="minor"/>
    </font>
    <font>
      <sz val="12"/>
      <color theme="1"/>
      <name val="Calibri"/>
      <family val="2"/>
      <charset val="238"/>
      <scheme val="minor"/>
    </font>
    <font>
      <sz val="12"/>
      <name val="Trebuchet MS"/>
      <family val="2"/>
      <charset val="238"/>
    </font>
    <font>
      <sz val="12"/>
      <color theme="1"/>
      <name val="Trebuchet MS"/>
      <family val="2"/>
      <charset val="238"/>
    </font>
    <font>
      <sz val="12"/>
      <color rgb="FF000000"/>
      <name val="Calibri"/>
      <family val="2"/>
      <charset val="238"/>
      <scheme val="minor"/>
    </font>
    <font>
      <i/>
      <sz val="12"/>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double">
        <color rgb="FFFF800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0" borderId="0"/>
  </cellStyleXfs>
  <cellXfs count="177">
    <xf numFmtId="0" fontId="0" fillId="0" borderId="0" xfId="0"/>
    <xf numFmtId="0" fontId="3" fillId="0" borderId="0" xfId="0" applyFont="1" applyAlignment="1">
      <alignment vertical="center" wrapText="1"/>
    </xf>
    <xf numFmtId="166" fontId="8" fillId="0" borderId="1" xfId="1" applyNumberFormat="1" applyFont="1" applyFill="1" applyBorder="1" applyAlignment="1">
      <alignment horizontal="right" vertical="center" wrapText="1"/>
    </xf>
    <xf numFmtId="0" fontId="3" fillId="2" borderId="1" xfId="0" applyFont="1" applyFill="1" applyBorder="1" applyAlignment="1">
      <alignment horizontal="center" vertical="center" wrapText="1"/>
    </xf>
    <xf numFmtId="0" fontId="9" fillId="0" borderId="0" xfId="0" applyFont="1" applyAlignment="1">
      <alignment vertical="center" wrapText="1"/>
    </xf>
    <xf numFmtId="14" fontId="9" fillId="0" borderId="0" xfId="0" applyNumberFormat="1"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2" fontId="9" fillId="0" borderId="0" xfId="0" applyNumberFormat="1" applyFont="1" applyAlignment="1">
      <alignment horizontal="center" vertical="center"/>
    </xf>
    <xf numFmtId="43" fontId="9" fillId="0" borderId="0" xfId="1" applyFont="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9" fillId="0" borderId="1" xfId="0" applyFont="1" applyBorder="1" applyAlignment="1">
      <alignment vertical="center"/>
    </xf>
    <xf numFmtId="0" fontId="8" fillId="0" borderId="1" xfId="0" applyFont="1" applyBorder="1" applyAlignment="1">
      <alignment horizontal="left" vertical="center" wrapText="1"/>
    </xf>
    <xf numFmtId="0" fontId="8" fillId="0" borderId="1" xfId="0" applyFont="1" applyBorder="1" applyAlignment="1">
      <alignment horizontal="justify" vertical="top" wrapText="1"/>
    </xf>
    <xf numFmtId="14"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166" fontId="8" fillId="0" borderId="1" xfId="1" applyNumberFormat="1" applyFont="1" applyFill="1" applyBorder="1" applyAlignment="1">
      <alignment horizontal="right" vertical="center"/>
    </xf>
    <xf numFmtId="4" fontId="9" fillId="0" borderId="0" xfId="0" applyNumberFormat="1" applyFont="1" applyAlignment="1">
      <alignment horizontal="right" vertical="center"/>
    </xf>
    <xf numFmtId="4" fontId="8" fillId="0" borderId="1" xfId="1" applyNumberFormat="1" applyFont="1" applyFill="1" applyBorder="1" applyAlignment="1">
      <alignment horizontal="right" vertical="center"/>
    </xf>
    <xf numFmtId="3" fontId="8" fillId="0" borderId="1" xfId="0" applyNumberFormat="1" applyFont="1" applyBorder="1" applyAlignment="1">
      <alignment horizontal="right" vertical="center"/>
    </xf>
    <xf numFmtId="14" fontId="9" fillId="0" borderId="1" xfId="0" applyNumberFormat="1" applyFont="1" applyBorder="1" applyAlignment="1">
      <alignment horizontal="right" vertical="center"/>
    </xf>
    <xf numFmtId="4" fontId="8" fillId="0" borderId="1" xfId="0" applyNumberFormat="1" applyFont="1" applyBorder="1" applyAlignment="1">
      <alignment horizontal="right" vertical="center"/>
    </xf>
    <xf numFmtId="4" fontId="8" fillId="0" borderId="5" xfId="0" applyNumberFormat="1" applyFont="1" applyBorder="1" applyAlignment="1">
      <alignment horizontal="right" vertical="center"/>
    </xf>
    <xf numFmtId="43" fontId="9" fillId="0" borderId="1" xfId="1" applyFont="1" applyBorder="1" applyAlignment="1">
      <alignment vertical="center"/>
    </xf>
    <xf numFmtId="10" fontId="9" fillId="0" borderId="1" xfId="0" applyNumberFormat="1" applyFont="1" applyBorder="1" applyAlignment="1">
      <alignment vertical="center"/>
    </xf>
    <xf numFmtId="14"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4" fontId="8" fillId="0" borderId="1" xfId="1" applyNumberFormat="1" applyFont="1" applyFill="1" applyBorder="1" applyAlignment="1">
      <alignment horizontal="right" vertical="center" wrapText="1"/>
    </xf>
    <xf numFmtId="14" fontId="9" fillId="0" borderId="1" xfId="0" applyNumberFormat="1" applyFont="1" applyBorder="1" applyAlignment="1">
      <alignment horizontal="right" vertical="center" wrapText="1"/>
    </xf>
    <xf numFmtId="4" fontId="8" fillId="0" borderId="1" xfId="0" applyNumberFormat="1" applyFont="1" applyBorder="1" applyAlignment="1">
      <alignment horizontal="right" vertical="center" wrapText="1"/>
    </xf>
    <xf numFmtId="4" fontId="8" fillId="0" borderId="5" xfId="0" applyNumberFormat="1" applyFont="1" applyBorder="1" applyAlignment="1">
      <alignment horizontal="right" vertical="center" wrapText="1"/>
    </xf>
    <xf numFmtId="0" fontId="8" fillId="0" borderId="4" xfId="0" applyFont="1" applyBorder="1" applyAlignment="1">
      <alignment horizontal="center" vertical="center" wrapText="1"/>
    </xf>
    <xf numFmtId="2" fontId="8" fillId="0" borderId="1" xfId="0" applyNumberFormat="1" applyFont="1" applyBorder="1" applyAlignment="1">
      <alignment horizontal="right" vertical="center" wrapText="1"/>
    </xf>
    <xf numFmtId="3" fontId="8" fillId="0" borderId="1" xfId="0" applyNumberFormat="1" applyFont="1" applyBorder="1" applyAlignment="1">
      <alignment horizontal="right" vertical="center" wrapText="1"/>
    </xf>
    <xf numFmtId="0" fontId="8" fillId="0" borderId="4" xfId="0" applyFont="1" applyBorder="1" applyAlignment="1">
      <alignment horizontal="left" vertical="center" wrapText="1"/>
    </xf>
    <xf numFmtId="0" fontId="8" fillId="0" borderId="1" xfId="0" applyFont="1" applyBorder="1" applyAlignment="1">
      <alignment horizontal="right" vertical="center" wrapText="1"/>
    </xf>
    <xf numFmtId="166" fontId="8" fillId="0" borderId="1" xfId="0" applyNumberFormat="1" applyFont="1" applyBorder="1" applyAlignment="1">
      <alignment horizontal="right" vertical="center" wrapText="1"/>
    </xf>
    <xf numFmtId="0" fontId="8" fillId="0" borderId="1" xfId="0" applyFont="1" applyBorder="1" applyAlignment="1">
      <alignment horizontal="left" vertical="top"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14"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6" fontId="10" fillId="0" borderId="1" xfId="1" applyNumberFormat="1" applyFont="1" applyFill="1" applyBorder="1" applyAlignment="1">
      <alignment horizontal="right" vertical="center" wrapText="1"/>
    </xf>
    <xf numFmtId="4" fontId="10" fillId="0" borderId="1" xfId="1" applyNumberFormat="1" applyFont="1" applyFill="1" applyBorder="1" applyAlignment="1">
      <alignment horizontal="right" vertical="center" wrapText="1"/>
    </xf>
    <xf numFmtId="4" fontId="9" fillId="0" borderId="0" xfId="0" applyNumberFormat="1" applyFont="1" applyAlignment="1">
      <alignment horizontal="right" vertical="center" wrapText="1"/>
    </xf>
    <xf numFmtId="0" fontId="9" fillId="0" borderId="0" xfId="0" applyFont="1" applyAlignment="1">
      <alignment wrapText="1"/>
    </xf>
    <xf numFmtId="0" fontId="9" fillId="0" borderId="1" xfId="0" applyFont="1" applyBorder="1" applyAlignment="1">
      <alignment wrapText="1"/>
    </xf>
    <xf numFmtId="0" fontId="8" fillId="0" borderId="1" xfId="0" applyFont="1" applyBorder="1" applyAlignment="1">
      <alignment horizontal="justify" vertical="center" wrapText="1"/>
    </xf>
    <xf numFmtId="1" fontId="8" fillId="0" borderId="1" xfId="0" applyNumberFormat="1" applyFont="1" applyBorder="1" applyAlignment="1">
      <alignment horizontal="center" vertical="center" wrapText="1"/>
    </xf>
    <xf numFmtId="166" fontId="8" fillId="0" borderId="1" xfId="1" applyNumberFormat="1" applyFont="1" applyFill="1" applyBorder="1" applyAlignment="1">
      <alignment horizontal="center" vertical="center" wrapText="1"/>
    </xf>
    <xf numFmtId="4" fontId="12" fillId="0" borderId="0" xfId="0" applyNumberFormat="1" applyFont="1" applyAlignment="1">
      <alignment horizontal="center" vertical="center" wrapText="1"/>
    </xf>
    <xf numFmtId="166" fontId="8" fillId="0" borderId="6" xfId="1" applyNumberFormat="1" applyFont="1" applyFill="1" applyBorder="1" applyAlignment="1">
      <alignment horizontal="right" vertical="center" wrapText="1"/>
    </xf>
    <xf numFmtId="4" fontId="8" fillId="0" borderId="6" xfId="1" applyNumberFormat="1" applyFont="1" applyFill="1" applyBorder="1" applyAlignment="1">
      <alignment horizontal="right" vertical="center" wrapText="1"/>
    </xf>
    <xf numFmtId="0" fontId="9" fillId="0" borderId="1" xfId="0" applyFont="1" applyBorder="1" applyAlignment="1">
      <alignment vertical="top" wrapText="1"/>
    </xf>
    <xf numFmtId="0" fontId="9" fillId="0" borderId="1" xfId="0" applyFont="1" applyBorder="1" applyAlignment="1">
      <alignment horizontal="left" vertical="center" wrapText="1"/>
    </xf>
    <xf numFmtId="0" fontId="9" fillId="0" borderId="1" xfId="0" applyFont="1" applyBorder="1" applyAlignment="1">
      <alignment vertical="center" wrapText="1"/>
    </xf>
    <xf numFmtId="4" fontId="9" fillId="0" borderId="1" xfId="0" applyNumberFormat="1" applyFont="1" applyBorder="1" applyAlignment="1">
      <alignment horizontal="right" vertical="center" wrapText="1"/>
    </xf>
    <xf numFmtId="0" fontId="9" fillId="0" borderId="4" xfId="0" applyFont="1" applyBorder="1" applyAlignment="1">
      <alignment horizontal="left" vertical="center" wrapText="1"/>
    </xf>
    <xf numFmtId="4" fontId="8" fillId="0" borderId="7" xfId="1" applyNumberFormat="1" applyFont="1" applyFill="1" applyBorder="1" applyAlignment="1">
      <alignment horizontal="right" vertical="center" wrapText="1"/>
    </xf>
    <xf numFmtId="0" fontId="9" fillId="0" borderId="4" xfId="0" applyFont="1" applyBorder="1" applyAlignment="1">
      <alignment horizontal="center" vertical="center" wrapText="1"/>
    </xf>
    <xf numFmtId="4" fontId="9" fillId="0" borderId="1" xfId="1" applyNumberFormat="1" applyFont="1" applyFill="1" applyBorder="1" applyAlignment="1">
      <alignment horizontal="right" vertical="center" wrapText="1"/>
    </xf>
    <xf numFmtId="4" fontId="9" fillId="0" borderId="0" xfId="0" applyNumberFormat="1" applyFont="1" applyAlignment="1">
      <alignment vertical="center" wrapText="1"/>
    </xf>
    <xf numFmtId="14" fontId="8" fillId="0" borderId="1" xfId="0" applyNumberFormat="1" applyFont="1" applyBorder="1" applyAlignment="1">
      <alignment horizontal="right" vertical="center" wrapText="1"/>
    </xf>
    <xf numFmtId="0" fontId="8" fillId="0" borderId="1" xfId="0" applyFont="1" applyBorder="1" applyAlignment="1">
      <alignment vertical="top" wrapText="1"/>
    </xf>
    <xf numFmtId="14" fontId="8" fillId="0" borderId="3" xfId="0" applyNumberFormat="1" applyFont="1" applyBorder="1" applyAlignment="1">
      <alignment horizontal="center" vertical="center" wrapText="1"/>
    </xf>
    <xf numFmtId="165" fontId="8"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4" fontId="8" fillId="0" borderId="1" xfId="0" applyNumberFormat="1" applyFont="1" applyBorder="1"/>
    <xf numFmtId="4" fontId="8" fillId="0" borderId="1" xfId="0" applyNumberFormat="1" applyFont="1" applyBorder="1" applyAlignment="1">
      <alignment horizontal="center" vertical="center"/>
    </xf>
    <xf numFmtId="0" fontId="8" fillId="0" borderId="8" xfId="0" applyFont="1" applyBorder="1" applyAlignment="1">
      <alignment horizontal="left" vertical="center" wrapText="1"/>
    </xf>
    <xf numFmtId="0" fontId="9" fillId="0" borderId="9" xfId="0" applyFont="1" applyBorder="1" applyAlignment="1">
      <alignment vertical="top" wrapText="1"/>
    </xf>
    <xf numFmtId="0" fontId="8" fillId="0" borderId="10" xfId="0" applyFont="1" applyBorder="1" applyAlignment="1">
      <alignment horizontal="center" vertical="center" wrapText="1"/>
    </xf>
    <xf numFmtId="0" fontId="9" fillId="0" borderId="0" xfId="0" applyFont="1" applyAlignment="1">
      <alignment horizontal="center" vertical="center" wrapText="1"/>
    </xf>
    <xf numFmtId="4" fontId="8" fillId="0" borderId="1" xfId="0" applyNumberFormat="1" applyFont="1" applyBorder="1" applyAlignment="1">
      <alignment horizontal="left" vertical="center" wrapText="1"/>
    </xf>
    <xf numFmtId="0" fontId="9" fillId="0" borderId="10" xfId="0" applyFont="1" applyBorder="1" applyAlignment="1">
      <alignment horizontal="left" vertical="center" wrapText="1"/>
    </xf>
    <xf numFmtId="4" fontId="8" fillId="0" borderId="4" xfId="1" applyNumberFormat="1" applyFont="1" applyFill="1" applyBorder="1" applyAlignment="1">
      <alignment horizontal="right" vertical="center" wrapText="1"/>
    </xf>
    <xf numFmtId="166" fontId="8" fillId="0" borderId="5" xfId="1" applyNumberFormat="1" applyFont="1" applyFill="1" applyBorder="1" applyAlignment="1">
      <alignment horizontal="right"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165" fontId="8" fillId="0" borderId="1" xfId="0" applyNumberFormat="1" applyFont="1" applyBorder="1" applyAlignment="1">
      <alignment horizontal="right" vertical="center" wrapText="1"/>
    </xf>
    <xf numFmtId="3" fontId="8" fillId="0" borderId="4" xfId="0" applyNumberFormat="1" applyFont="1" applyBorder="1" applyAlignment="1">
      <alignment horizontal="center" vertical="center" wrapText="1"/>
    </xf>
    <xf numFmtId="3"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1" xfId="0" applyNumberFormat="1" applyFont="1" applyBorder="1" applyAlignment="1">
      <alignment horizontal="left" vertical="top" wrapText="1"/>
    </xf>
    <xf numFmtId="49" fontId="8" fillId="0" borderId="4" xfId="0" applyNumberFormat="1" applyFont="1" applyBorder="1" applyAlignment="1">
      <alignment horizontal="center" vertical="center" wrapText="1"/>
    </xf>
    <xf numFmtId="4" fontId="8" fillId="0" borderId="10" xfId="0" applyNumberFormat="1" applyFont="1" applyBorder="1" applyAlignment="1">
      <alignment horizontal="left" vertical="center" wrapText="1"/>
    </xf>
    <xf numFmtId="0" fontId="13" fillId="0" borderId="0" xfId="0" applyFont="1" applyAlignment="1">
      <alignment vertical="center" wrapText="1"/>
    </xf>
    <xf numFmtId="0" fontId="9" fillId="0" borderId="0" xfId="0" applyFont="1" applyAlignment="1">
      <alignment horizontal="left" vertical="center" wrapText="1"/>
    </xf>
    <xf numFmtId="3" fontId="8" fillId="0" borderId="1" xfId="1" applyNumberFormat="1" applyFont="1" applyFill="1" applyBorder="1" applyAlignment="1">
      <alignment horizontal="right" vertical="center" wrapText="1"/>
    </xf>
    <xf numFmtId="166" fontId="8" fillId="0" borderId="4" xfId="1" applyNumberFormat="1" applyFont="1" applyFill="1" applyBorder="1" applyAlignment="1">
      <alignment horizontal="right" vertical="center" wrapText="1"/>
    </xf>
    <xf numFmtId="166" fontId="8" fillId="0" borderId="9" xfId="1" applyNumberFormat="1" applyFont="1" applyFill="1" applyBorder="1" applyAlignment="1">
      <alignment horizontal="right" vertical="center" wrapText="1"/>
    </xf>
    <xf numFmtId="4" fontId="8" fillId="0" borderId="0" xfId="0" applyNumberFormat="1" applyFont="1" applyAlignment="1">
      <alignment horizontal="right" vertical="center" wrapText="1"/>
    </xf>
    <xf numFmtId="4" fontId="8" fillId="0" borderId="11" xfId="0" applyNumberFormat="1" applyFont="1" applyBorder="1" applyAlignment="1">
      <alignment horizontal="right" vertical="center" wrapText="1"/>
    </xf>
    <xf numFmtId="4" fontId="9" fillId="0" borderId="8" xfId="0" applyNumberFormat="1" applyFont="1" applyBorder="1" applyAlignment="1">
      <alignment horizontal="right" vertical="center" wrapText="1"/>
    </xf>
    <xf numFmtId="4" fontId="9" fillId="0" borderId="11" xfId="0" applyNumberFormat="1" applyFont="1" applyBorder="1" applyAlignment="1">
      <alignment horizontal="right" vertical="center" wrapText="1"/>
    </xf>
    <xf numFmtId="4" fontId="8" fillId="0" borderId="6" xfId="0" applyNumberFormat="1" applyFont="1" applyBorder="1" applyAlignment="1">
      <alignment horizontal="right" vertical="center" wrapText="1"/>
    </xf>
    <xf numFmtId="0" fontId="9" fillId="0" borderId="1" xfId="0" applyFont="1" applyBorder="1" applyAlignment="1">
      <alignment horizontal="right" vertical="center" wrapText="1"/>
    </xf>
    <xf numFmtId="0" fontId="9" fillId="0" borderId="0" xfId="0" applyFont="1" applyAlignment="1">
      <alignment horizontal="right" vertical="center" wrapText="1"/>
    </xf>
    <xf numFmtId="166" fontId="8" fillId="0" borderId="1" xfId="0" applyNumberFormat="1" applyFont="1" applyBorder="1" applyAlignment="1">
      <alignment vertical="center"/>
    </xf>
    <xf numFmtId="166" fontId="8" fillId="0" borderId="0" xfId="0" applyNumberFormat="1" applyFont="1" applyAlignment="1">
      <alignment vertical="center"/>
    </xf>
    <xf numFmtId="4" fontId="8" fillId="0" borderId="9" xfId="0" applyNumberFormat="1" applyFont="1" applyBorder="1" applyAlignment="1">
      <alignment horizontal="right" vertical="center" wrapText="1"/>
    </xf>
    <xf numFmtId="4" fontId="8" fillId="0" borderId="12" xfId="0" applyNumberFormat="1" applyFont="1" applyBorder="1" applyAlignment="1">
      <alignment horizontal="right" vertical="center" wrapText="1"/>
    </xf>
    <xf numFmtId="0" fontId="8" fillId="0" borderId="1" xfId="0" applyFont="1" applyBorder="1" applyAlignment="1">
      <alignment horizontal="justify" wrapText="1"/>
    </xf>
    <xf numFmtId="4" fontId="9" fillId="0" borderId="1" xfId="0" applyNumberFormat="1" applyFont="1" applyBorder="1" applyAlignment="1">
      <alignment vertical="center" wrapText="1"/>
    </xf>
    <xf numFmtId="0" fontId="8" fillId="0" borderId="1" xfId="0" applyFont="1" applyBorder="1" applyAlignment="1">
      <alignment horizontal="left" vertical="center" wrapText="1" indent="1"/>
    </xf>
    <xf numFmtId="166" fontId="8" fillId="0" borderId="7" xfId="0" applyNumberFormat="1" applyFont="1" applyBorder="1" applyAlignment="1">
      <alignment horizontal="right" vertical="center" wrapText="1"/>
    </xf>
    <xf numFmtId="4" fontId="8" fillId="0" borderId="9" xfId="1" applyNumberFormat="1" applyFont="1" applyFill="1" applyBorder="1" applyAlignment="1">
      <alignment horizontal="right" vertical="center" wrapText="1"/>
    </xf>
    <xf numFmtId="4" fontId="9" fillId="0" borderId="9" xfId="0" applyNumberFormat="1" applyFont="1" applyBorder="1" applyAlignment="1">
      <alignment horizontal="right" vertical="center" wrapText="1"/>
    </xf>
    <xf numFmtId="166" fontId="8" fillId="0" borderId="1" xfId="0" applyNumberFormat="1" applyFont="1" applyBorder="1"/>
    <xf numFmtId="166" fontId="9" fillId="0" borderId="1" xfId="0" applyNumberFormat="1" applyFont="1" applyBorder="1" applyAlignment="1">
      <alignment horizontal="right" vertical="center" wrapText="1"/>
    </xf>
    <xf numFmtId="166" fontId="9" fillId="0" borderId="1" xfId="0" applyNumberFormat="1" applyFont="1" applyBorder="1"/>
    <xf numFmtId="0" fontId="8" fillId="0" borderId="1" xfId="0" applyFont="1" applyBorder="1" applyAlignment="1">
      <alignment horizontal="left" vertical="justify" wrapText="1"/>
    </xf>
    <xf numFmtId="49" fontId="9" fillId="0" borderId="1" xfId="0" applyNumberFormat="1" applyFont="1" applyBorder="1" applyAlignment="1">
      <alignment horizontal="right" vertical="center" wrapText="1"/>
    </xf>
    <xf numFmtId="4" fontId="8" fillId="0" borderId="10" xfId="0" applyNumberFormat="1" applyFont="1" applyBorder="1" applyAlignment="1">
      <alignment horizontal="right" vertical="center" wrapText="1"/>
    </xf>
    <xf numFmtId="0" fontId="8" fillId="0" borderId="1" xfId="2" applyFont="1" applyBorder="1" applyAlignment="1">
      <alignment horizontal="center" vertical="center" wrapText="1"/>
    </xf>
    <xf numFmtId="4" fontId="8" fillId="0" borderId="13" xfId="0" applyNumberFormat="1" applyFont="1" applyBorder="1" applyAlignment="1">
      <alignment horizontal="right" vertical="center" wrapText="1"/>
    </xf>
    <xf numFmtId="0" fontId="9" fillId="0" borderId="0" xfId="0" applyFont="1" applyAlignment="1">
      <alignment horizontal="justify" vertical="center"/>
    </xf>
    <xf numFmtId="0" fontId="9" fillId="0" borderId="14" xfId="0" applyFont="1" applyBorder="1" applyAlignment="1">
      <alignment horizontal="center" vertical="center" wrapText="1"/>
    </xf>
    <xf numFmtId="0" fontId="9" fillId="0" borderId="1" xfId="0" applyFont="1" applyBorder="1" applyAlignment="1">
      <alignment horizontal="right"/>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8" fillId="0" borderId="9" xfId="0" applyFont="1" applyBorder="1" applyAlignment="1">
      <alignment horizontal="justify" vertical="top" wrapText="1"/>
    </xf>
    <xf numFmtId="167" fontId="8" fillId="0" borderId="1" xfId="1" applyNumberFormat="1" applyFont="1" applyFill="1" applyBorder="1" applyAlignment="1">
      <alignment horizontal="righ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4" fontId="8" fillId="0" borderId="0" xfId="0" applyNumberFormat="1" applyFont="1" applyAlignment="1">
      <alignment horizontal="right" vertical="center"/>
    </xf>
    <xf numFmtId="0" fontId="9" fillId="0" borderId="1" xfId="0" applyFont="1" applyBorder="1"/>
    <xf numFmtId="0" fontId="8" fillId="0" borderId="4" xfId="2" applyFont="1" applyBorder="1" applyAlignment="1">
      <alignment horizontal="center" vertical="center" wrapText="1"/>
    </xf>
    <xf numFmtId="0" fontId="9" fillId="0" borderId="1" xfId="2" applyFont="1" applyBorder="1" applyAlignment="1">
      <alignment vertical="center" wrapText="1"/>
    </xf>
    <xf numFmtId="0" fontId="8" fillId="0" borderId="1" xfId="2" applyFont="1" applyBorder="1" applyAlignment="1">
      <alignment horizontal="left" vertical="center" wrapText="1"/>
    </xf>
    <xf numFmtId="0" fontId="8" fillId="0" borderId="1" xfId="2" applyFont="1" applyBorder="1" applyAlignment="1">
      <alignment horizontal="justify" vertical="top" wrapText="1"/>
    </xf>
    <xf numFmtId="14" fontId="8" fillId="0" borderId="1" xfId="2" applyNumberFormat="1" applyFont="1" applyBorder="1" applyAlignment="1">
      <alignment horizontal="center" vertical="center" wrapText="1"/>
    </xf>
    <xf numFmtId="0" fontId="9" fillId="0" borderId="1" xfId="2" applyFont="1" applyBorder="1" applyAlignment="1">
      <alignment horizontal="center" vertical="center" wrapText="1"/>
    </xf>
    <xf numFmtId="14" fontId="9" fillId="0" borderId="1" xfId="0" applyNumberFormat="1" applyFont="1" applyBorder="1" applyAlignment="1">
      <alignment horizontal="left" vertical="center" wrapText="1"/>
    </xf>
    <xf numFmtId="4" fontId="8" fillId="0" borderId="17" xfId="0" applyNumberFormat="1" applyFont="1" applyBorder="1" applyAlignment="1">
      <alignment vertical="center" wrapText="1"/>
    </xf>
    <xf numFmtId="166" fontId="9" fillId="0" borderId="15" xfId="0" applyNumberFormat="1" applyFont="1" applyBorder="1" applyAlignment="1">
      <alignment vertical="center"/>
    </xf>
    <xf numFmtId="0" fontId="9" fillId="0" borderId="4" xfId="0" applyFont="1" applyBorder="1" applyAlignment="1">
      <alignment vertical="center" wrapText="1"/>
    </xf>
    <xf numFmtId="166"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8" fillId="0" borderId="4" xfId="0" applyFont="1" applyBorder="1" applyAlignment="1">
      <alignment vertical="center" wrapText="1"/>
    </xf>
    <xf numFmtId="166" fontId="8" fillId="0" borderId="2" xfId="1" applyNumberFormat="1" applyFont="1" applyFill="1" applyBorder="1" applyAlignment="1">
      <alignment horizontal="right" vertical="center" wrapText="1"/>
    </xf>
    <xf numFmtId="0" fontId="8" fillId="0" borderId="1" xfId="0" applyFont="1" applyBorder="1" applyAlignment="1">
      <alignment vertical="center" wrapText="1"/>
    </xf>
    <xf numFmtId="0" fontId="9" fillId="0" borderId="1" xfId="0" applyFont="1" applyBorder="1" applyAlignment="1">
      <alignment horizontal="left" vertical="top" wrapText="1"/>
    </xf>
    <xf numFmtId="0" fontId="8" fillId="0" borderId="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9" fillId="0" borderId="18" xfId="0" applyFont="1" applyBorder="1" applyAlignment="1">
      <alignment horizontal="center" vertical="center" wrapText="1"/>
    </xf>
    <xf numFmtId="0" fontId="8" fillId="0" borderId="6" xfId="0" applyFont="1" applyBorder="1" applyAlignment="1">
      <alignment horizontal="justify" vertical="top" wrapText="1"/>
    </xf>
    <xf numFmtId="14" fontId="8" fillId="0" borderId="6"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xf>
    <xf numFmtId="166" fontId="8" fillId="0" borderId="6" xfId="0" applyNumberFormat="1" applyFont="1" applyBorder="1" applyAlignment="1">
      <alignment horizontal="right" vertical="center" wrapText="1"/>
    </xf>
    <xf numFmtId="14" fontId="9" fillId="0" borderId="6" xfId="0" applyNumberFormat="1" applyFont="1" applyBorder="1" applyAlignment="1">
      <alignment horizontal="right" vertical="center" wrapText="1"/>
    </xf>
    <xf numFmtId="4" fontId="9" fillId="0" borderId="1" xfId="0" applyNumberFormat="1" applyFont="1" applyBorder="1" applyAlignment="1">
      <alignment horizontal="right" vertical="center"/>
    </xf>
    <xf numFmtId="4" fontId="9" fillId="0" borderId="5" xfId="0" applyNumberFormat="1" applyFont="1" applyBorder="1" applyAlignment="1">
      <alignment horizontal="right" vertical="center"/>
    </xf>
    <xf numFmtId="4" fontId="9" fillId="0" borderId="9" xfId="0" applyNumberFormat="1" applyFont="1" applyBorder="1" applyAlignment="1">
      <alignment vertical="center"/>
    </xf>
    <xf numFmtId="4" fontId="9" fillId="0" borderId="12" xfId="0" applyNumberFormat="1" applyFont="1" applyBorder="1" applyAlignment="1">
      <alignment vertical="center"/>
    </xf>
    <xf numFmtId="14" fontId="9" fillId="0" borderId="9" xfId="0" applyNumberFormat="1" applyFont="1" applyBorder="1" applyAlignment="1">
      <alignment horizontal="right" vertical="center" wrapText="1"/>
    </xf>
    <xf numFmtId="4" fontId="9" fillId="0" borderId="9" xfId="0" applyNumberFormat="1" applyFont="1" applyBorder="1" applyAlignment="1">
      <alignment horizontal="right" vertical="center"/>
    </xf>
    <xf numFmtId="4" fontId="9" fillId="0" borderId="12" xfId="0" applyNumberFormat="1" applyFont="1" applyBorder="1" applyAlignment="1">
      <alignment horizontal="right" vertical="center"/>
    </xf>
    <xf numFmtId="0" fontId="10" fillId="0" borderId="4" xfId="0" applyFont="1" applyBorder="1" applyAlignment="1">
      <alignment horizontal="left" vertical="center" wrapText="1"/>
    </xf>
    <xf numFmtId="0" fontId="8" fillId="0" borderId="4" xfId="0" applyFont="1" applyBorder="1" applyAlignment="1">
      <alignment horizontal="left" vertical="top" wrapText="1"/>
    </xf>
    <xf numFmtId="0" fontId="3" fillId="2" borderId="1" xfId="0" applyFont="1" applyFill="1" applyBorder="1" applyAlignment="1">
      <alignment horizontal="center" vertical="center" wrapText="1"/>
    </xf>
    <xf numFmtId="43" fontId="3" fillId="2" borderId="1" xfId="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cellXfs>
  <cellStyles count="3">
    <cellStyle name="Comma" xfId="1" builtinId="3"/>
    <cellStyle name="Normal" xfId="0" builtinId="0"/>
    <cellStyle name="Normal 2" xfId="2" xr:uid="{A39806AA-D5B4-4B4F-9414-E0EAB4224E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2A4B2-E17A-41E7-B6E4-4B92351B9109}">
  <sheetPr>
    <pageSetUpPr fitToPage="1"/>
  </sheetPr>
  <dimension ref="A1:XFB482"/>
  <sheetViews>
    <sheetView tabSelected="1" zoomScale="70" zoomScaleNormal="70" workbookViewId="0">
      <pane xSplit="1" topLeftCell="B1" activePane="topRight" state="frozen"/>
      <selection pane="topRight" sqref="A1:A3"/>
    </sheetView>
  </sheetViews>
  <sheetFormatPr defaultRowHeight="15.75" x14ac:dyDescent="0.25"/>
  <cols>
    <col min="1" max="3" width="9.140625" style="7"/>
    <col min="4" max="4" width="13.5703125" style="6" customWidth="1"/>
    <col min="5" max="5" width="35.5703125" style="6" bestFit="1" customWidth="1"/>
    <col min="6" max="8" width="60.7109375" style="4" customWidth="1"/>
    <col min="9" max="9" width="100.7109375" style="4" customWidth="1"/>
    <col min="10" max="11" width="15.7109375" style="5" customWidth="1"/>
    <col min="12" max="17" width="15.7109375" style="6" customWidth="1"/>
    <col min="18" max="18" width="21.5703125" style="7" customWidth="1"/>
    <col min="19" max="19" width="19.7109375" style="7" customWidth="1"/>
    <col min="20" max="20" width="19.42578125" style="7" customWidth="1"/>
    <col min="21" max="21" width="19.28515625" style="7" customWidth="1"/>
    <col min="22" max="22" width="18.28515625" style="7" customWidth="1"/>
    <col min="23" max="23" width="19.28515625" style="7" customWidth="1"/>
    <col min="24" max="24" width="17.42578125" style="7" customWidth="1"/>
    <col min="25" max="25" width="19.7109375" style="7" customWidth="1"/>
    <col min="26" max="26" width="19.28515625" style="7" customWidth="1"/>
    <col min="27" max="29" width="15.7109375" style="7" customWidth="1"/>
    <col min="30" max="30" width="24.85546875" style="8" customWidth="1"/>
    <col min="31" max="31" width="19.42578125" style="7" customWidth="1"/>
    <col min="32" max="32" width="19.85546875" style="7" customWidth="1"/>
    <col min="33" max="33" width="20.140625" style="7" customWidth="1"/>
    <col min="34" max="34" width="15.7109375" style="7" customWidth="1"/>
    <col min="35" max="35" width="19" style="9" customWidth="1"/>
    <col min="36" max="36" width="19.42578125" style="9" customWidth="1"/>
    <col min="37" max="37" width="21" style="7" customWidth="1"/>
    <col min="38" max="38" width="17.42578125" style="6" customWidth="1"/>
    <col min="39" max="16384" width="9.140625" style="6"/>
  </cols>
  <sheetData>
    <row r="1" spans="1:39 16382:16382" s="1" customFormat="1" ht="75" customHeight="1" x14ac:dyDescent="0.25">
      <c r="A1" s="173" t="s">
        <v>0</v>
      </c>
      <c r="B1" s="173" t="s">
        <v>1</v>
      </c>
      <c r="C1" s="173" t="s">
        <v>2</v>
      </c>
      <c r="D1" s="173" t="s">
        <v>3</v>
      </c>
      <c r="E1" s="173" t="s">
        <v>4</v>
      </c>
      <c r="F1" s="173" t="s">
        <v>5</v>
      </c>
      <c r="G1" s="173" t="s">
        <v>6</v>
      </c>
      <c r="H1" s="173" t="s">
        <v>7</v>
      </c>
      <c r="I1" s="173" t="s">
        <v>8</v>
      </c>
      <c r="J1" s="175" t="s">
        <v>9</v>
      </c>
      <c r="K1" s="175" t="s">
        <v>10</v>
      </c>
      <c r="L1" s="173" t="s">
        <v>11</v>
      </c>
      <c r="M1" s="173" t="s">
        <v>12</v>
      </c>
      <c r="N1" s="173" t="s">
        <v>13</v>
      </c>
      <c r="O1" s="173" t="s">
        <v>14</v>
      </c>
      <c r="P1" s="173" t="s">
        <v>15</v>
      </c>
      <c r="Q1" s="173" t="s">
        <v>16</v>
      </c>
      <c r="R1" s="173" t="s">
        <v>17</v>
      </c>
      <c r="S1" s="173"/>
      <c r="T1" s="173"/>
      <c r="U1" s="173"/>
      <c r="V1" s="173"/>
      <c r="W1" s="173"/>
      <c r="X1" s="173"/>
      <c r="Y1" s="173"/>
      <c r="Z1" s="173"/>
      <c r="AA1" s="173"/>
      <c r="AB1" s="173" t="s">
        <v>15</v>
      </c>
      <c r="AC1" s="173"/>
      <c r="AD1" s="176" t="s">
        <v>18</v>
      </c>
      <c r="AE1" s="173" t="s">
        <v>1823</v>
      </c>
      <c r="AF1" s="173" t="s">
        <v>19</v>
      </c>
      <c r="AG1" s="173" t="s">
        <v>20</v>
      </c>
      <c r="AH1" s="173" t="s">
        <v>21</v>
      </c>
      <c r="AI1" s="174" t="s">
        <v>22</v>
      </c>
      <c r="AJ1" s="174"/>
      <c r="AK1" s="173" t="s">
        <v>1825</v>
      </c>
      <c r="AL1" s="173"/>
      <c r="AM1" s="173" t="s">
        <v>1824</v>
      </c>
    </row>
    <row r="2" spans="1:39 16382:16382" s="1" customFormat="1" ht="30" customHeight="1" x14ac:dyDescent="0.25">
      <c r="A2" s="173"/>
      <c r="B2" s="173"/>
      <c r="C2" s="173"/>
      <c r="D2" s="173"/>
      <c r="E2" s="173"/>
      <c r="F2" s="173"/>
      <c r="G2" s="173"/>
      <c r="H2" s="173"/>
      <c r="I2" s="173"/>
      <c r="J2" s="175"/>
      <c r="K2" s="175"/>
      <c r="L2" s="173"/>
      <c r="M2" s="173"/>
      <c r="N2" s="173"/>
      <c r="O2" s="173"/>
      <c r="P2" s="173"/>
      <c r="Q2" s="173"/>
      <c r="R2" s="173" t="s">
        <v>23</v>
      </c>
      <c r="S2" s="173"/>
      <c r="T2" s="173"/>
      <c r="U2" s="173"/>
      <c r="V2" s="173"/>
      <c r="W2" s="173"/>
      <c r="X2" s="173" t="s">
        <v>24</v>
      </c>
      <c r="Y2" s="173" t="s">
        <v>28</v>
      </c>
      <c r="Z2" s="173" t="s">
        <v>29</v>
      </c>
      <c r="AA2" s="173" t="s">
        <v>25</v>
      </c>
      <c r="AB2" s="173" t="s">
        <v>28</v>
      </c>
      <c r="AC2" s="173" t="s">
        <v>29</v>
      </c>
      <c r="AD2" s="176"/>
      <c r="AE2" s="173"/>
      <c r="AF2" s="173"/>
      <c r="AG2" s="173"/>
      <c r="AH2" s="173"/>
      <c r="AI2" s="174" t="s">
        <v>26</v>
      </c>
      <c r="AJ2" s="174" t="s">
        <v>27</v>
      </c>
      <c r="AK2" s="174" t="s">
        <v>26</v>
      </c>
      <c r="AL2" s="174" t="s">
        <v>27</v>
      </c>
      <c r="AM2" s="173"/>
    </row>
    <row r="3" spans="1:39 16382:16382" s="1" customFormat="1" ht="31.5" x14ac:dyDescent="0.25">
      <c r="A3" s="173"/>
      <c r="B3" s="173"/>
      <c r="C3" s="173"/>
      <c r="D3" s="173"/>
      <c r="E3" s="173"/>
      <c r="F3" s="173"/>
      <c r="G3" s="173"/>
      <c r="H3" s="173"/>
      <c r="I3" s="173"/>
      <c r="J3" s="175"/>
      <c r="K3" s="175"/>
      <c r="L3" s="173"/>
      <c r="M3" s="173"/>
      <c r="N3" s="173"/>
      <c r="O3" s="173"/>
      <c r="P3" s="173"/>
      <c r="Q3" s="173"/>
      <c r="R3" s="3" t="s">
        <v>26</v>
      </c>
      <c r="S3" s="3" t="s">
        <v>28</v>
      </c>
      <c r="T3" s="3" t="s">
        <v>29</v>
      </c>
      <c r="U3" s="3" t="s">
        <v>30</v>
      </c>
      <c r="V3" s="3" t="s">
        <v>28</v>
      </c>
      <c r="W3" s="3" t="s">
        <v>29</v>
      </c>
      <c r="X3" s="173"/>
      <c r="Y3" s="173"/>
      <c r="Z3" s="173"/>
      <c r="AA3" s="173"/>
      <c r="AB3" s="173"/>
      <c r="AC3" s="173"/>
      <c r="AD3" s="176"/>
      <c r="AE3" s="173"/>
      <c r="AF3" s="173"/>
      <c r="AG3" s="173"/>
      <c r="AH3" s="173"/>
      <c r="AI3" s="174"/>
      <c r="AJ3" s="174"/>
      <c r="AK3" s="174"/>
      <c r="AL3" s="174"/>
      <c r="AM3" s="173"/>
    </row>
    <row r="4" spans="1:39 16382:16382" ht="46.5" customHeight="1" x14ac:dyDescent="0.25">
      <c r="A4" s="10">
        <v>1</v>
      </c>
      <c r="B4" s="11">
        <v>110755</v>
      </c>
      <c r="C4" s="12">
        <v>121</v>
      </c>
      <c r="D4" s="13" t="s">
        <v>31</v>
      </c>
      <c r="E4" s="14" t="s">
        <v>32</v>
      </c>
      <c r="F4" s="15" t="s">
        <v>33</v>
      </c>
      <c r="G4" s="13" t="s">
        <v>34</v>
      </c>
      <c r="H4" s="12" t="s">
        <v>35</v>
      </c>
      <c r="I4" s="16" t="s">
        <v>36</v>
      </c>
      <c r="J4" s="17">
        <v>43145</v>
      </c>
      <c r="K4" s="17">
        <v>43630</v>
      </c>
      <c r="L4" s="18">
        <f t="shared" ref="L4:L67" si="0">R4/AD4*100</f>
        <v>84.999999517641427</v>
      </c>
      <c r="M4" s="12">
        <v>7</v>
      </c>
      <c r="N4" s="12" t="s">
        <v>37</v>
      </c>
      <c r="O4" s="12" t="s">
        <v>38</v>
      </c>
      <c r="P4" s="19" t="s">
        <v>39</v>
      </c>
      <c r="Q4" s="20" t="s">
        <v>40</v>
      </c>
      <c r="R4" s="21">
        <f t="shared" ref="R4:R6" si="1">S4+T4</f>
        <v>352434.92</v>
      </c>
      <c r="S4" s="22">
        <v>352434.92</v>
      </c>
      <c r="T4" s="21">
        <v>0</v>
      </c>
      <c r="U4" s="23">
        <f t="shared" ref="U4:U67" si="2">V4+W4</f>
        <v>53844.59</v>
      </c>
      <c r="V4" s="22">
        <v>53844.59</v>
      </c>
      <c r="W4" s="23">
        <v>0</v>
      </c>
      <c r="X4" s="23">
        <f t="shared" ref="X4" si="3">Y4+Z4</f>
        <v>8349.81</v>
      </c>
      <c r="Y4" s="22">
        <v>8349.81</v>
      </c>
      <c r="Z4" s="23">
        <v>0</v>
      </c>
      <c r="AA4" s="21">
        <f>AB4+AC4</f>
        <v>0</v>
      </c>
      <c r="AB4" s="21">
        <v>0</v>
      </c>
      <c r="AC4" s="21">
        <v>0</v>
      </c>
      <c r="AD4" s="21">
        <f>R4+U4+X4+AA4</f>
        <v>414629.32</v>
      </c>
      <c r="AE4" s="21">
        <v>0</v>
      </c>
      <c r="AF4" s="21">
        <f t="shared" ref="AF4:AF41" si="4">AD4+AE4</f>
        <v>414629.32</v>
      </c>
      <c r="AG4" s="24" t="s">
        <v>41</v>
      </c>
      <c r="AH4" s="25" t="s">
        <v>35</v>
      </c>
      <c r="AI4" s="26">
        <v>327238.19</v>
      </c>
      <c r="AJ4" s="27">
        <v>49995.08</v>
      </c>
      <c r="AK4" s="28">
        <f>R4-AI4</f>
        <v>25196.729999999981</v>
      </c>
      <c r="AL4" s="28">
        <f>U4-AJ4</f>
        <v>3849.5099999999948</v>
      </c>
      <c r="AM4" s="29">
        <f>AI4/R4</f>
        <v>0.9285067155093486</v>
      </c>
      <c r="XFB4" s="6">
        <v>2262541.7185062333</v>
      </c>
    </row>
    <row r="5" spans="1:39 16382:16382" ht="53.25" customHeight="1" x14ac:dyDescent="0.25">
      <c r="A5" s="10">
        <v>2</v>
      </c>
      <c r="B5" s="20">
        <v>109854</v>
      </c>
      <c r="C5" s="20">
        <v>116</v>
      </c>
      <c r="D5" s="15" t="s">
        <v>31</v>
      </c>
      <c r="E5" s="14" t="s">
        <v>32</v>
      </c>
      <c r="F5" s="15" t="s">
        <v>42</v>
      </c>
      <c r="G5" s="15" t="s">
        <v>43</v>
      </c>
      <c r="H5" s="20" t="s">
        <v>43</v>
      </c>
      <c r="I5" s="16" t="s">
        <v>44</v>
      </c>
      <c r="J5" s="30">
        <v>43186</v>
      </c>
      <c r="K5" s="30">
        <v>43551</v>
      </c>
      <c r="L5" s="31">
        <f t="shared" si="0"/>
        <v>85.000000944809514</v>
      </c>
      <c r="M5" s="20">
        <v>7</v>
      </c>
      <c r="N5" s="20" t="s">
        <v>37</v>
      </c>
      <c r="O5" s="20" t="s">
        <v>45</v>
      </c>
      <c r="P5" s="32" t="s">
        <v>39</v>
      </c>
      <c r="Q5" s="20" t="s">
        <v>40</v>
      </c>
      <c r="R5" s="33">
        <f t="shared" si="1"/>
        <v>359860.9</v>
      </c>
      <c r="S5" s="2">
        <v>359860.9</v>
      </c>
      <c r="T5" s="2">
        <v>0</v>
      </c>
      <c r="U5" s="33">
        <f t="shared" si="2"/>
        <v>55037.54</v>
      </c>
      <c r="V5" s="2">
        <v>55037.54</v>
      </c>
      <c r="W5" s="2">
        <v>0</v>
      </c>
      <c r="X5" s="33">
        <f>Y5+Z5</f>
        <v>8467.32</v>
      </c>
      <c r="Y5" s="2">
        <v>8467.32</v>
      </c>
      <c r="Z5" s="2">
        <v>0</v>
      </c>
      <c r="AA5" s="2">
        <f t="shared" ref="AA5:AA11" si="5">AB5+AC5</f>
        <v>0</v>
      </c>
      <c r="AB5" s="2">
        <v>0</v>
      </c>
      <c r="AC5" s="2">
        <v>0</v>
      </c>
      <c r="AD5" s="2">
        <f>R5+U5+X5+AA5</f>
        <v>423365.76</v>
      </c>
      <c r="AE5" s="2">
        <v>0</v>
      </c>
      <c r="AF5" s="2">
        <f t="shared" si="4"/>
        <v>423365.76</v>
      </c>
      <c r="AG5" s="24" t="s">
        <v>41</v>
      </c>
      <c r="AH5" s="34" t="s">
        <v>46</v>
      </c>
      <c r="AI5" s="35">
        <v>267801.62000000005</v>
      </c>
      <c r="AJ5" s="36">
        <v>40957.890000000007</v>
      </c>
      <c r="AK5" s="28">
        <f t="shared" ref="AK5:AK68" si="6">R5-AI5</f>
        <v>92059.27999999997</v>
      </c>
      <c r="AL5" s="28">
        <f t="shared" ref="AL5:AL68" si="7">U5-AJ5</f>
        <v>14079.649999999994</v>
      </c>
      <c r="AM5" s="29">
        <f t="shared" ref="AM5:AM68" si="8">AI5/R5</f>
        <v>0.7441809321323879</v>
      </c>
    </row>
    <row r="6" spans="1:39 16382:16382" ht="60.75" customHeight="1" x14ac:dyDescent="0.25">
      <c r="A6" s="10">
        <v>3</v>
      </c>
      <c r="B6" s="37">
        <v>119560</v>
      </c>
      <c r="C6" s="20">
        <v>471</v>
      </c>
      <c r="D6" s="20" t="s">
        <v>47</v>
      </c>
      <c r="E6" s="14" t="s">
        <v>48</v>
      </c>
      <c r="F6" s="15" t="s">
        <v>49</v>
      </c>
      <c r="G6" s="20" t="s">
        <v>50</v>
      </c>
      <c r="H6" s="20" t="s">
        <v>51</v>
      </c>
      <c r="I6" s="15" t="s">
        <v>52</v>
      </c>
      <c r="J6" s="30">
        <v>43265</v>
      </c>
      <c r="K6" s="30">
        <v>43752</v>
      </c>
      <c r="L6" s="31">
        <f t="shared" si="0"/>
        <v>84.216178284166972</v>
      </c>
      <c r="M6" s="20">
        <v>7</v>
      </c>
      <c r="N6" s="20" t="s">
        <v>37</v>
      </c>
      <c r="O6" s="20" t="s">
        <v>53</v>
      </c>
      <c r="P6" s="32" t="s">
        <v>39</v>
      </c>
      <c r="Q6" s="20" t="s">
        <v>40</v>
      </c>
      <c r="R6" s="33">
        <f t="shared" si="1"/>
        <v>336316.07</v>
      </c>
      <c r="S6" s="2">
        <v>336316.07</v>
      </c>
      <c r="T6" s="2">
        <v>0</v>
      </c>
      <c r="U6" s="33">
        <f t="shared" si="2"/>
        <v>55045.45</v>
      </c>
      <c r="V6" s="2">
        <v>55045.45</v>
      </c>
      <c r="W6" s="2">
        <v>0</v>
      </c>
      <c r="X6" s="33">
        <f t="shared" ref="X6:X69" si="9">Y6+Z6</f>
        <v>7987.01</v>
      </c>
      <c r="Y6" s="2">
        <v>7987.01</v>
      </c>
      <c r="Z6" s="2">
        <v>0</v>
      </c>
      <c r="AA6" s="2">
        <f t="shared" si="5"/>
        <v>0</v>
      </c>
      <c r="AB6" s="2">
        <v>0</v>
      </c>
      <c r="AC6" s="2">
        <v>0</v>
      </c>
      <c r="AD6" s="2">
        <f t="shared" ref="AD6:AD36" si="10">R6+U6+X6+AA6</f>
        <v>399348.53</v>
      </c>
      <c r="AE6" s="2">
        <v>0</v>
      </c>
      <c r="AF6" s="2">
        <f t="shared" si="4"/>
        <v>399348.53</v>
      </c>
      <c r="AG6" s="24" t="s">
        <v>41</v>
      </c>
      <c r="AH6" s="34" t="s">
        <v>46</v>
      </c>
      <c r="AI6" s="35">
        <v>271156.57999999996</v>
      </c>
      <c r="AJ6" s="36">
        <v>44248.240000000005</v>
      </c>
      <c r="AK6" s="28">
        <f t="shared" si="6"/>
        <v>65159.490000000049</v>
      </c>
      <c r="AL6" s="28">
        <f t="shared" si="7"/>
        <v>10797.209999999992</v>
      </c>
      <c r="AM6" s="29">
        <f t="shared" si="8"/>
        <v>0.80625519916428601</v>
      </c>
    </row>
    <row r="7" spans="1:39 16382:16382" ht="84" customHeight="1" x14ac:dyDescent="0.25">
      <c r="A7" s="10">
        <v>4</v>
      </c>
      <c r="B7" s="37">
        <v>117934</v>
      </c>
      <c r="C7" s="20">
        <v>417</v>
      </c>
      <c r="D7" s="15" t="s">
        <v>54</v>
      </c>
      <c r="E7" s="14" t="s">
        <v>55</v>
      </c>
      <c r="F7" s="15" t="s">
        <v>56</v>
      </c>
      <c r="G7" s="20" t="s">
        <v>50</v>
      </c>
      <c r="H7" s="20" t="s">
        <v>35</v>
      </c>
      <c r="I7" s="15" t="s">
        <v>57</v>
      </c>
      <c r="J7" s="30">
        <v>43278</v>
      </c>
      <c r="K7" s="30">
        <v>43765</v>
      </c>
      <c r="L7" s="31">
        <f t="shared" si="0"/>
        <v>84.999998780098935</v>
      </c>
      <c r="M7" s="20">
        <v>7</v>
      </c>
      <c r="N7" s="20" t="s">
        <v>37</v>
      </c>
      <c r="O7" s="20" t="s">
        <v>53</v>
      </c>
      <c r="P7" s="32" t="s">
        <v>39</v>
      </c>
      <c r="Q7" s="20" t="s">
        <v>40</v>
      </c>
      <c r="R7" s="33">
        <f>S7+T7</f>
        <v>243872.23</v>
      </c>
      <c r="S7" s="2">
        <v>243872.23</v>
      </c>
      <c r="T7" s="2">
        <v>0</v>
      </c>
      <c r="U7" s="33">
        <f t="shared" si="2"/>
        <v>37298.080000000002</v>
      </c>
      <c r="V7" s="2">
        <v>37298.080000000002</v>
      </c>
      <c r="W7" s="2">
        <v>0</v>
      </c>
      <c r="X7" s="33">
        <f t="shared" si="9"/>
        <v>5738.2</v>
      </c>
      <c r="Y7" s="2">
        <v>5738.2</v>
      </c>
      <c r="Z7" s="2">
        <v>0</v>
      </c>
      <c r="AA7" s="2">
        <f t="shared" si="5"/>
        <v>0</v>
      </c>
      <c r="AB7" s="38">
        <v>0</v>
      </c>
      <c r="AC7" s="38">
        <v>0</v>
      </c>
      <c r="AD7" s="2">
        <f t="shared" si="10"/>
        <v>286908.51</v>
      </c>
      <c r="AE7" s="2">
        <v>0</v>
      </c>
      <c r="AF7" s="2">
        <f t="shared" si="4"/>
        <v>286908.51</v>
      </c>
      <c r="AG7" s="24" t="s">
        <v>41</v>
      </c>
      <c r="AH7" s="39"/>
      <c r="AI7" s="35">
        <v>223752.58</v>
      </c>
      <c r="AJ7" s="36">
        <v>34220.97</v>
      </c>
      <c r="AK7" s="28">
        <f t="shared" si="6"/>
        <v>20119.650000000023</v>
      </c>
      <c r="AL7" s="28">
        <f t="shared" si="7"/>
        <v>3077.1100000000006</v>
      </c>
      <c r="AM7" s="29">
        <f t="shared" si="8"/>
        <v>0.91749921670048273</v>
      </c>
    </row>
    <row r="8" spans="1:39 16382:16382" ht="73.5" customHeight="1" x14ac:dyDescent="0.25">
      <c r="A8" s="10">
        <v>5</v>
      </c>
      <c r="B8" s="37">
        <v>118740</v>
      </c>
      <c r="C8" s="20">
        <v>436</v>
      </c>
      <c r="D8" s="15" t="s">
        <v>54</v>
      </c>
      <c r="E8" s="14" t="s">
        <v>55</v>
      </c>
      <c r="F8" s="40" t="s">
        <v>58</v>
      </c>
      <c r="G8" s="20" t="s">
        <v>34</v>
      </c>
      <c r="H8" s="20" t="s">
        <v>35</v>
      </c>
      <c r="I8" s="15" t="s">
        <v>59</v>
      </c>
      <c r="J8" s="30">
        <v>43321</v>
      </c>
      <c r="K8" s="30">
        <v>43808</v>
      </c>
      <c r="L8" s="31">
        <f t="shared" si="0"/>
        <v>85.000000362805537</v>
      </c>
      <c r="M8" s="20">
        <v>7</v>
      </c>
      <c r="N8" s="20" t="s">
        <v>37</v>
      </c>
      <c r="O8" s="20" t="s">
        <v>38</v>
      </c>
      <c r="P8" s="32" t="s">
        <v>39</v>
      </c>
      <c r="Q8" s="20" t="s">
        <v>40</v>
      </c>
      <c r="R8" s="33">
        <f t="shared" ref="R8:R14" si="11">S8+T8</f>
        <v>234285.28</v>
      </c>
      <c r="S8" s="2">
        <v>234285.28</v>
      </c>
      <c r="T8" s="2">
        <v>0</v>
      </c>
      <c r="U8" s="33">
        <f t="shared" si="2"/>
        <v>35831.870000000003</v>
      </c>
      <c r="V8" s="2">
        <v>35831.870000000003</v>
      </c>
      <c r="W8" s="2"/>
      <c r="X8" s="33">
        <f t="shared" si="9"/>
        <v>5512.59</v>
      </c>
      <c r="Y8" s="2">
        <v>5512.59</v>
      </c>
      <c r="Z8" s="2">
        <v>0</v>
      </c>
      <c r="AA8" s="2">
        <f t="shared" si="5"/>
        <v>0</v>
      </c>
      <c r="AB8" s="41">
        <v>0</v>
      </c>
      <c r="AC8" s="41">
        <v>0</v>
      </c>
      <c r="AD8" s="2">
        <f t="shared" si="10"/>
        <v>275629.74000000005</v>
      </c>
      <c r="AE8" s="2"/>
      <c r="AF8" s="2">
        <f t="shared" si="4"/>
        <v>275629.74000000005</v>
      </c>
      <c r="AG8" s="24" t="s">
        <v>41</v>
      </c>
      <c r="AH8" s="39"/>
      <c r="AI8" s="35">
        <v>204891.55</v>
      </c>
      <c r="AJ8" s="36">
        <v>31336.359999999997</v>
      </c>
      <c r="AK8" s="28">
        <f t="shared" si="6"/>
        <v>29393.73000000001</v>
      </c>
      <c r="AL8" s="28">
        <f t="shared" si="7"/>
        <v>4495.5100000000057</v>
      </c>
      <c r="AM8" s="29">
        <f t="shared" si="8"/>
        <v>0.87453872475470928</v>
      </c>
    </row>
    <row r="9" spans="1:39 16382:16382" ht="87" customHeight="1" x14ac:dyDescent="0.25">
      <c r="A9" s="10">
        <v>6</v>
      </c>
      <c r="B9" s="37">
        <v>119862</v>
      </c>
      <c r="C9" s="20">
        <v>483</v>
      </c>
      <c r="D9" s="20" t="s">
        <v>47</v>
      </c>
      <c r="E9" s="14" t="s">
        <v>48</v>
      </c>
      <c r="F9" s="40" t="s">
        <v>60</v>
      </c>
      <c r="G9" s="20" t="s">
        <v>61</v>
      </c>
      <c r="H9" s="20" t="s">
        <v>35</v>
      </c>
      <c r="I9" s="15" t="s">
        <v>62</v>
      </c>
      <c r="J9" s="30">
        <v>43325</v>
      </c>
      <c r="K9" s="30">
        <v>43629</v>
      </c>
      <c r="L9" s="31">
        <f t="shared" si="0"/>
        <v>84.999998288155666</v>
      </c>
      <c r="M9" s="20">
        <v>7</v>
      </c>
      <c r="N9" s="20" t="s">
        <v>63</v>
      </c>
      <c r="O9" s="20" t="s">
        <v>64</v>
      </c>
      <c r="P9" s="32" t="s">
        <v>39</v>
      </c>
      <c r="Q9" s="20" t="s">
        <v>40</v>
      </c>
      <c r="R9" s="33">
        <f t="shared" si="11"/>
        <v>223443.21</v>
      </c>
      <c r="S9" s="2">
        <v>223443.21</v>
      </c>
      <c r="T9" s="2">
        <v>0</v>
      </c>
      <c r="U9" s="33">
        <f t="shared" si="2"/>
        <v>34173.67</v>
      </c>
      <c r="V9" s="2">
        <v>34173.67</v>
      </c>
      <c r="W9" s="2">
        <v>0</v>
      </c>
      <c r="X9" s="33">
        <f t="shared" si="9"/>
        <v>5257.4900000000007</v>
      </c>
      <c r="Y9" s="2">
        <v>5257.4900000000007</v>
      </c>
      <c r="Z9" s="2">
        <v>0</v>
      </c>
      <c r="AA9" s="2">
        <f t="shared" si="5"/>
        <v>0</v>
      </c>
      <c r="AB9" s="42">
        <v>0</v>
      </c>
      <c r="AC9" s="42">
        <v>0</v>
      </c>
      <c r="AD9" s="2">
        <f t="shared" si="10"/>
        <v>262874.37</v>
      </c>
      <c r="AE9" s="2"/>
      <c r="AF9" s="2">
        <f t="shared" si="4"/>
        <v>262874.37</v>
      </c>
      <c r="AG9" s="24" t="s">
        <v>41</v>
      </c>
      <c r="AH9" s="39"/>
      <c r="AI9" s="35">
        <v>197238.88999999998</v>
      </c>
      <c r="AJ9" s="36">
        <v>30165.95</v>
      </c>
      <c r="AK9" s="28">
        <f t="shared" si="6"/>
        <v>26204.320000000007</v>
      </c>
      <c r="AL9" s="28">
        <f t="shared" si="7"/>
        <v>4007.7199999999975</v>
      </c>
      <c r="AM9" s="29">
        <f t="shared" si="8"/>
        <v>0.88272492146885995</v>
      </c>
    </row>
    <row r="10" spans="1:39 16382:16382" ht="76.5" customHeight="1" x14ac:dyDescent="0.25">
      <c r="A10" s="10">
        <v>7</v>
      </c>
      <c r="B10" s="37">
        <v>126492</v>
      </c>
      <c r="C10" s="20">
        <v>568</v>
      </c>
      <c r="D10" s="20" t="s">
        <v>47</v>
      </c>
      <c r="E10" s="14" t="s">
        <v>65</v>
      </c>
      <c r="F10" s="40" t="s">
        <v>66</v>
      </c>
      <c r="G10" s="20" t="s">
        <v>67</v>
      </c>
      <c r="H10" s="20" t="s">
        <v>35</v>
      </c>
      <c r="I10" s="15" t="s">
        <v>68</v>
      </c>
      <c r="J10" s="30">
        <v>43462</v>
      </c>
      <c r="K10" s="30">
        <v>44132</v>
      </c>
      <c r="L10" s="31">
        <f t="shared" si="0"/>
        <v>85.000000278232704</v>
      </c>
      <c r="M10" s="20">
        <v>7</v>
      </c>
      <c r="N10" s="20" t="s">
        <v>63</v>
      </c>
      <c r="O10" s="20" t="s">
        <v>45</v>
      </c>
      <c r="P10" s="32" t="s">
        <v>39</v>
      </c>
      <c r="Q10" s="20" t="s">
        <v>40</v>
      </c>
      <c r="R10" s="33">
        <f t="shared" si="11"/>
        <v>1221998.73</v>
      </c>
      <c r="S10" s="2">
        <v>1221998.73</v>
      </c>
      <c r="T10" s="2">
        <v>0</v>
      </c>
      <c r="U10" s="33">
        <f t="shared" si="2"/>
        <v>186893.92</v>
      </c>
      <c r="V10" s="2">
        <v>186893.92</v>
      </c>
      <c r="W10" s="2">
        <v>0</v>
      </c>
      <c r="X10" s="33">
        <f t="shared" si="9"/>
        <v>28752.91</v>
      </c>
      <c r="Y10" s="2">
        <v>28752.91</v>
      </c>
      <c r="Z10" s="2">
        <v>0</v>
      </c>
      <c r="AA10" s="2">
        <f t="shared" si="5"/>
        <v>0</v>
      </c>
      <c r="AB10" s="42">
        <v>0</v>
      </c>
      <c r="AC10" s="42">
        <v>0</v>
      </c>
      <c r="AD10" s="2">
        <f t="shared" si="10"/>
        <v>1437645.5599999998</v>
      </c>
      <c r="AE10" s="2"/>
      <c r="AF10" s="2">
        <f t="shared" si="4"/>
        <v>1437645.5599999998</v>
      </c>
      <c r="AG10" s="39" t="s">
        <v>69</v>
      </c>
      <c r="AH10" s="39"/>
      <c r="AI10" s="35">
        <v>596988.87</v>
      </c>
      <c r="AJ10" s="36">
        <v>91304.180000000008</v>
      </c>
      <c r="AK10" s="28">
        <f t="shared" si="6"/>
        <v>625009.86</v>
      </c>
      <c r="AL10" s="28">
        <f t="shared" si="7"/>
        <v>95589.74</v>
      </c>
      <c r="AM10" s="29">
        <f t="shared" si="8"/>
        <v>0.48853477122680805</v>
      </c>
    </row>
    <row r="11" spans="1:39 16382:16382" ht="88.5" customHeight="1" x14ac:dyDescent="0.25">
      <c r="A11" s="10">
        <v>8</v>
      </c>
      <c r="B11" s="37">
        <v>126520</v>
      </c>
      <c r="C11" s="20">
        <v>550</v>
      </c>
      <c r="D11" s="20" t="s">
        <v>47</v>
      </c>
      <c r="E11" s="14" t="s">
        <v>65</v>
      </c>
      <c r="F11" s="40" t="s">
        <v>70</v>
      </c>
      <c r="G11" s="20" t="s">
        <v>61</v>
      </c>
      <c r="H11" s="20" t="s">
        <v>35</v>
      </c>
      <c r="I11" s="43" t="s">
        <v>71</v>
      </c>
      <c r="J11" s="30">
        <v>43504</v>
      </c>
      <c r="K11" s="30">
        <v>44294</v>
      </c>
      <c r="L11" s="31">
        <f t="shared" si="0"/>
        <v>84.999999104679475</v>
      </c>
      <c r="M11" s="20">
        <v>7</v>
      </c>
      <c r="N11" s="20" t="s">
        <v>63</v>
      </c>
      <c r="O11" s="20" t="s">
        <v>45</v>
      </c>
      <c r="P11" s="32" t="s">
        <v>39</v>
      </c>
      <c r="Q11" s="20" t="s">
        <v>40</v>
      </c>
      <c r="R11" s="33">
        <f t="shared" si="11"/>
        <v>2231044.54</v>
      </c>
      <c r="S11" s="2">
        <v>2231044.54</v>
      </c>
      <c r="T11" s="2">
        <v>0</v>
      </c>
      <c r="U11" s="33">
        <f t="shared" si="2"/>
        <v>341218.6</v>
      </c>
      <c r="V11" s="2">
        <v>341218.6</v>
      </c>
      <c r="W11" s="2">
        <v>0</v>
      </c>
      <c r="X11" s="33">
        <f t="shared" si="9"/>
        <v>52495.17</v>
      </c>
      <c r="Y11" s="2">
        <v>52495.17</v>
      </c>
      <c r="Z11" s="2">
        <v>0</v>
      </c>
      <c r="AA11" s="2">
        <f t="shared" si="5"/>
        <v>0</v>
      </c>
      <c r="AB11" s="42">
        <v>0</v>
      </c>
      <c r="AC11" s="42">
        <v>0</v>
      </c>
      <c r="AD11" s="2">
        <f t="shared" si="10"/>
        <v>2624758.31</v>
      </c>
      <c r="AE11" s="2"/>
      <c r="AF11" s="2">
        <f t="shared" si="4"/>
        <v>2624758.31</v>
      </c>
      <c r="AG11" s="39" t="s">
        <v>69</v>
      </c>
      <c r="AH11" s="39" t="s">
        <v>72</v>
      </c>
      <c r="AI11" s="35">
        <v>1036154.8300000001</v>
      </c>
      <c r="AJ11" s="36">
        <v>158470.74</v>
      </c>
      <c r="AK11" s="28">
        <f t="shared" si="6"/>
        <v>1194889.71</v>
      </c>
      <c r="AL11" s="28">
        <f t="shared" si="7"/>
        <v>182747.86</v>
      </c>
      <c r="AM11" s="29">
        <f t="shared" si="8"/>
        <v>0.46442588277507002</v>
      </c>
    </row>
    <row r="12" spans="1:39 16382:16382" ht="75" customHeight="1" x14ac:dyDescent="0.25">
      <c r="A12" s="10">
        <v>9</v>
      </c>
      <c r="B12" s="37">
        <v>126539</v>
      </c>
      <c r="C12" s="20">
        <v>574</v>
      </c>
      <c r="D12" s="20" t="s">
        <v>31</v>
      </c>
      <c r="E12" s="14" t="s">
        <v>65</v>
      </c>
      <c r="F12" s="40" t="s">
        <v>73</v>
      </c>
      <c r="G12" s="20" t="s">
        <v>34</v>
      </c>
      <c r="H12" s="20" t="s">
        <v>35</v>
      </c>
      <c r="I12" s="43" t="s">
        <v>74</v>
      </c>
      <c r="J12" s="30">
        <v>43552</v>
      </c>
      <c r="K12" s="30">
        <v>44467</v>
      </c>
      <c r="L12" s="31">
        <f t="shared" si="0"/>
        <v>85.000000056453686</v>
      </c>
      <c r="M12" s="20">
        <v>7</v>
      </c>
      <c r="N12" s="20" t="s">
        <v>37</v>
      </c>
      <c r="O12" s="20" t="s">
        <v>38</v>
      </c>
      <c r="P12" s="32" t="s">
        <v>39</v>
      </c>
      <c r="Q12" s="20" t="s">
        <v>40</v>
      </c>
      <c r="R12" s="33">
        <f t="shared" si="11"/>
        <v>3011318.02</v>
      </c>
      <c r="S12" s="2">
        <v>3011318.02</v>
      </c>
      <c r="T12" s="2">
        <v>0</v>
      </c>
      <c r="U12" s="33">
        <f t="shared" si="2"/>
        <v>460554.52</v>
      </c>
      <c r="V12" s="2">
        <v>460554.52</v>
      </c>
      <c r="W12" s="2">
        <v>0</v>
      </c>
      <c r="X12" s="33">
        <f t="shared" si="9"/>
        <v>70854.539999999994</v>
      </c>
      <c r="Y12" s="2">
        <v>70854.539999999994</v>
      </c>
      <c r="Z12" s="2">
        <v>0</v>
      </c>
      <c r="AA12" s="2">
        <f>AB12+AC12</f>
        <v>0</v>
      </c>
      <c r="AB12" s="42">
        <v>0</v>
      </c>
      <c r="AC12" s="42">
        <v>0</v>
      </c>
      <c r="AD12" s="2">
        <f t="shared" si="10"/>
        <v>3542727.08</v>
      </c>
      <c r="AE12" s="2">
        <v>65688</v>
      </c>
      <c r="AF12" s="2">
        <f t="shared" si="4"/>
        <v>3608415.08</v>
      </c>
      <c r="AG12" s="39" t="s">
        <v>69</v>
      </c>
      <c r="AH12" s="39" t="s">
        <v>35</v>
      </c>
      <c r="AI12" s="35">
        <v>254185.09</v>
      </c>
      <c r="AJ12" s="36">
        <v>38875.360000000001</v>
      </c>
      <c r="AK12" s="28">
        <f t="shared" si="6"/>
        <v>2757132.93</v>
      </c>
      <c r="AL12" s="28">
        <f t="shared" si="7"/>
        <v>421679.16000000003</v>
      </c>
      <c r="AM12" s="29">
        <f t="shared" si="8"/>
        <v>8.4409912308099563E-2</v>
      </c>
    </row>
    <row r="13" spans="1:39 16382:16382" ht="69.75" customHeight="1" x14ac:dyDescent="0.25">
      <c r="A13" s="10">
        <v>10</v>
      </c>
      <c r="B13" s="37">
        <v>126063</v>
      </c>
      <c r="C13" s="20">
        <v>512</v>
      </c>
      <c r="D13" s="20" t="s">
        <v>31</v>
      </c>
      <c r="E13" s="14" t="s">
        <v>65</v>
      </c>
      <c r="F13" s="40" t="s">
        <v>75</v>
      </c>
      <c r="G13" s="20" t="s">
        <v>50</v>
      </c>
      <c r="H13" s="20" t="s">
        <v>76</v>
      </c>
      <c r="I13" s="43" t="s">
        <v>77</v>
      </c>
      <c r="J13" s="30">
        <v>43552</v>
      </c>
      <c r="K13" s="30">
        <v>44467</v>
      </c>
      <c r="L13" s="31">
        <f t="shared" si="0"/>
        <v>84.408145121705388</v>
      </c>
      <c r="M13" s="20">
        <v>7</v>
      </c>
      <c r="N13" s="20" t="s">
        <v>37</v>
      </c>
      <c r="O13" s="20" t="s">
        <v>53</v>
      </c>
      <c r="P13" s="32" t="s">
        <v>39</v>
      </c>
      <c r="Q13" s="20" t="s">
        <v>40</v>
      </c>
      <c r="R13" s="33">
        <f t="shared" si="11"/>
        <v>2846403.24</v>
      </c>
      <c r="S13" s="2">
        <v>2846403.24</v>
      </c>
      <c r="T13" s="2">
        <v>0</v>
      </c>
      <c r="U13" s="33">
        <f t="shared" si="2"/>
        <v>458343.2</v>
      </c>
      <c r="V13" s="2">
        <v>458343.2</v>
      </c>
      <c r="W13" s="2">
        <v>0</v>
      </c>
      <c r="X13" s="33">
        <f t="shared" si="9"/>
        <v>43963.23</v>
      </c>
      <c r="Y13" s="2">
        <v>43963.23</v>
      </c>
      <c r="Z13" s="2">
        <v>0</v>
      </c>
      <c r="AA13" s="2">
        <f t="shared" ref="AA13:AA14" si="12">AB13+AC13</f>
        <v>23480.58</v>
      </c>
      <c r="AB13" s="42">
        <v>23480.58</v>
      </c>
      <c r="AC13" s="42">
        <v>0</v>
      </c>
      <c r="AD13" s="2">
        <f t="shared" si="10"/>
        <v>3372190.2500000005</v>
      </c>
      <c r="AE13" s="2">
        <v>0</v>
      </c>
      <c r="AF13" s="2">
        <f t="shared" si="4"/>
        <v>3372190.2500000005</v>
      </c>
      <c r="AG13" s="39" t="s">
        <v>69</v>
      </c>
      <c r="AH13" s="39" t="s">
        <v>78</v>
      </c>
      <c r="AI13" s="35">
        <v>687890.6399999999</v>
      </c>
      <c r="AJ13" s="36">
        <v>76038.169999999984</v>
      </c>
      <c r="AK13" s="28">
        <f t="shared" si="6"/>
        <v>2158512.6000000006</v>
      </c>
      <c r="AL13" s="28">
        <f t="shared" si="7"/>
        <v>382305.03</v>
      </c>
      <c r="AM13" s="29">
        <f t="shared" si="8"/>
        <v>0.24167012963349488</v>
      </c>
    </row>
    <row r="14" spans="1:39 16382:16382" ht="118.5" customHeight="1" x14ac:dyDescent="0.25">
      <c r="A14" s="10">
        <v>11</v>
      </c>
      <c r="B14" s="37">
        <v>128599</v>
      </c>
      <c r="C14" s="20">
        <v>637</v>
      </c>
      <c r="D14" s="15" t="s">
        <v>31</v>
      </c>
      <c r="E14" s="14" t="s">
        <v>79</v>
      </c>
      <c r="F14" s="40" t="s">
        <v>80</v>
      </c>
      <c r="G14" s="20" t="s">
        <v>67</v>
      </c>
      <c r="H14" s="20" t="s">
        <v>35</v>
      </c>
      <c r="I14" s="43" t="s">
        <v>81</v>
      </c>
      <c r="J14" s="30">
        <v>43634</v>
      </c>
      <c r="K14" s="30">
        <v>44365</v>
      </c>
      <c r="L14" s="31">
        <f t="shared" si="0"/>
        <v>85</v>
      </c>
      <c r="M14" s="20">
        <v>7</v>
      </c>
      <c r="N14" s="20" t="s">
        <v>63</v>
      </c>
      <c r="O14" s="20" t="s">
        <v>45</v>
      </c>
      <c r="P14" s="32" t="s">
        <v>39</v>
      </c>
      <c r="Q14" s="20" t="s">
        <v>40</v>
      </c>
      <c r="R14" s="33">
        <f t="shared" si="11"/>
        <v>848667.88</v>
      </c>
      <c r="S14" s="2">
        <v>848667.88</v>
      </c>
      <c r="T14" s="2">
        <v>0</v>
      </c>
      <c r="U14" s="33">
        <f t="shared" si="2"/>
        <v>129796.26</v>
      </c>
      <c r="V14" s="2">
        <v>129796.26</v>
      </c>
      <c r="W14" s="2">
        <v>0</v>
      </c>
      <c r="X14" s="33">
        <f t="shared" si="9"/>
        <v>19968.66</v>
      </c>
      <c r="Y14" s="2">
        <v>19968.66</v>
      </c>
      <c r="Z14" s="2">
        <v>0</v>
      </c>
      <c r="AA14" s="2">
        <f t="shared" si="12"/>
        <v>0</v>
      </c>
      <c r="AB14" s="42">
        <v>0</v>
      </c>
      <c r="AC14" s="42">
        <v>0</v>
      </c>
      <c r="AD14" s="2">
        <f t="shared" si="10"/>
        <v>998432.8</v>
      </c>
      <c r="AE14" s="2">
        <v>0</v>
      </c>
      <c r="AF14" s="2">
        <f t="shared" si="4"/>
        <v>998432.8</v>
      </c>
      <c r="AG14" s="39" t="s">
        <v>69</v>
      </c>
      <c r="AH14" s="39"/>
      <c r="AI14" s="35">
        <v>81051.490000000005</v>
      </c>
      <c r="AJ14" s="36">
        <v>8948.51</v>
      </c>
      <c r="AK14" s="28">
        <f t="shared" si="6"/>
        <v>767616.39</v>
      </c>
      <c r="AL14" s="28">
        <f t="shared" si="7"/>
        <v>120847.75</v>
      </c>
      <c r="AM14" s="29">
        <f t="shared" si="8"/>
        <v>9.5504368564060665E-2</v>
      </c>
    </row>
    <row r="15" spans="1:39 16382:16382" ht="192" customHeight="1" x14ac:dyDescent="0.25">
      <c r="A15" s="10">
        <v>12</v>
      </c>
      <c r="B15" s="44">
        <v>135772</v>
      </c>
      <c r="C15" s="45">
        <v>802</v>
      </c>
      <c r="D15" s="46" t="s">
        <v>31</v>
      </c>
      <c r="E15" s="14" t="s">
        <v>1826</v>
      </c>
      <c r="F15" s="40" t="s">
        <v>1827</v>
      </c>
      <c r="G15" s="15" t="s">
        <v>61</v>
      </c>
      <c r="H15" s="20" t="s">
        <v>35</v>
      </c>
      <c r="I15" s="16" t="s">
        <v>1828</v>
      </c>
      <c r="J15" s="47">
        <v>43949</v>
      </c>
      <c r="K15" s="47">
        <v>44862</v>
      </c>
      <c r="L15" s="48">
        <f t="shared" si="0"/>
        <v>85.000000179076224</v>
      </c>
      <c r="M15" s="45">
        <v>7</v>
      </c>
      <c r="N15" s="45" t="s">
        <v>63</v>
      </c>
      <c r="O15" s="45" t="s">
        <v>61</v>
      </c>
      <c r="P15" s="49" t="s">
        <v>39</v>
      </c>
      <c r="Q15" s="45" t="s">
        <v>40</v>
      </c>
      <c r="R15" s="50">
        <f>S15+T15</f>
        <v>2847949.35</v>
      </c>
      <c r="S15" s="50">
        <v>2847949.35</v>
      </c>
      <c r="T15" s="50">
        <v>0</v>
      </c>
      <c r="U15" s="51">
        <f t="shared" si="2"/>
        <v>435568.72</v>
      </c>
      <c r="V15" s="50">
        <v>435568.72</v>
      </c>
      <c r="W15" s="50">
        <v>0</v>
      </c>
      <c r="X15" s="51">
        <f t="shared" si="9"/>
        <v>67010.570000000007</v>
      </c>
      <c r="Y15" s="50">
        <v>67010.570000000007</v>
      </c>
      <c r="Z15" s="50">
        <v>0</v>
      </c>
      <c r="AA15" s="50">
        <f>AB15+AC15</f>
        <v>0</v>
      </c>
      <c r="AB15" s="50">
        <v>0</v>
      </c>
      <c r="AC15" s="50">
        <v>0</v>
      </c>
      <c r="AD15" s="50">
        <f t="shared" si="10"/>
        <v>3350528.64</v>
      </c>
      <c r="AE15" s="50">
        <v>76569.36</v>
      </c>
      <c r="AF15" s="50">
        <f t="shared" si="4"/>
        <v>3427098</v>
      </c>
      <c r="AG15" s="39" t="s">
        <v>69</v>
      </c>
      <c r="AH15" s="39"/>
      <c r="AI15" s="35">
        <v>0</v>
      </c>
      <c r="AJ15" s="36">
        <v>0</v>
      </c>
      <c r="AK15" s="28">
        <f t="shared" si="6"/>
        <v>2847949.35</v>
      </c>
      <c r="AL15" s="28">
        <f t="shared" si="7"/>
        <v>435568.72</v>
      </c>
      <c r="AM15" s="29">
        <f t="shared" si="8"/>
        <v>0</v>
      </c>
    </row>
    <row r="16" spans="1:39 16382:16382" ht="192" customHeight="1" x14ac:dyDescent="0.25">
      <c r="A16" s="10">
        <v>13</v>
      </c>
      <c r="B16" s="37">
        <v>120637</v>
      </c>
      <c r="C16" s="20">
        <v>86</v>
      </c>
      <c r="D16" s="15" t="s">
        <v>31</v>
      </c>
      <c r="E16" s="14" t="s">
        <v>32</v>
      </c>
      <c r="F16" s="15" t="s">
        <v>82</v>
      </c>
      <c r="G16" s="20" t="s">
        <v>83</v>
      </c>
      <c r="H16" s="20" t="s">
        <v>35</v>
      </c>
      <c r="I16" s="16" t="s">
        <v>84</v>
      </c>
      <c r="J16" s="30">
        <v>43145</v>
      </c>
      <c r="K16" s="30">
        <v>43510</v>
      </c>
      <c r="L16" s="31">
        <f t="shared" si="0"/>
        <v>85.000001183738732</v>
      </c>
      <c r="M16" s="20">
        <v>5</v>
      </c>
      <c r="N16" s="20" t="s">
        <v>85</v>
      </c>
      <c r="O16" s="20" t="s">
        <v>85</v>
      </c>
      <c r="P16" s="32" t="s">
        <v>39</v>
      </c>
      <c r="Q16" s="20" t="s">
        <v>40</v>
      </c>
      <c r="R16" s="2">
        <f t="shared" ref="R16:R19" si="13">S16+T16</f>
        <v>359031.93</v>
      </c>
      <c r="S16" s="52">
        <v>359031.93</v>
      </c>
      <c r="T16" s="2">
        <v>0</v>
      </c>
      <c r="U16" s="33">
        <f t="shared" si="2"/>
        <v>54910.76</v>
      </c>
      <c r="V16" s="2">
        <v>54910.76</v>
      </c>
      <c r="W16" s="2">
        <v>0</v>
      </c>
      <c r="X16" s="33">
        <f t="shared" si="9"/>
        <v>8447.81</v>
      </c>
      <c r="Y16" s="2">
        <v>8447.81</v>
      </c>
      <c r="Z16" s="2">
        <v>0</v>
      </c>
      <c r="AA16" s="2">
        <f>AB16+AC16</f>
        <v>0</v>
      </c>
      <c r="AB16" s="2">
        <v>0</v>
      </c>
      <c r="AC16" s="2">
        <v>0</v>
      </c>
      <c r="AD16" s="2">
        <f t="shared" si="10"/>
        <v>422390.5</v>
      </c>
      <c r="AE16" s="2">
        <v>0</v>
      </c>
      <c r="AF16" s="2">
        <f t="shared" si="4"/>
        <v>422390.5</v>
      </c>
      <c r="AG16" s="24" t="s">
        <v>41</v>
      </c>
      <c r="AH16" s="34" t="s">
        <v>35</v>
      </c>
      <c r="AI16" s="35">
        <v>282511.96000000002</v>
      </c>
      <c r="AJ16" s="36">
        <v>43207.69</v>
      </c>
      <c r="AK16" s="28">
        <f t="shared" si="6"/>
        <v>76519.969999999972</v>
      </c>
      <c r="AL16" s="28">
        <f t="shared" si="7"/>
        <v>11703.07</v>
      </c>
      <c r="AM16" s="29">
        <f t="shared" si="8"/>
        <v>0.78687140723110627</v>
      </c>
    </row>
    <row r="17" spans="1:39" ht="192" customHeight="1" x14ac:dyDescent="0.25">
      <c r="A17" s="10">
        <v>14</v>
      </c>
      <c r="B17" s="37">
        <v>119520</v>
      </c>
      <c r="C17" s="37">
        <v>465</v>
      </c>
      <c r="D17" s="20" t="s">
        <v>47</v>
      </c>
      <c r="E17" s="14" t="s">
        <v>48</v>
      </c>
      <c r="F17" s="15" t="s">
        <v>86</v>
      </c>
      <c r="G17" s="20" t="s">
        <v>87</v>
      </c>
      <c r="H17" s="20" t="s">
        <v>88</v>
      </c>
      <c r="I17" s="15" t="s">
        <v>89</v>
      </c>
      <c r="J17" s="30">
        <v>43292</v>
      </c>
      <c r="K17" s="30">
        <v>44176</v>
      </c>
      <c r="L17" s="31">
        <f t="shared" si="0"/>
        <v>85.000019787644845</v>
      </c>
      <c r="M17" s="20">
        <v>5</v>
      </c>
      <c r="N17" s="20" t="s">
        <v>85</v>
      </c>
      <c r="O17" s="20" t="s">
        <v>85</v>
      </c>
      <c r="P17" s="20" t="s">
        <v>39</v>
      </c>
      <c r="Q17" s="20" t="s">
        <v>40</v>
      </c>
      <c r="R17" s="2">
        <f t="shared" si="13"/>
        <v>231962.98</v>
      </c>
      <c r="S17" s="35">
        <v>231962.98</v>
      </c>
      <c r="T17" s="41">
        <v>0</v>
      </c>
      <c r="U17" s="33">
        <f t="shared" si="2"/>
        <v>35476.620000000003</v>
      </c>
      <c r="V17" s="35">
        <v>35476.620000000003</v>
      </c>
      <c r="W17" s="41">
        <v>0</v>
      </c>
      <c r="X17" s="33">
        <f t="shared" si="9"/>
        <v>5457.96</v>
      </c>
      <c r="Y17" s="35">
        <v>5457.96</v>
      </c>
      <c r="Z17" s="35">
        <v>0</v>
      </c>
      <c r="AA17" s="2">
        <f t="shared" ref="AA17:AA18" si="14">AB17+AC17</f>
        <v>0</v>
      </c>
      <c r="AB17" s="42">
        <v>0</v>
      </c>
      <c r="AC17" s="42">
        <v>0</v>
      </c>
      <c r="AD17" s="2">
        <f t="shared" si="10"/>
        <v>272897.56000000006</v>
      </c>
      <c r="AE17" s="39">
        <v>0</v>
      </c>
      <c r="AF17" s="2">
        <f t="shared" si="4"/>
        <v>272897.56000000006</v>
      </c>
      <c r="AG17" s="39" t="s">
        <v>69</v>
      </c>
      <c r="AH17" s="39" t="s">
        <v>90</v>
      </c>
      <c r="AI17" s="35">
        <v>152403.68</v>
      </c>
      <c r="AJ17" s="36">
        <v>23308.79</v>
      </c>
      <c r="AK17" s="28">
        <f t="shared" si="6"/>
        <v>79559.300000000017</v>
      </c>
      <c r="AL17" s="28">
        <f t="shared" si="7"/>
        <v>12167.830000000002</v>
      </c>
      <c r="AM17" s="29">
        <f t="shared" si="8"/>
        <v>0.65701725335654848</v>
      </c>
    </row>
    <row r="18" spans="1:39" ht="192" customHeight="1" x14ac:dyDescent="0.25">
      <c r="A18" s="10">
        <v>15</v>
      </c>
      <c r="B18" s="37">
        <v>116692</v>
      </c>
      <c r="C18" s="20">
        <v>408</v>
      </c>
      <c r="D18" s="15" t="s">
        <v>54</v>
      </c>
      <c r="E18" s="14" t="s">
        <v>55</v>
      </c>
      <c r="F18" s="15" t="s">
        <v>91</v>
      </c>
      <c r="G18" s="20" t="s">
        <v>87</v>
      </c>
      <c r="H18" s="20" t="s">
        <v>35</v>
      </c>
      <c r="I18" s="53" t="s">
        <v>92</v>
      </c>
      <c r="J18" s="30">
        <v>43321</v>
      </c>
      <c r="K18" s="30">
        <v>43899</v>
      </c>
      <c r="L18" s="31">
        <f t="shared" si="0"/>
        <v>85.000000534892237</v>
      </c>
      <c r="M18" s="20">
        <v>5</v>
      </c>
      <c r="N18" s="20" t="s">
        <v>85</v>
      </c>
      <c r="O18" s="20" t="s">
        <v>85</v>
      </c>
      <c r="P18" s="20" t="s">
        <v>39</v>
      </c>
      <c r="Q18" s="20" t="s">
        <v>40</v>
      </c>
      <c r="R18" s="2">
        <f t="shared" si="13"/>
        <v>317821.02</v>
      </c>
      <c r="S18" s="35">
        <v>317821.02</v>
      </c>
      <c r="T18" s="41">
        <v>0</v>
      </c>
      <c r="U18" s="33">
        <f t="shared" si="2"/>
        <v>48607.91</v>
      </c>
      <c r="V18" s="35">
        <v>48607.91</v>
      </c>
      <c r="W18" s="41">
        <v>0</v>
      </c>
      <c r="X18" s="33">
        <f t="shared" si="9"/>
        <v>7478.15</v>
      </c>
      <c r="Y18" s="35">
        <v>7478.15</v>
      </c>
      <c r="Z18" s="35">
        <v>0</v>
      </c>
      <c r="AA18" s="2">
        <f t="shared" si="14"/>
        <v>0</v>
      </c>
      <c r="AB18" s="42">
        <v>0</v>
      </c>
      <c r="AC18" s="42">
        <v>0</v>
      </c>
      <c r="AD18" s="2">
        <f t="shared" si="10"/>
        <v>373907.08000000007</v>
      </c>
      <c r="AE18" s="39">
        <v>0</v>
      </c>
      <c r="AF18" s="2">
        <f t="shared" si="4"/>
        <v>373907.08000000007</v>
      </c>
      <c r="AG18" s="39" t="s">
        <v>41</v>
      </c>
      <c r="AH18" s="39" t="s">
        <v>93</v>
      </c>
      <c r="AI18" s="35">
        <v>181528.22</v>
      </c>
      <c r="AJ18" s="36">
        <v>27763.119999999999</v>
      </c>
      <c r="AK18" s="28">
        <f t="shared" si="6"/>
        <v>136292.80000000002</v>
      </c>
      <c r="AL18" s="28">
        <f t="shared" si="7"/>
        <v>20844.790000000005</v>
      </c>
      <c r="AM18" s="29">
        <f t="shared" si="8"/>
        <v>0.5711649279836809</v>
      </c>
    </row>
    <row r="19" spans="1:39" ht="192" customHeight="1" x14ac:dyDescent="0.25">
      <c r="A19" s="10">
        <v>16</v>
      </c>
      <c r="B19" s="37">
        <v>126495</v>
      </c>
      <c r="C19" s="20">
        <v>558</v>
      </c>
      <c r="D19" s="15" t="s">
        <v>31</v>
      </c>
      <c r="E19" s="14" t="s">
        <v>65</v>
      </c>
      <c r="F19" s="15" t="s">
        <v>94</v>
      </c>
      <c r="G19" s="20" t="s">
        <v>83</v>
      </c>
      <c r="H19" s="20" t="s">
        <v>35</v>
      </c>
      <c r="I19" s="54" t="s">
        <v>95</v>
      </c>
      <c r="J19" s="30">
        <v>43570</v>
      </c>
      <c r="K19" s="30">
        <v>44423</v>
      </c>
      <c r="L19" s="31">
        <f t="shared" si="0"/>
        <v>85</v>
      </c>
      <c r="M19" s="20">
        <v>5</v>
      </c>
      <c r="N19" s="20" t="s">
        <v>85</v>
      </c>
      <c r="O19" s="20" t="s">
        <v>85</v>
      </c>
      <c r="P19" s="20" t="s">
        <v>39</v>
      </c>
      <c r="Q19" s="20" t="s">
        <v>40</v>
      </c>
      <c r="R19" s="2">
        <f t="shared" si="13"/>
        <v>3025356.04</v>
      </c>
      <c r="S19" s="35">
        <v>3025356.04</v>
      </c>
      <c r="T19" s="41">
        <v>0</v>
      </c>
      <c r="U19" s="33">
        <f t="shared" si="2"/>
        <v>462701.51</v>
      </c>
      <c r="V19" s="35">
        <v>462701.51</v>
      </c>
      <c r="W19" s="41">
        <v>0</v>
      </c>
      <c r="X19" s="33">
        <f t="shared" si="9"/>
        <v>71184.850000000006</v>
      </c>
      <c r="Y19" s="35">
        <v>71184.850000000006</v>
      </c>
      <c r="Z19" s="35">
        <v>0</v>
      </c>
      <c r="AA19" s="2">
        <f>AB19+AC19</f>
        <v>0</v>
      </c>
      <c r="AB19" s="2">
        <v>0</v>
      </c>
      <c r="AC19" s="2">
        <v>0</v>
      </c>
      <c r="AD19" s="2">
        <f t="shared" si="10"/>
        <v>3559242.4</v>
      </c>
      <c r="AE19" s="39">
        <v>0</v>
      </c>
      <c r="AF19" s="2">
        <f t="shared" si="4"/>
        <v>3559242.4</v>
      </c>
      <c r="AG19" s="39" t="s">
        <v>69</v>
      </c>
      <c r="AH19" s="39"/>
      <c r="AI19" s="35">
        <v>82686.679999999993</v>
      </c>
      <c r="AJ19" s="36">
        <v>12646.21</v>
      </c>
      <c r="AK19" s="28">
        <f t="shared" si="6"/>
        <v>2942669.36</v>
      </c>
      <c r="AL19" s="28">
        <f t="shared" si="7"/>
        <v>450055.3</v>
      </c>
      <c r="AM19" s="29">
        <f t="shared" si="8"/>
        <v>2.7331222807084877E-2</v>
      </c>
    </row>
    <row r="20" spans="1:39" ht="192" customHeight="1" x14ac:dyDescent="0.25">
      <c r="A20" s="10">
        <v>17</v>
      </c>
      <c r="B20" s="37">
        <v>129702</v>
      </c>
      <c r="C20" s="20">
        <v>676</v>
      </c>
      <c r="D20" s="15" t="s">
        <v>31</v>
      </c>
      <c r="E20" s="14" t="s">
        <v>79</v>
      </c>
      <c r="F20" s="15" t="s">
        <v>96</v>
      </c>
      <c r="G20" s="20" t="s">
        <v>87</v>
      </c>
      <c r="H20" s="20" t="s">
        <v>35</v>
      </c>
      <c r="I20" s="54" t="s">
        <v>97</v>
      </c>
      <c r="J20" s="30">
        <v>43717</v>
      </c>
      <c r="K20" s="30">
        <v>44417</v>
      </c>
      <c r="L20" s="31">
        <f t="shared" si="0"/>
        <v>85</v>
      </c>
      <c r="M20" s="20">
        <v>5</v>
      </c>
      <c r="N20" s="20" t="s">
        <v>85</v>
      </c>
      <c r="O20" s="20" t="s">
        <v>85</v>
      </c>
      <c r="P20" s="20" t="s">
        <v>39</v>
      </c>
      <c r="Q20" s="20" t="s">
        <v>40</v>
      </c>
      <c r="R20" s="2">
        <f>S20+T20</f>
        <v>396508</v>
      </c>
      <c r="S20" s="35">
        <v>396508</v>
      </c>
      <c r="T20" s="41">
        <v>0</v>
      </c>
      <c r="U20" s="33">
        <f t="shared" si="2"/>
        <v>60642.400000000001</v>
      </c>
      <c r="V20" s="35">
        <v>60642.400000000001</v>
      </c>
      <c r="W20" s="41">
        <v>0</v>
      </c>
      <c r="X20" s="33">
        <f t="shared" si="9"/>
        <v>9329.6</v>
      </c>
      <c r="Y20" s="35">
        <v>9329.6</v>
      </c>
      <c r="Z20" s="35">
        <v>0</v>
      </c>
      <c r="AA20" s="2">
        <f>AB20+AC20</f>
        <v>0</v>
      </c>
      <c r="AB20" s="42">
        <v>0</v>
      </c>
      <c r="AC20" s="42">
        <v>0</v>
      </c>
      <c r="AD20" s="2">
        <f t="shared" si="10"/>
        <v>466480</v>
      </c>
      <c r="AE20" s="39">
        <v>0</v>
      </c>
      <c r="AF20" s="2">
        <f t="shared" si="4"/>
        <v>466480</v>
      </c>
      <c r="AG20" s="39" t="s">
        <v>69</v>
      </c>
      <c r="AH20" s="39" t="s">
        <v>35</v>
      </c>
      <c r="AI20" s="35">
        <v>0</v>
      </c>
      <c r="AJ20" s="36">
        <v>0</v>
      </c>
      <c r="AK20" s="28">
        <f t="shared" si="6"/>
        <v>396508</v>
      </c>
      <c r="AL20" s="28">
        <f t="shared" si="7"/>
        <v>60642.400000000001</v>
      </c>
      <c r="AM20" s="29">
        <f t="shared" si="8"/>
        <v>0</v>
      </c>
    </row>
    <row r="21" spans="1:39" ht="192" customHeight="1" x14ac:dyDescent="0.25">
      <c r="A21" s="10">
        <v>18</v>
      </c>
      <c r="B21" s="37">
        <v>120652</v>
      </c>
      <c r="C21" s="20">
        <v>91</v>
      </c>
      <c r="D21" s="15" t="s">
        <v>31</v>
      </c>
      <c r="E21" s="14" t="s">
        <v>32</v>
      </c>
      <c r="F21" s="15" t="s">
        <v>98</v>
      </c>
      <c r="G21" s="15" t="s">
        <v>99</v>
      </c>
      <c r="H21" s="20" t="s">
        <v>35</v>
      </c>
      <c r="I21" s="55" t="s">
        <v>100</v>
      </c>
      <c r="J21" s="30">
        <v>43145</v>
      </c>
      <c r="K21" s="30">
        <v>43510</v>
      </c>
      <c r="L21" s="31">
        <f t="shared" si="0"/>
        <v>84.999999389755786</v>
      </c>
      <c r="M21" s="20">
        <v>3</v>
      </c>
      <c r="N21" s="20" t="s">
        <v>101</v>
      </c>
      <c r="O21" s="20" t="s">
        <v>102</v>
      </c>
      <c r="P21" s="32" t="s">
        <v>39</v>
      </c>
      <c r="Q21" s="20" t="s">
        <v>40</v>
      </c>
      <c r="R21" s="2">
        <f t="shared" ref="R21" si="15">S21+T21</f>
        <v>348221.24</v>
      </c>
      <c r="S21" s="2">
        <v>348221.24</v>
      </c>
      <c r="T21" s="2">
        <v>0</v>
      </c>
      <c r="U21" s="33">
        <f t="shared" si="2"/>
        <v>53257.37</v>
      </c>
      <c r="V21" s="2">
        <v>53257.37</v>
      </c>
      <c r="W21" s="2">
        <v>0</v>
      </c>
      <c r="X21" s="33">
        <f t="shared" si="9"/>
        <v>8193.44</v>
      </c>
      <c r="Y21" s="2">
        <v>8193.44</v>
      </c>
      <c r="Z21" s="2">
        <v>0</v>
      </c>
      <c r="AA21" s="2">
        <f>AB21+AC21</f>
        <v>0</v>
      </c>
      <c r="AB21" s="2">
        <v>0</v>
      </c>
      <c r="AC21" s="2">
        <v>0</v>
      </c>
      <c r="AD21" s="2">
        <f t="shared" si="10"/>
        <v>409672.05</v>
      </c>
      <c r="AE21" s="2">
        <v>0</v>
      </c>
      <c r="AF21" s="2">
        <f t="shared" si="4"/>
        <v>409672.05</v>
      </c>
      <c r="AG21" s="24" t="s">
        <v>41</v>
      </c>
      <c r="AH21" s="34" t="s">
        <v>103</v>
      </c>
      <c r="AI21" s="35">
        <v>334492.68000000005</v>
      </c>
      <c r="AJ21" s="36">
        <v>51157.71</v>
      </c>
      <c r="AK21" s="28">
        <f t="shared" si="6"/>
        <v>13728.559999999939</v>
      </c>
      <c r="AL21" s="28">
        <f t="shared" si="7"/>
        <v>2099.6600000000035</v>
      </c>
      <c r="AM21" s="29">
        <f t="shared" si="8"/>
        <v>0.96057517915908885</v>
      </c>
    </row>
    <row r="22" spans="1:39" ht="192" customHeight="1" x14ac:dyDescent="0.25">
      <c r="A22" s="10">
        <v>19</v>
      </c>
      <c r="B22" s="37">
        <v>118191</v>
      </c>
      <c r="C22" s="56">
        <v>423</v>
      </c>
      <c r="D22" s="15" t="s">
        <v>54</v>
      </c>
      <c r="E22" s="14" t="s">
        <v>55</v>
      </c>
      <c r="F22" s="15" t="s">
        <v>104</v>
      </c>
      <c r="G22" s="15" t="s">
        <v>105</v>
      </c>
      <c r="H22" s="20"/>
      <c r="I22" s="16" t="s">
        <v>106</v>
      </c>
      <c r="J22" s="30">
        <v>43284</v>
      </c>
      <c r="K22" s="30">
        <v>43649</v>
      </c>
      <c r="L22" s="31">
        <f t="shared" si="0"/>
        <v>85.000001358659858</v>
      </c>
      <c r="M22" s="20">
        <v>3</v>
      </c>
      <c r="N22" s="20" t="s">
        <v>101</v>
      </c>
      <c r="O22" s="20" t="s">
        <v>102</v>
      </c>
      <c r="P22" s="32" t="s">
        <v>39</v>
      </c>
      <c r="Q22" s="20" t="s">
        <v>40</v>
      </c>
      <c r="R22" s="57">
        <v>250246.6</v>
      </c>
      <c r="S22" s="35">
        <v>250246.6</v>
      </c>
      <c r="T22" s="2">
        <v>0</v>
      </c>
      <c r="U22" s="33">
        <f t="shared" si="2"/>
        <v>38273</v>
      </c>
      <c r="V22" s="58">
        <v>38273</v>
      </c>
      <c r="W22" s="2">
        <v>0</v>
      </c>
      <c r="X22" s="33">
        <f t="shared" si="9"/>
        <v>5888.16</v>
      </c>
      <c r="Y22" s="2">
        <v>5888.16</v>
      </c>
      <c r="Z22" s="2">
        <v>0</v>
      </c>
      <c r="AA22" s="2">
        <f t="shared" ref="AA22:AA34" si="16">AB22+AC22</f>
        <v>0</v>
      </c>
      <c r="AB22" s="2">
        <v>0</v>
      </c>
      <c r="AC22" s="2">
        <v>0</v>
      </c>
      <c r="AD22" s="2">
        <f t="shared" si="10"/>
        <v>294407.75999999995</v>
      </c>
      <c r="AE22" s="2"/>
      <c r="AF22" s="2">
        <f t="shared" si="4"/>
        <v>294407.75999999995</v>
      </c>
      <c r="AG22" s="24" t="s">
        <v>41</v>
      </c>
      <c r="AH22" s="34" t="s">
        <v>35</v>
      </c>
      <c r="AI22" s="35">
        <v>234372.19999999998</v>
      </c>
      <c r="AJ22" s="36">
        <v>35845.47</v>
      </c>
      <c r="AK22" s="28">
        <f t="shared" si="6"/>
        <v>15874.400000000023</v>
      </c>
      <c r="AL22" s="28">
        <f t="shared" si="7"/>
        <v>2427.5299999999988</v>
      </c>
      <c r="AM22" s="29">
        <f t="shared" si="8"/>
        <v>0.93656497231131208</v>
      </c>
    </row>
    <row r="23" spans="1:39" ht="192" customHeight="1" x14ac:dyDescent="0.25">
      <c r="A23" s="10">
        <v>20</v>
      </c>
      <c r="B23" s="37">
        <v>118741</v>
      </c>
      <c r="C23" s="20">
        <v>459</v>
      </c>
      <c r="D23" s="20" t="s">
        <v>47</v>
      </c>
      <c r="E23" s="14" t="s">
        <v>48</v>
      </c>
      <c r="F23" s="15" t="s">
        <v>107</v>
      </c>
      <c r="G23" s="15" t="s">
        <v>108</v>
      </c>
      <c r="H23" s="20" t="s">
        <v>35</v>
      </c>
      <c r="I23" s="15" t="s">
        <v>109</v>
      </c>
      <c r="J23" s="30">
        <v>43290</v>
      </c>
      <c r="K23" s="30">
        <v>43778</v>
      </c>
      <c r="L23" s="31">
        <f t="shared" si="0"/>
        <v>85.00000356420064</v>
      </c>
      <c r="M23" s="20">
        <v>3</v>
      </c>
      <c r="N23" s="30" t="s">
        <v>101</v>
      </c>
      <c r="O23" s="30" t="s">
        <v>102</v>
      </c>
      <c r="P23" s="30" t="s">
        <v>39</v>
      </c>
      <c r="Q23" s="20" t="s">
        <v>40</v>
      </c>
      <c r="R23" s="33">
        <v>512737.71</v>
      </c>
      <c r="S23" s="2">
        <v>512737.71</v>
      </c>
      <c r="T23" s="2">
        <v>0</v>
      </c>
      <c r="U23" s="33">
        <f t="shared" si="2"/>
        <v>78418.69</v>
      </c>
      <c r="V23" s="2">
        <v>78418.69</v>
      </c>
      <c r="W23" s="2">
        <v>0</v>
      </c>
      <c r="X23" s="33">
        <f t="shared" si="9"/>
        <v>12064.41</v>
      </c>
      <c r="Y23" s="2">
        <v>12064.41</v>
      </c>
      <c r="Z23" s="2">
        <v>0</v>
      </c>
      <c r="AA23" s="2">
        <f t="shared" si="16"/>
        <v>0</v>
      </c>
      <c r="AB23" s="2">
        <v>0</v>
      </c>
      <c r="AC23" s="2">
        <v>0</v>
      </c>
      <c r="AD23" s="2">
        <f t="shared" si="10"/>
        <v>603220.81000000006</v>
      </c>
      <c r="AE23" s="39"/>
      <c r="AF23" s="2">
        <f t="shared" si="4"/>
        <v>603220.81000000006</v>
      </c>
      <c r="AG23" s="24" t="s">
        <v>41</v>
      </c>
      <c r="AH23" s="39"/>
      <c r="AI23" s="35">
        <v>329928.18</v>
      </c>
      <c r="AJ23" s="36">
        <v>50459.58</v>
      </c>
      <c r="AK23" s="28">
        <f t="shared" si="6"/>
        <v>182809.53000000003</v>
      </c>
      <c r="AL23" s="28">
        <f t="shared" si="7"/>
        <v>27959.11</v>
      </c>
      <c r="AM23" s="29">
        <f t="shared" si="8"/>
        <v>0.64346384821198344</v>
      </c>
    </row>
    <row r="24" spans="1:39" ht="192" customHeight="1" x14ac:dyDescent="0.25">
      <c r="A24" s="10">
        <v>21</v>
      </c>
      <c r="B24" s="37">
        <v>126349</v>
      </c>
      <c r="C24" s="20">
        <v>566</v>
      </c>
      <c r="D24" s="20" t="s">
        <v>47</v>
      </c>
      <c r="E24" s="14" t="s">
        <v>65</v>
      </c>
      <c r="F24" s="15" t="s">
        <v>110</v>
      </c>
      <c r="G24" s="15" t="s">
        <v>105</v>
      </c>
      <c r="H24" s="20" t="s">
        <v>35</v>
      </c>
      <c r="I24" s="15" t="s">
        <v>111</v>
      </c>
      <c r="J24" s="30">
        <v>43482</v>
      </c>
      <c r="K24" s="30">
        <v>44213</v>
      </c>
      <c r="L24" s="31">
        <f t="shared" si="0"/>
        <v>85.000000750761799</v>
      </c>
      <c r="M24" s="20">
        <v>3</v>
      </c>
      <c r="N24" s="30" t="s">
        <v>101</v>
      </c>
      <c r="O24" s="30" t="s">
        <v>102</v>
      </c>
      <c r="P24" s="30" t="s">
        <v>39</v>
      </c>
      <c r="Q24" s="20" t="s">
        <v>40</v>
      </c>
      <c r="R24" s="33">
        <f>S24+T24</f>
        <v>3396550.05</v>
      </c>
      <c r="S24" s="2">
        <v>3396550.05</v>
      </c>
      <c r="T24" s="2">
        <v>0</v>
      </c>
      <c r="U24" s="33">
        <f t="shared" si="2"/>
        <v>519472.32</v>
      </c>
      <c r="V24" s="2">
        <v>519472.32</v>
      </c>
      <c r="W24" s="2">
        <v>0</v>
      </c>
      <c r="X24" s="33">
        <f t="shared" si="9"/>
        <v>79918.83</v>
      </c>
      <c r="Y24" s="2">
        <v>79918.83</v>
      </c>
      <c r="Z24" s="2">
        <v>0</v>
      </c>
      <c r="AA24" s="2">
        <f>AB24+AC24</f>
        <v>0</v>
      </c>
      <c r="AB24" s="2">
        <v>0</v>
      </c>
      <c r="AC24" s="2">
        <v>0</v>
      </c>
      <c r="AD24" s="2">
        <f t="shared" si="10"/>
        <v>3995941.1999999997</v>
      </c>
      <c r="AE24" s="39">
        <v>0</v>
      </c>
      <c r="AF24" s="2">
        <f t="shared" si="4"/>
        <v>3995941.1999999997</v>
      </c>
      <c r="AG24" s="39" t="s">
        <v>69</v>
      </c>
      <c r="AH24" s="39"/>
      <c r="AI24" s="35">
        <v>571396.75</v>
      </c>
      <c r="AJ24" s="36">
        <v>87390.09</v>
      </c>
      <c r="AK24" s="28">
        <f t="shared" si="6"/>
        <v>2825153.3</v>
      </c>
      <c r="AL24" s="28">
        <f t="shared" si="7"/>
        <v>432082.23</v>
      </c>
      <c r="AM24" s="29">
        <f t="shared" si="8"/>
        <v>0.16822856769032449</v>
      </c>
    </row>
    <row r="25" spans="1:39" ht="192" customHeight="1" x14ac:dyDescent="0.25">
      <c r="A25" s="10">
        <v>22</v>
      </c>
      <c r="B25" s="37">
        <v>128987</v>
      </c>
      <c r="C25" s="20">
        <v>649</v>
      </c>
      <c r="D25" s="15" t="s">
        <v>31</v>
      </c>
      <c r="E25" s="14" t="s">
        <v>79</v>
      </c>
      <c r="F25" s="40" t="s">
        <v>112</v>
      </c>
      <c r="G25" s="15" t="s">
        <v>108</v>
      </c>
      <c r="H25" s="20" t="s">
        <v>35</v>
      </c>
      <c r="I25" s="15" t="s">
        <v>113</v>
      </c>
      <c r="J25" s="30">
        <v>43626</v>
      </c>
      <c r="K25" s="30">
        <v>44540</v>
      </c>
      <c r="L25" s="31">
        <f t="shared" si="0"/>
        <v>85.000000101931988</v>
      </c>
      <c r="M25" s="20">
        <v>3</v>
      </c>
      <c r="N25" s="30" t="s">
        <v>101</v>
      </c>
      <c r="O25" s="30" t="s">
        <v>102</v>
      </c>
      <c r="P25" s="30" t="s">
        <v>39</v>
      </c>
      <c r="Q25" s="20" t="s">
        <v>40</v>
      </c>
      <c r="R25" s="33">
        <f>S25+T25</f>
        <v>2501668.17</v>
      </c>
      <c r="S25" s="2">
        <v>2501668.17</v>
      </c>
      <c r="T25" s="2">
        <v>0</v>
      </c>
      <c r="U25" s="33">
        <f t="shared" si="2"/>
        <v>382608.07</v>
      </c>
      <c r="V25" s="2">
        <v>382608.07</v>
      </c>
      <c r="W25" s="2">
        <v>0</v>
      </c>
      <c r="X25" s="33">
        <f t="shared" si="9"/>
        <v>58862.78</v>
      </c>
      <c r="Y25" s="2">
        <v>58862.78</v>
      </c>
      <c r="Z25" s="2">
        <v>0</v>
      </c>
      <c r="AA25" s="2">
        <f>AB25+AC25</f>
        <v>0</v>
      </c>
      <c r="AB25" s="2">
        <v>0</v>
      </c>
      <c r="AC25" s="2">
        <v>0</v>
      </c>
      <c r="AD25" s="2">
        <f t="shared" si="10"/>
        <v>2943139.0199999996</v>
      </c>
      <c r="AE25" s="35">
        <v>0</v>
      </c>
      <c r="AF25" s="2">
        <f t="shared" si="4"/>
        <v>2943139.0199999996</v>
      </c>
      <c r="AG25" s="39" t="s">
        <v>69</v>
      </c>
      <c r="AH25" s="39" t="s">
        <v>35</v>
      </c>
      <c r="AI25" s="35">
        <v>172108.45</v>
      </c>
      <c r="AJ25" s="36">
        <v>26322.47</v>
      </c>
      <c r="AK25" s="28">
        <f t="shared" si="6"/>
        <v>2329559.7199999997</v>
      </c>
      <c r="AL25" s="28">
        <f t="shared" si="7"/>
        <v>356285.6</v>
      </c>
      <c r="AM25" s="29">
        <f t="shared" si="8"/>
        <v>6.8797473647354279E-2</v>
      </c>
    </row>
    <row r="26" spans="1:39" ht="192" customHeight="1" x14ac:dyDescent="0.25">
      <c r="A26" s="10">
        <v>23</v>
      </c>
      <c r="B26" s="37">
        <v>119613</v>
      </c>
      <c r="C26" s="20">
        <v>461</v>
      </c>
      <c r="D26" s="20" t="s">
        <v>47</v>
      </c>
      <c r="E26" s="14" t="s">
        <v>48</v>
      </c>
      <c r="F26" s="15" t="s">
        <v>114</v>
      </c>
      <c r="G26" s="20" t="s">
        <v>115</v>
      </c>
      <c r="H26" s="20" t="s">
        <v>35</v>
      </c>
      <c r="I26" s="15" t="s">
        <v>116</v>
      </c>
      <c r="J26" s="30">
        <v>43320</v>
      </c>
      <c r="K26" s="30">
        <v>43646</v>
      </c>
      <c r="L26" s="31">
        <f t="shared" si="0"/>
        <v>85.00000179686964</v>
      </c>
      <c r="M26" s="20">
        <v>1</v>
      </c>
      <c r="N26" s="20" t="s">
        <v>117</v>
      </c>
      <c r="O26" s="20" t="s">
        <v>117</v>
      </c>
      <c r="P26" s="30" t="s">
        <v>39</v>
      </c>
      <c r="Q26" s="20" t="s">
        <v>40</v>
      </c>
      <c r="R26" s="2">
        <f t="shared" ref="R26:R28" si="17">S26+T26</f>
        <v>236522.45</v>
      </c>
      <c r="S26" s="2">
        <v>236522.45</v>
      </c>
      <c r="T26" s="2">
        <v>0</v>
      </c>
      <c r="U26" s="33">
        <f t="shared" si="2"/>
        <v>36174.019999999997</v>
      </c>
      <c r="V26" s="52">
        <v>36174.019999999997</v>
      </c>
      <c r="W26" s="59">
        <v>0</v>
      </c>
      <c r="X26" s="33">
        <f t="shared" si="9"/>
        <v>5565.23</v>
      </c>
      <c r="Y26" s="52">
        <v>5565.23</v>
      </c>
      <c r="Z26" s="60">
        <v>0</v>
      </c>
      <c r="AA26" s="2">
        <v>0</v>
      </c>
      <c r="AB26" s="2">
        <v>0</v>
      </c>
      <c r="AC26" s="2">
        <v>0</v>
      </c>
      <c r="AD26" s="2">
        <f t="shared" si="10"/>
        <v>278261.7</v>
      </c>
      <c r="AE26" s="2">
        <v>37449.300000000003</v>
      </c>
      <c r="AF26" s="2">
        <f t="shared" si="4"/>
        <v>315711</v>
      </c>
      <c r="AG26" s="24" t="s">
        <v>41</v>
      </c>
      <c r="AH26" s="34" t="s">
        <v>118</v>
      </c>
      <c r="AI26" s="35">
        <v>227036.25</v>
      </c>
      <c r="AJ26" s="36">
        <v>34723.18</v>
      </c>
      <c r="AK26" s="28">
        <f t="shared" si="6"/>
        <v>9486.2000000000116</v>
      </c>
      <c r="AL26" s="28">
        <f t="shared" si="7"/>
        <v>1450.8399999999965</v>
      </c>
      <c r="AM26" s="29">
        <f t="shared" si="8"/>
        <v>0.95989302495386797</v>
      </c>
    </row>
    <row r="27" spans="1:39" ht="192" customHeight="1" x14ac:dyDescent="0.25">
      <c r="A27" s="10">
        <v>24</v>
      </c>
      <c r="B27" s="37">
        <v>118515</v>
      </c>
      <c r="C27" s="20">
        <v>429</v>
      </c>
      <c r="D27" s="15" t="s">
        <v>54</v>
      </c>
      <c r="E27" s="14" t="s">
        <v>55</v>
      </c>
      <c r="F27" s="15" t="s">
        <v>119</v>
      </c>
      <c r="G27" s="20" t="s">
        <v>115</v>
      </c>
      <c r="H27" s="20" t="s">
        <v>35</v>
      </c>
      <c r="I27" s="15" t="s">
        <v>120</v>
      </c>
      <c r="J27" s="30">
        <v>43333</v>
      </c>
      <c r="K27" s="30">
        <v>43820</v>
      </c>
      <c r="L27" s="31">
        <f t="shared" si="0"/>
        <v>85</v>
      </c>
      <c r="M27" s="20">
        <v>1</v>
      </c>
      <c r="N27" s="20" t="s">
        <v>117</v>
      </c>
      <c r="O27" s="20" t="s">
        <v>117</v>
      </c>
      <c r="P27" s="30" t="s">
        <v>39</v>
      </c>
      <c r="Q27" s="20" t="s">
        <v>40</v>
      </c>
      <c r="R27" s="2">
        <f t="shared" si="17"/>
        <v>339452.6</v>
      </c>
      <c r="S27" s="35">
        <v>339452.6</v>
      </c>
      <c r="T27" s="35">
        <v>0</v>
      </c>
      <c r="U27" s="33">
        <f t="shared" si="2"/>
        <v>51916.28</v>
      </c>
      <c r="V27" s="35">
        <v>51916.28</v>
      </c>
      <c r="W27" s="41">
        <v>0</v>
      </c>
      <c r="X27" s="33">
        <f t="shared" si="9"/>
        <v>7987.12</v>
      </c>
      <c r="Y27" s="35">
        <v>7987.12</v>
      </c>
      <c r="Z27" s="35">
        <v>0</v>
      </c>
      <c r="AA27" s="2">
        <f t="shared" si="16"/>
        <v>0</v>
      </c>
      <c r="AB27" s="2">
        <v>0</v>
      </c>
      <c r="AC27" s="2">
        <v>0</v>
      </c>
      <c r="AD27" s="2">
        <f t="shared" si="10"/>
        <v>399356</v>
      </c>
      <c r="AE27" s="2">
        <v>58024.99</v>
      </c>
      <c r="AF27" s="2">
        <f t="shared" si="4"/>
        <v>457380.99</v>
      </c>
      <c r="AG27" s="39" t="s">
        <v>41</v>
      </c>
      <c r="AH27" s="34" t="s">
        <v>35</v>
      </c>
      <c r="AI27" s="35">
        <v>321570.08</v>
      </c>
      <c r="AJ27" s="36">
        <v>49181.31</v>
      </c>
      <c r="AK27" s="28">
        <f t="shared" si="6"/>
        <v>17882.51999999996</v>
      </c>
      <c r="AL27" s="28">
        <f t="shared" si="7"/>
        <v>2734.9700000000012</v>
      </c>
      <c r="AM27" s="29">
        <f t="shared" si="8"/>
        <v>0.94731953739638475</v>
      </c>
    </row>
    <row r="28" spans="1:39" ht="192" customHeight="1" x14ac:dyDescent="0.25">
      <c r="A28" s="10">
        <v>25</v>
      </c>
      <c r="B28" s="37">
        <v>126161</v>
      </c>
      <c r="C28" s="20">
        <v>571</v>
      </c>
      <c r="D28" s="15" t="s">
        <v>31</v>
      </c>
      <c r="E28" s="14" t="s">
        <v>65</v>
      </c>
      <c r="F28" s="15" t="s">
        <v>121</v>
      </c>
      <c r="G28" s="20" t="s">
        <v>122</v>
      </c>
      <c r="H28" s="20" t="s">
        <v>35</v>
      </c>
      <c r="I28" s="15" t="s">
        <v>123</v>
      </c>
      <c r="J28" s="30">
        <v>43444</v>
      </c>
      <c r="K28" s="30">
        <v>44265</v>
      </c>
      <c r="L28" s="31">
        <f t="shared" si="0"/>
        <v>84.999999835393808</v>
      </c>
      <c r="M28" s="20">
        <v>1</v>
      </c>
      <c r="N28" s="20" t="s">
        <v>117</v>
      </c>
      <c r="O28" s="20" t="s">
        <v>117</v>
      </c>
      <c r="P28" s="30" t="s">
        <v>39</v>
      </c>
      <c r="Q28" s="20" t="s">
        <v>40</v>
      </c>
      <c r="R28" s="2">
        <f t="shared" si="17"/>
        <v>2323727.9300000002</v>
      </c>
      <c r="S28" s="35">
        <v>2323727.9300000002</v>
      </c>
      <c r="T28" s="35">
        <v>0</v>
      </c>
      <c r="U28" s="33">
        <f t="shared" si="2"/>
        <v>355393.68</v>
      </c>
      <c r="V28" s="35">
        <v>355393.68</v>
      </c>
      <c r="W28" s="41">
        <v>0</v>
      </c>
      <c r="X28" s="33">
        <f t="shared" si="9"/>
        <v>54675.96</v>
      </c>
      <c r="Y28" s="35">
        <v>54675.96</v>
      </c>
      <c r="Z28" s="35">
        <v>0</v>
      </c>
      <c r="AA28" s="2">
        <f t="shared" si="16"/>
        <v>0</v>
      </c>
      <c r="AB28" s="2">
        <v>0</v>
      </c>
      <c r="AC28" s="2">
        <v>0</v>
      </c>
      <c r="AD28" s="2">
        <f t="shared" si="10"/>
        <v>2733797.5700000003</v>
      </c>
      <c r="AE28" s="2">
        <v>80920</v>
      </c>
      <c r="AF28" s="2">
        <f t="shared" si="4"/>
        <v>2814717.5700000003</v>
      </c>
      <c r="AG28" s="39" t="s">
        <v>69</v>
      </c>
      <c r="AH28" s="34"/>
      <c r="AI28" s="35">
        <v>250763.77000000002</v>
      </c>
      <c r="AJ28" s="36">
        <v>38352.11</v>
      </c>
      <c r="AK28" s="28">
        <f t="shared" si="6"/>
        <v>2072964.1600000001</v>
      </c>
      <c r="AL28" s="28">
        <f t="shared" si="7"/>
        <v>317041.57</v>
      </c>
      <c r="AM28" s="29">
        <f t="shared" si="8"/>
        <v>0.10791442783062817</v>
      </c>
    </row>
    <row r="29" spans="1:39" ht="192" customHeight="1" x14ac:dyDescent="0.25">
      <c r="A29" s="10">
        <v>26</v>
      </c>
      <c r="B29" s="37">
        <v>128880</v>
      </c>
      <c r="C29" s="20">
        <v>652</v>
      </c>
      <c r="D29" s="15" t="s">
        <v>31</v>
      </c>
      <c r="E29" s="14" t="s">
        <v>79</v>
      </c>
      <c r="F29" s="15" t="s">
        <v>124</v>
      </c>
      <c r="G29" s="20" t="s">
        <v>115</v>
      </c>
      <c r="H29" s="20" t="s">
        <v>35</v>
      </c>
      <c r="I29" s="15" t="s">
        <v>125</v>
      </c>
      <c r="J29" s="30">
        <v>43643</v>
      </c>
      <c r="K29" s="30">
        <v>44374</v>
      </c>
      <c r="L29" s="31">
        <f t="shared" si="0"/>
        <v>85</v>
      </c>
      <c r="M29" s="20">
        <v>1</v>
      </c>
      <c r="N29" s="20" t="s">
        <v>117</v>
      </c>
      <c r="O29" s="20" t="s">
        <v>117</v>
      </c>
      <c r="P29" s="30" t="s">
        <v>39</v>
      </c>
      <c r="Q29" s="20" t="s">
        <v>40</v>
      </c>
      <c r="R29" s="2">
        <f>S29+T29</f>
        <v>2545487.35</v>
      </c>
      <c r="S29" s="35">
        <v>2545487.35</v>
      </c>
      <c r="T29" s="35">
        <v>0</v>
      </c>
      <c r="U29" s="33">
        <f t="shared" si="2"/>
        <v>389309.83</v>
      </c>
      <c r="V29" s="35">
        <v>389309.83</v>
      </c>
      <c r="W29" s="35">
        <v>0</v>
      </c>
      <c r="X29" s="33">
        <f t="shared" si="9"/>
        <v>59893.82</v>
      </c>
      <c r="Y29" s="35">
        <v>59893.82</v>
      </c>
      <c r="Z29" s="35">
        <v>0</v>
      </c>
      <c r="AA29" s="2">
        <f>AB29+AC29</f>
        <v>0</v>
      </c>
      <c r="AB29" s="33">
        <v>0</v>
      </c>
      <c r="AC29" s="33">
        <v>0</v>
      </c>
      <c r="AD29" s="2">
        <f t="shared" si="10"/>
        <v>2994691</v>
      </c>
      <c r="AE29" s="2">
        <v>0</v>
      </c>
      <c r="AF29" s="2">
        <f t="shared" si="4"/>
        <v>2994691</v>
      </c>
      <c r="AG29" s="39" t="s">
        <v>69</v>
      </c>
      <c r="AH29" s="34"/>
      <c r="AI29" s="35">
        <f>36393.57+45074.65+33467.9+14357.35+42214.4</f>
        <v>171507.87</v>
      </c>
      <c r="AJ29" s="36">
        <f>5566.07+6893.77+5118.62+2195.83+6456.32</f>
        <v>26230.61</v>
      </c>
      <c r="AK29" s="28">
        <f t="shared" si="6"/>
        <v>2373979.48</v>
      </c>
      <c r="AL29" s="28">
        <f t="shared" si="7"/>
        <v>363079.22000000003</v>
      </c>
      <c r="AM29" s="29">
        <f t="shared" si="8"/>
        <v>6.7377223461746918E-2</v>
      </c>
    </row>
    <row r="30" spans="1:39" ht="192" customHeight="1" x14ac:dyDescent="0.25">
      <c r="A30" s="10">
        <v>27</v>
      </c>
      <c r="B30" s="37">
        <v>120769</v>
      </c>
      <c r="C30" s="20">
        <v>96</v>
      </c>
      <c r="D30" s="15" t="s">
        <v>31</v>
      </c>
      <c r="E30" s="14" t="s">
        <v>32</v>
      </c>
      <c r="F30" s="15" t="s">
        <v>126</v>
      </c>
      <c r="G30" s="15" t="s">
        <v>127</v>
      </c>
      <c r="H30" s="20" t="s">
        <v>128</v>
      </c>
      <c r="I30" s="61" t="s">
        <v>129</v>
      </c>
      <c r="J30" s="30">
        <v>43186</v>
      </c>
      <c r="K30" s="30">
        <v>43673</v>
      </c>
      <c r="L30" s="31">
        <f t="shared" si="0"/>
        <v>84.154097257132506</v>
      </c>
      <c r="M30" s="20">
        <v>1</v>
      </c>
      <c r="N30" s="20" t="s">
        <v>117</v>
      </c>
      <c r="O30" s="20" t="s">
        <v>117</v>
      </c>
      <c r="P30" s="32" t="s">
        <v>39</v>
      </c>
      <c r="Q30" s="20" t="s">
        <v>40</v>
      </c>
      <c r="R30" s="2">
        <f t="shared" ref="R30:R41" si="18">S30+T30</f>
        <v>357519.4</v>
      </c>
      <c r="S30" s="2">
        <v>357519.4</v>
      </c>
      <c r="T30" s="2">
        <v>0</v>
      </c>
      <c r="U30" s="33">
        <f t="shared" si="2"/>
        <v>58822.79</v>
      </c>
      <c r="V30" s="2">
        <v>58822.79</v>
      </c>
      <c r="W30" s="2">
        <v>0</v>
      </c>
      <c r="X30" s="33">
        <f t="shared" si="9"/>
        <v>8496.7800000000007</v>
      </c>
      <c r="Y30" s="2">
        <v>8496.7800000000007</v>
      </c>
      <c r="Z30" s="2">
        <v>0</v>
      </c>
      <c r="AA30" s="2">
        <f t="shared" ref="AA30" si="19">AB30+AC30</f>
        <v>0</v>
      </c>
      <c r="AB30" s="2">
        <v>0</v>
      </c>
      <c r="AC30" s="2">
        <v>0</v>
      </c>
      <c r="AD30" s="2">
        <f t="shared" si="10"/>
        <v>424838.97000000003</v>
      </c>
      <c r="AE30" s="2">
        <v>0</v>
      </c>
      <c r="AF30" s="2">
        <f t="shared" si="4"/>
        <v>424838.97000000003</v>
      </c>
      <c r="AG30" s="24" t="s">
        <v>41</v>
      </c>
      <c r="AH30" s="34" t="s">
        <v>35</v>
      </c>
      <c r="AI30" s="35">
        <v>328987.4200000001</v>
      </c>
      <c r="AJ30" s="36">
        <v>54146.78</v>
      </c>
      <c r="AK30" s="28">
        <f t="shared" si="6"/>
        <v>28531.979999999923</v>
      </c>
      <c r="AL30" s="28">
        <f t="shared" si="7"/>
        <v>4676.010000000002</v>
      </c>
      <c r="AM30" s="29">
        <f t="shared" si="8"/>
        <v>0.92019459643308887</v>
      </c>
    </row>
    <row r="31" spans="1:39" ht="192" customHeight="1" x14ac:dyDescent="0.25">
      <c r="A31" s="10">
        <v>28</v>
      </c>
      <c r="B31" s="37">
        <v>128863</v>
      </c>
      <c r="C31" s="20">
        <v>638</v>
      </c>
      <c r="D31" s="15" t="s">
        <v>31</v>
      </c>
      <c r="E31" s="14" t="s">
        <v>79</v>
      </c>
      <c r="F31" s="15" t="s">
        <v>130</v>
      </c>
      <c r="G31" s="15" t="s">
        <v>131</v>
      </c>
      <c r="H31" s="20" t="s">
        <v>132</v>
      </c>
      <c r="I31" s="61" t="s">
        <v>133</v>
      </c>
      <c r="J31" s="30">
        <v>43679</v>
      </c>
      <c r="K31" s="30">
        <v>44257</v>
      </c>
      <c r="L31" s="31">
        <f t="shared" si="0"/>
        <v>84.99999967540424</v>
      </c>
      <c r="M31" s="20">
        <v>1</v>
      </c>
      <c r="N31" s="20" t="s">
        <v>117</v>
      </c>
      <c r="O31" s="20" t="s">
        <v>134</v>
      </c>
      <c r="P31" s="32" t="s">
        <v>39</v>
      </c>
      <c r="Q31" s="20" t="s">
        <v>40</v>
      </c>
      <c r="R31" s="2">
        <f t="shared" si="18"/>
        <v>2356777.4300000002</v>
      </c>
      <c r="S31" s="2">
        <v>2356777.4300000002</v>
      </c>
      <c r="T31" s="2">
        <v>0</v>
      </c>
      <c r="U31" s="33">
        <f t="shared" si="2"/>
        <v>360448.32</v>
      </c>
      <c r="V31" s="2">
        <v>360448.32</v>
      </c>
      <c r="W31" s="2">
        <v>0</v>
      </c>
      <c r="X31" s="33">
        <f t="shared" si="9"/>
        <v>55453.59</v>
      </c>
      <c r="Y31" s="2">
        <v>55453.59</v>
      </c>
      <c r="Z31" s="2">
        <v>0</v>
      </c>
      <c r="AA31" s="2">
        <v>0</v>
      </c>
      <c r="AB31" s="2">
        <v>0</v>
      </c>
      <c r="AC31" s="2">
        <v>0</v>
      </c>
      <c r="AD31" s="2">
        <f t="shared" si="10"/>
        <v>2772679.34</v>
      </c>
      <c r="AE31" s="2">
        <v>0</v>
      </c>
      <c r="AF31" s="2">
        <f t="shared" si="4"/>
        <v>2772679.34</v>
      </c>
      <c r="AG31" s="39" t="s">
        <v>69</v>
      </c>
      <c r="AH31" s="34" t="s">
        <v>35</v>
      </c>
      <c r="AI31" s="35">
        <v>2811.97</v>
      </c>
      <c r="AJ31" s="36">
        <v>430.07</v>
      </c>
      <c r="AK31" s="28">
        <f t="shared" si="6"/>
        <v>2353965.46</v>
      </c>
      <c r="AL31" s="28">
        <f t="shared" si="7"/>
        <v>360018.25</v>
      </c>
      <c r="AM31" s="29">
        <f t="shared" si="8"/>
        <v>1.1931419421306998E-3</v>
      </c>
    </row>
    <row r="32" spans="1:39" ht="192" customHeight="1" x14ac:dyDescent="0.25">
      <c r="A32" s="10">
        <v>29</v>
      </c>
      <c r="B32" s="37">
        <v>135485</v>
      </c>
      <c r="C32" s="20">
        <v>790</v>
      </c>
      <c r="D32" s="46" t="s">
        <v>31</v>
      </c>
      <c r="E32" s="14" t="s">
        <v>1826</v>
      </c>
      <c r="F32" s="15" t="s">
        <v>1829</v>
      </c>
      <c r="G32" s="15" t="s">
        <v>131</v>
      </c>
      <c r="H32" s="20" t="s">
        <v>132</v>
      </c>
      <c r="I32" s="16" t="s">
        <v>1830</v>
      </c>
      <c r="J32" s="30">
        <v>43949</v>
      </c>
      <c r="K32" s="30">
        <v>44497</v>
      </c>
      <c r="L32" s="31">
        <f t="shared" si="0"/>
        <v>85.000000501922628</v>
      </c>
      <c r="M32" s="20">
        <v>1</v>
      </c>
      <c r="N32" s="20" t="s">
        <v>117</v>
      </c>
      <c r="O32" s="20" t="s">
        <v>134</v>
      </c>
      <c r="P32" s="32" t="s">
        <v>39</v>
      </c>
      <c r="Q32" s="20" t="s">
        <v>1831</v>
      </c>
      <c r="R32" s="2">
        <f t="shared" si="18"/>
        <v>2540232.2400000002</v>
      </c>
      <c r="S32" s="2">
        <v>2540232.2400000002</v>
      </c>
      <c r="T32" s="2">
        <v>0</v>
      </c>
      <c r="U32" s="33">
        <f t="shared" si="2"/>
        <v>388506.09</v>
      </c>
      <c r="V32" s="2">
        <v>388506.09</v>
      </c>
      <c r="W32" s="2">
        <v>0</v>
      </c>
      <c r="X32" s="33">
        <f t="shared" si="9"/>
        <v>59770.17</v>
      </c>
      <c r="Y32" s="2">
        <v>59770.17</v>
      </c>
      <c r="Z32" s="2">
        <v>0</v>
      </c>
      <c r="AA32" s="2">
        <v>0</v>
      </c>
      <c r="AB32" s="2">
        <v>0</v>
      </c>
      <c r="AC32" s="2">
        <v>0</v>
      </c>
      <c r="AD32" s="2">
        <f t="shared" si="10"/>
        <v>2988508.5</v>
      </c>
      <c r="AE32" s="2"/>
      <c r="AF32" s="2">
        <f t="shared" si="4"/>
        <v>2988508.5</v>
      </c>
      <c r="AG32" s="39" t="s">
        <v>69</v>
      </c>
      <c r="AH32" s="34" t="s">
        <v>35</v>
      </c>
      <c r="AI32" s="35">
        <v>0</v>
      </c>
      <c r="AJ32" s="36">
        <v>0</v>
      </c>
      <c r="AK32" s="28">
        <f t="shared" si="6"/>
        <v>2540232.2400000002</v>
      </c>
      <c r="AL32" s="28">
        <f t="shared" si="7"/>
        <v>388506.09</v>
      </c>
      <c r="AM32" s="29">
        <f t="shared" si="8"/>
        <v>0</v>
      </c>
    </row>
    <row r="33" spans="1:39" ht="192" customHeight="1" x14ac:dyDescent="0.25">
      <c r="A33" s="10">
        <v>30</v>
      </c>
      <c r="B33" s="37">
        <v>122823</v>
      </c>
      <c r="C33" s="20">
        <v>71</v>
      </c>
      <c r="D33" s="15" t="s">
        <v>31</v>
      </c>
      <c r="E33" s="14" t="s">
        <v>32</v>
      </c>
      <c r="F33" s="62" t="s">
        <v>135</v>
      </c>
      <c r="G33" s="15" t="s">
        <v>136</v>
      </c>
      <c r="H33" s="20" t="s">
        <v>35</v>
      </c>
      <c r="I33" s="16" t="s">
        <v>137</v>
      </c>
      <c r="J33" s="30">
        <v>43244</v>
      </c>
      <c r="K33" s="30">
        <v>43823</v>
      </c>
      <c r="L33" s="31">
        <f t="shared" si="0"/>
        <v>85.000001791562255</v>
      </c>
      <c r="M33" s="20">
        <v>6</v>
      </c>
      <c r="N33" s="15" t="s">
        <v>138</v>
      </c>
      <c r="O33" s="15" t="s">
        <v>139</v>
      </c>
      <c r="P33" s="62" t="s">
        <v>39</v>
      </c>
      <c r="Q33" s="15" t="s">
        <v>40</v>
      </c>
      <c r="R33" s="2">
        <f t="shared" si="18"/>
        <v>355834.7</v>
      </c>
      <c r="S33" s="35">
        <v>355834.7</v>
      </c>
      <c r="T33" s="2">
        <v>0</v>
      </c>
      <c r="U33" s="33">
        <f t="shared" si="2"/>
        <v>54421.769999999982</v>
      </c>
      <c r="V33" s="35">
        <v>54421.769999999982</v>
      </c>
      <c r="W33" s="59">
        <v>0</v>
      </c>
      <c r="X33" s="33">
        <f t="shared" si="9"/>
        <v>8372.58</v>
      </c>
      <c r="Y33" s="52">
        <v>8372.58</v>
      </c>
      <c r="Z33" s="60">
        <v>0</v>
      </c>
      <c r="AA33" s="2">
        <v>0</v>
      </c>
      <c r="AB33" s="2">
        <v>0</v>
      </c>
      <c r="AC33" s="2">
        <v>0</v>
      </c>
      <c r="AD33" s="2">
        <f t="shared" si="10"/>
        <v>418629.05</v>
      </c>
      <c r="AE33" s="2">
        <v>0</v>
      </c>
      <c r="AF33" s="2">
        <f t="shared" si="4"/>
        <v>418629.05</v>
      </c>
      <c r="AG33" s="39" t="s">
        <v>41</v>
      </c>
      <c r="AH33" s="34" t="s">
        <v>140</v>
      </c>
      <c r="AI33" s="35">
        <v>317160.34000000008</v>
      </c>
      <c r="AJ33" s="36">
        <f>32329.21+5317.87+5421.22+5438.54</f>
        <v>48506.840000000004</v>
      </c>
      <c r="AK33" s="28">
        <f t="shared" si="6"/>
        <v>38674.359999999928</v>
      </c>
      <c r="AL33" s="28">
        <f t="shared" si="7"/>
        <v>5914.9299999999785</v>
      </c>
      <c r="AM33" s="29">
        <f t="shared" si="8"/>
        <v>0.89131369144156003</v>
      </c>
    </row>
    <row r="34" spans="1:39" ht="192" customHeight="1" x14ac:dyDescent="0.25">
      <c r="A34" s="10">
        <v>31</v>
      </c>
      <c r="B34" s="63">
        <v>119767</v>
      </c>
      <c r="C34" s="63">
        <v>475</v>
      </c>
      <c r="D34" s="20" t="s">
        <v>47</v>
      </c>
      <c r="E34" s="14" t="s">
        <v>48</v>
      </c>
      <c r="F34" s="62" t="s">
        <v>141</v>
      </c>
      <c r="G34" s="62" t="s">
        <v>142</v>
      </c>
      <c r="H34" s="20" t="s">
        <v>35</v>
      </c>
      <c r="I34" s="16" t="s">
        <v>143</v>
      </c>
      <c r="J34" s="30">
        <v>43306</v>
      </c>
      <c r="K34" s="30">
        <v>43976</v>
      </c>
      <c r="L34" s="31">
        <f t="shared" si="0"/>
        <v>85.000000000000014</v>
      </c>
      <c r="M34" s="20">
        <v>6</v>
      </c>
      <c r="N34" s="30" t="s">
        <v>138</v>
      </c>
      <c r="O34" s="30" t="s">
        <v>144</v>
      </c>
      <c r="P34" s="30" t="s">
        <v>39</v>
      </c>
      <c r="Q34" s="20" t="s">
        <v>40</v>
      </c>
      <c r="R34" s="2">
        <f t="shared" si="18"/>
        <v>518392.9</v>
      </c>
      <c r="S34" s="2">
        <v>518392.9</v>
      </c>
      <c r="T34" s="2">
        <v>0</v>
      </c>
      <c r="U34" s="33">
        <f t="shared" si="2"/>
        <v>79283.62</v>
      </c>
      <c r="V34" s="35">
        <v>79283.62</v>
      </c>
      <c r="W34" s="59">
        <v>0</v>
      </c>
      <c r="X34" s="33">
        <f t="shared" si="9"/>
        <v>12197.48</v>
      </c>
      <c r="Y34" s="64">
        <v>12197.48</v>
      </c>
      <c r="Z34" s="60">
        <v>0</v>
      </c>
      <c r="AA34" s="2">
        <f t="shared" si="16"/>
        <v>0</v>
      </c>
      <c r="AB34" s="2">
        <v>0</v>
      </c>
      <c r="AC34" s="2">
        <v>0</v>
      </c>
      <c r="AD34" s="2">
        <f t="shared" si="10"/>
        <v>609874</v>
      </c>
      <c r="AE34" s="2">
        <v>0</v>
      </c>
      <c r="AF34" s="2">
        <f t="shared" si="4"/>
        <v>609874</v>
      </c>
      <c r="AG34" s="39" t="s">
        <v>69</v>
      </c>
      <c r="AH34" s="34" t="s">
        <v>145</v>
      </c>
      <c r="AI34" s="35">
        <v>446121.14</v>
      </c>
      <c r="AJ34" s="36">
        <v>68230.290000000008</v>
      </c>
      <c r="AK34" s="28">
        <f t="shared" si="6"/>
        <v>72271.760000000009</v>
      </c>
      <c r="AL34" s="28">
        <f t="shared" si="7"/>
        <v>11053.329999999987</v>
      </c>
      <c r="AM34" s="29">
        <f t="shared" si="8"/>
        <v>0.86058497328956474</v>
      </c>
    </row>
    <row r="35" spans="1:39" ht="192" customHeight="1" x14ac:dyDescent="0.25">
      <c r="A35" s="10">
        <v>32</v>
      </c>
      <c r="B35" s="63">
        <v>129383</v>
      </c>
      <c r="C35" s="63">
        <v>685</v>
      </c>
      <c r="D35" s="15" t="s">
        <v>31</v>
      </c>
      <c r="E35" s="14" t="s">
        <v>79</v>
      </c>
      <c r="F35" s="62" t="s">
        <v>146</v>
      </c>
      <c r="G35" s="62" t="s">
        <v>147</v>
      </c>
      <c r="H35" s="20" t="s">
        <v>132</v>
      </c>
      <c r="I35" s="16" t="s">
        <v>148</v>
      </c>
      <c r="J35" s="30">
        <v>43657</v>
      </c>
      <c r="K35" s="30">
        <v>44207</v>
      </c>
      <c r="L35" s="31">
        <f t="shared" si="0"/>
        <v>85.000000150473397</v>
      </c>
      <c r="M35" s="20">
        <v>6</v>
      </c>
      <c r="N35" s="30" t="s">
        <v>138</v>
      </c>
      <c r="O35" s="30" t="s">
        <v>149</v>
      </c>
      <c r="P35" s="30" t="s">
        <v>39</v>
      </c>
      <c r="Q35" s="20" t="s">
        <v>40</v>
      </c>
      <c r="R35" s="2">
        <f t="shared" si="18"/>
        <v>2541977.39</v>
      </c>
      <c r="S35" s="2">
        <v>2541977.39</v>
      </c>
      <c r="T35" s="2">
        <v>0</v>
      </c>
      <c r="U35" s="33">
        <f t="shared" si="2"/>
        <v>388773.02</v>
      </c>
      <c r="V35" s="35">
        <v>388773.02</v>
      </c>
      <c r="W35" s="59">
        <v>0</v>
      </c>
      <c r="X35" s="33">
        <f t="shared" si="9"/>
        <v>59811.22</v>
      </c>
      <c r="Y35" s="64">
        <v>59811.22</v>
      </c>
      <c r="Z35" s="60">
        <v>0</v>
      </c>
      <c r="AA35" s="2">
        <v>0</v>
      </c>
      <c r="AB35" s="2">
        <v>0</v>
      </c>
      <c r="AC35" s="2">
        <v>0</v>
      </c>
      <c r="AD35" s="2">
        <f t="shared" si="10"/>
        <v>2990561.6300000004</v>
      </c>
      <c r="AE35" s="2">
        <v>0</v>
      </c>
      <c r="AF35" s="2">
        <f t="shared" si="4"/>
        <v>2990561.6300000004</v>
      </c>
      <c r="AG35" s="39" t="s">
        <v>69</v>
      </c>
      <c r="AH35" s="34"/>
      <c r="AI35" s="35">
        <f>130989.25</f>
        <v>130989.25</v>
      </c>
      <c r="AJ35" s="36">
        <f>20033.65</f>
        <v>20033.650000000001</v>
      </c>
      <c r="AK35" s="28">
        <f t="shared" si="6"/>
        <v>2410988.14</v>
      </c>
      <c r="AL35" s="28">
        <f t="shared" si="7"/>
        <v>368739.37</v>
      </c>
      <c r="AM35" s="29">
        <f t="shared" si="8"/>
        <v>5.153045440738558E-2</v>
      </c>
    </row>
    <row r="36" spans="1:39" ht="192" customHeight="1" x14ac:dyDescent="0.25">
      <c r="A36" s="10">
        <v>33</v>
      </c>
      <c r="B36" s="63">
        <v>129525</v>
      </c>
      <c r="C36" s="63">
        <v>678</v>
      </c>
      <c r="D36" s="15" t="s">
        <v>31</v>
      </c>
      <c r="E36" s="14" t="s">
        <v>79</v>
      </c>
      <c r="F36" s="62" t="s">
        <v>1852</v>
      </c>
      <c r="G36" s="62" t="s">
        <v>142</v>
      </c>
      <c r="H36" s="20" t="s">
        <v>35</v>
      </c>
      <c r="I36" s="16" t="s">
        <v>1853</v>
      </c>
      <c r="J36" s="30">
        <v>43724</v>
      </c>
      <c r="K36" s="30">
        <v>44636</v>
      </c>
      <c r="L36" s="31">
        <f t="shared" si="0"/>
        <v>85.000000715914808</v>
      </c>
      <c r="M36" s="20">
        <v>6</v>
      </c>
      <c r="N36" s="30" t="s">
        <v>138</v>
      </c>
      <c r="O36" s="30" t="s">
        <v>149</v>
      </c>
      <c r="P36" s="30" t="s">
        <v>39</v>
      </c>
      <c r="Q36" s="20" t="s">
        <v>40</v>
      </c>
      <c r="R36" s="2">
        <f t="shared" si="18"/>
        <v>2255855.02</v>
      </c>
      <c r="S36" s="2">
        <v>2255855.02</v>
      </c>
      <c r="T36" s="2">
        <v>0</v>
      </c>
      <c r="U36" s="33">
        <f t="shared" si="2"/>
        <v>345013.09</v>
      </c>
      <c r="V36" s="35">
        <v>345013.09</v>
      </c>
      <c r="W36" s="59">
        <v>0</v>
      </c>
      <c r="X36" s="33">
        <f t="shared" si="9"/>
        <v>53078.95</v>
      </c>
      <c r="Y36" s="64">
        <v>53078.95</v>
      </c>
      <c r="Z36" s="60">
        <v>0</v>
      </c>
      <c r="AA36" s="2">
        <v>0</v>
      </c>
      <c r="AB36" s="2">
        <v>0</v>
      </c>
      <c r="AC36" s="2">
        <v>0</v>
      </c>
      <c r="AD36" s="2">
        <f t="shared" si="10"/>
        <v>2653947.06</v>
      </c>
      <c r="AE36" s="2">
        <v>0</v>
      </c>
      <c r="AF36" s="2">
        <f t="shared" si="4"/>
        <v>2653947.06</v>
      </c>
      <c r="AG36" s="39" t="s">
        <v>69</v>
      </c>
      <c r="AH36" s="34" t="s">
        <v>132</v>
      </c>
      <c r="AI36" s="35">
        <f>210000-16810.94-18.2</f>
        <v>193170.86</v>
      </c>
      <c r="AJ36" s="36">
        <f>16810.94+18.2</f>
        <v>16829.14</v>
      </c>
      <c r="AK36" s="28">
        <f t="shared" si="6"/>
        <v>2062684.1600000001</v>
      </c>
      <c r="AL36" s="28">
        <f t="shared" si="7"/>
        <v>328183.95</v>
      </c>
      <c r="AM36" s="29">
        <f t="shared" si="8"/>
        <v>8.5630884204606364E-2</v>
      </c>
    </row>
    <row r="37" spans="1:39" ht="192" customHeight="1" x14ac:dyDescent="0.25">
      <c r="A37" s="10">
        <v>34</v>
      </c>
      <c r="B37" s="37">
        <v>120599</v>
      </c>
      <c r="C37" s="20">
        <v>75</v>
      </c>
      <c r="D37" s="15" t="s">
        <v>31</v>
      </c>
      <c r="E37" s="14" t="s">
        <v>32</v>
      </c>
      <c r="F37" s="62" t="s">
        <v>150</v>
      </c>
      <c r="G37" s="15" t="s">
        <v>151</v>
      </c>
      <c r="H37" s="20" t="s">
        <v>35</v>
      </c>
      <c r="I37" s="62" t="s">
        <v>152</v>
      </c>
      <c r="J37" s="30">
        <v>43145</v>
      </c>
      <c r="K37" s="30">
        <v>43813</v>
      </c>
      <c r="L37" s="31">
        <f t="shared" si="0"/>
        <v>84.999998786570643</v>
      </c>
      <c r="M37" s="20">
        <v>6</v>
      </c>
      <c r="N37" s="15" t="s">
        <v>153</v>
      </c>
      <c r="O37" s="15" t="s">
        <v>154</v>
      </c>
      <c r="P37" s="62" t="s">
        <v>39</v>
      </c>
      <c r="Q37" s="15" t="s">
        <v>40</v>
      </c>
      <c r="R37" s="2">
        <f t="shared" si="18"/>
        <v>350247</v>
      </c>
      <c r="S37" s="2">
        <v>350247</v>
      </c>
      <c r="T37" s="2">
        <v>0</v>
      </c>
      <c r="U37" s="33">
        <f t="shared" si="2"/>
        <v>53567.19</v>
      </c>
      <c r="V37" s="35">
        <v>53567.19</v>
      </c>
      <c r="W37" s="59">
        <v>0</v>
      </c>
      <c r="X37" s="33">
        <f t="shared" si="9"/>
        <v>8241.11</v>
      </c>
      <c r="Y37" s="64">
        <v>8241.11</v>
      </c>
      <c r="Z37" s="33">
        <v>0</v>
      </c>
      <c r="AA37" s="2">
        <v>0</v>
      </c>
      <c r="AB37" s="2">
        <v>0</v>
      </c>
      <c r="AC37" s="2">
        <v>0</v>
      </c>
      <c r="AD37" s="2">
        <f>R37+U37+X37+AA37</f>
        <v>412055.3</v>
      </c>
      <c r="AE37" s="2">
        <v>0</v>
      </c>
      <c r="AF37" s="2">
        <f t="shared" si="4"/>
        <v>412055.3</v>
      </c>
      <c r="AG37" s="24" t="s">
        <v>41</v>
      </c>
      <c r="AH37" s="34" t="s">
        <v>155</v>
      </c>
      <c r="AI37" s="35">
        <v>299284.74</v>
      </c>
      <c r="AJ37" s="36">
        <v>45772.95</v>
      </c>
      <c r="AK37" s="28">
        <f t="shared" si="6"/>
        <v>50962.260000000009</v>
      </c>
      <c r="AL37" s="28">
        <f t="shared" si="7"/>
        <v>7794.2400000000052</v>
      </c>
      <c r="AM37" s="29">
        <f t="shared" si="8"/>
        <v>0.85449622694841065</v>
      </c>
    </row>
    <row r="38" spans="1:39" ht="192" customHeight="1" x14ac:dyDescent="0.25">
      <c r="A38" s="10">
        <v>35</v>
      </c>
      <c r="B38" s="37">
        <v>128636</v>
      </c>
      <c r="C38" s="20">
        <v>687</v>
      </c>
      <c r="D38" s="20" t="s">
        <v>47</v>
      </c>
      <c r="E38" s="14" t="s">
        <v>79</v>
      </c>
      <c r="F38" s="65" t="s">
        <v>156</v>
      </c>
      <c r="G38" s="15" t="s">
        <v>151</v>
      </c>
      <c r="H38" s="20" t="s">
        <v>35</v>
      </c>
      <c r="I38" s="62" t="s">
        <v>157</v>
      </c>
      <c r="J38" s="30">
        <v>43739</v>
      </c>
      <c r="K38" s="30">
        <v>44197</v>
      </c>
      <c r="L38" s="31">
        <f t="shared" si="0"/>
        <v>85</v>
      </c>
      <c r="M38" s="20">
        <v>6</v>
      </c>
      <c r="N38" s="15" t="s">
        <v>153</v>
      </c>
      <c r="O38" s="15" t="s">
        <v>154</v>
      </c>
      <c r="P38" s="62" t="s">
        <v>39</v>
      </c>
      <c r="Q38" s="15" t="s">
        <v>40</v>
      </c>
      <c r="R38" s="2">
        <f t="shared" si="18"/>
        <v>1364282.3</v>
      </c>
      <c r="S38" s="2">
        <v>1364282.3</v>
      </c>
      <c r="T38" s="2">
        <v>0</v>
      </c>
      <c r="U38" s="33">
        <f t="shared" si="2"/>
        <v>208654.94</v>
      </c>
      <c r="V38" s="35">
        <v>208654.94</v>
      </c>
      <c r="W38" s="59">
        <v>0</v>
      </c>
      <c r="X38" s="33">
        <f t="shared" si="9"/>
        <v>32100.76</v>
      </c>
      <c r="Y38" s="64">
        <v>32100.76</v>
      </c>
      <c r="Z38" s="33">
        <v>0</v>
      </c>
      <c r="AA38" s="2">
        <v>0</v>
      </c>
      <c r="AB38" s="2">
        <v>0</v>
      </c>
      <c r="AC38" s="2">
        <v>0</v>
      </c>
      <c r="AD38" s="2">
        <f>R38+U38+X38+AA38</f>
        <v>1605038</v>
      </c>
      <c r="AE38" s="2">
        <v>0</v>
      </c>
      <c r="AF38" s="2">
        <f t="shared" si="4"/>
        <v>1605038</v>
      </c>
      <c r="AG38" s="39" t="s">
        <v>69</v>
      </c>
      <c r="AH38" s="34"/>
      <c r="AI38" s="35">
        <v>50302.83</v>
      </c>
      <c r="AJ38" s="36">
        <v>7693.37</v>
      </c>
      <c r="AK38" s="28">
        <f t="shared" si="6"/>
        <v>1313979.47</v>
      </c>
      <c r="AL38" s="28">
        <f t="shared" si="7"/>
        <v>200961.57</v>
      </c>
      <c r="AM38" s="29">
        <f t="shared" si="8"/>
        <v>3.6871276567906806E-2</v>
      </c>
    </row>
    <row r="39" spans="1:39" ht="192" customHeight="1" x14ac:dyDescent="0.25">
      <c r="A39" s="10">
        <v>36</v>
      </c>
      <c r="B39" s="37">
        <v>129687</v>
      </c>
      <c r="C39" s="20">
        <v>667</v>
      </c>
      <c r="D39" s="20" t="s">
        <v>47</v>
      </c>
      <c r="E39" s="14" t="s">
        <v>79</v>
      </c>
      <c r="F39" s="65" t="s">
        <v>158</v>
      </c>
      <c r="G39" s="15" t="s">
        <v>159</v>
      </c>
      <c r="H39" s="20" t="str">
        <f>$H$37</f>
        <v>n.a</v>
      </c>
      <c r="I39" s="62" t="s">
        <v>160</v>
      </c>
      <c r="J39" s="30">
        <v>43654</v>
      </c>
      <c r="K39" s="30">
        <v>44385</v>
      </c>
      <c r="L39" s="31">
        <f t="shared" si="0"/>
        <v>85</v>
      </c>
      <c r="M39" s="20">
        <f>$M$37</f>
        <v>6</v>
      </c>
      <c r="N39" s="15" t="str">
        <f t="shared" ref="N39" si="20">N37</f>
        <v>Bistrița-Năsăud</v>
      </c>
      <c r="O39" s="15" t="str">
        <f>O37</f>
        <v>Bistrița</v>
      </c>
      <c r="P39" s="62" t="s">
        <v>39</v>
      </c>
      <c r="Q39" s="15" t="s">
        <v>40</v>
      </c>
      <c r="R39" s="2">
        <f t="shared" si="18"/>
        <v>2626630.9</v>
      </c>
      <c r="S39" s="2">
        <v>2626630.9</v>
      </c>
      <c r="T39" s="2">
        <v>0</v>
      </c>
      <c r="U39" s="33">
        <f t="shared" si="2"/>
        <v>401720.02</v>
      </c>
      <c r="V39" s="35">
        <v>401720.02</v>
      </c>
      <c r="W39" s="59">
        <v>0</v>
      </c>
      <c r="X39" s="33">
        <f t="shared" si="9"/>
        <v>61803.08</v>
      </c>
      <c r="Y39" s="52">
        <v>61803.08</v>
      </c>
      <c r="Z39" s="66">
        <v>0</v>
      </c>
      <c r="AA39" s="2">
        <v>0</v>
      </c>
      <c r="AB39" s="2">
        <v>0</v>
      </c>
      <c r="AC39" s="2">
        <v>0</v>
      </c>
      <c r="AD39" s="2">
        <f>R39+U39+X39+AA39</f>
        <v>3090154</v>
      </c>
      <c r="AE39" s="2">
        <v>0</v>
      </c>
      <c r="AF39" s="2">
        <f t="shared" si="4"/>
        <v>3090154</v>
      </c>
      <c r="AG39" s="24" t="s">
        <v>161</v>
      </c>
      <c r="AH39" s="34"/>
      <c r="AI39" s="35">
        <v>71886.37</v>
      </c>
      <c r="AJ39" s="36">
        <v>10994.39</v>
      </c>
      <c r="AK39" s="28">
        <f t="shared" si="6"/>
        <v>2554744.5299999998</v>
      </c>
      <c r="AL39" s="28">
        <f t="shared" si="7"/>
        <v>390725.63</v>
      </c>
      <c r="AM39" s="29">
        <f t="shared" si="8"/>
        <v>2.7368280027467887E-2</v>
      </c>
    </row>
    <row r="40" spans="1:39" ht="192" customHeight="1" x14ac:dyDescent="0.25">
      <c r="A40" s="10">
        <v>37</v>
      </c>
      <c r="B40" s="37">
        <v>119593</v>
      </c>
      <c r="C40" s="20">
        <v>467</v>
      </c>
      <c r="D40" s="20" t="s">
        <v>47</v>
      </c>
      <c r="E40" s="14" t="s">
        <v>48</v>
      </c>
      <c r="F40" s="15" t="s">
        <v>162</v>
      </c>
      <c r="G40" s="20" t="s">
        <v>163</v>
      </c>
      <c r="H40" s="20" t="s">
        <v>51</v>
      </c>
      <c r="I40" s="15" t="s">
        <v>164</v>
      </c>
      <c r="J40" s="30">
        <v>43293</v>
      </c>
      <c r="K40" s="30">
        <v>43811</v>
      </c>
      <c r="L40" s="31">
        <f t="shared" si="0"/>
        <v>84.262029230668674</v>
      </c>
      <c r="M40" s="20">
        <v>1</v>
      </c>
      <c r="N40" s="20" t="s">
        <v>165</v>
      </c>
      <c r="O40" s="20" t="s">
        <v>166</v>
      </c>
      <c r="P40" s="20" t="s">
        <v>39</v>
      </c>
      <c r="Q40" s="20" t="s">
        <v>40</v>
      </c>
      <c r="R40" s="33">
        <f t="shared" si="18"/>
        <v>349239.24</v>
      </c>
      <c r="S40" s="35">
        <v>349239.24</v>
      </c>
      <c r="T40" s="2">
        <v>0</v>
      </c>
      <c r="U40" s="33">
        <f t="shared" si="2"/>
        <v>56939.5</v>
      </c>
      <c r="V40" s="35">
        <v>56939.5</v>
      </c>
      <c r="W40" s="2">
        <v>0</v>
      </c>
      <c r="X40" s="33">
        <f t="shared" si="9"/>
        <v>4690.93</v>
      </c>
      <c r="Y40" s="35">
        <v>4690.93</v>
      </c>
      <c r="Z40" s="35">
        <v>0</v>
      </c>
      <c r="AA40" s="2">
        <f t="shared" ref="AA40" si="21">AB40+AC40</f>
        <v>3598.44</v>
      </c>
      <c r="AB40" s="2">
        <v>3598.44</v>
      </c>
      <c r="AC40" s="2">
        <v>0</v>
      </c>
      <c r="AD40" s="2">
        <f t="shared" ref="AD40" si="22">R40+U40+X40+AA40</f>
        <v>414468.11</v>
      </c>
      <c r="AE40" s="39"/>
      <c r="AF40" s="2">
        <f t="shared" si="4"/>
        <v>414468.11</v>
      </c>
      <c r="AG40" s="24" t="s">
        <v>41</v>
      </c>
      <c r="AH40" s="39">
        <v>304992.26</v>
      </c>
      <c r="AI40" s="35">
        <v>304992.26</v>
      </c>
      <c r="AJ40" s="36">
        <v>49408.55</v>
      </c>
      <c r="AK40" s="28">
        <f t="shared" si="6"/>
        <v>44246.979999999981</v>
      </c>
      <c r="AL40" s="28">
        <f t="shared" si="7"/>
        <v>7530.9499999999971</v>
      </c>
      <c r="AM40" s="29">
        <f t="shared" si="8"/>
        <v>0.87330467217830399</v>
      </c>
    </row>
    <row r="41" spans="1:39" ht="192" customHeight="1" x14ac:dyDescent="0.25">
      <c r="A41" s="10">
        <v>38</v>
      </c>
      <c r="B41" s="37">
        <v>118690</v>
      </c>
      <c r="C41" s="20">
        <v>433</v>
      </c>
      <c r="D41" s="15" t="s">
        <v>54</v>
      </c>
      <c r="E41" s="14" t="s">
        <v>55</v>
      </c>
      <c r="F41" s="15" t="s">
        <v>167</v>
      </c>
      <c r="G41" s="20" t="s">
        <v>163</v>
      </c>
      <c r="H41" s="20" t="s">
        <v>168</v>
      </c>
      <c r="I41" s="15" t="s">
        <v>169</v>
      </c>
      <c r="J41" s="30">
        <v>43333</v>
      </c>
      <c r="K41" s="30">
        <v>43790</v>
      </c>
      <c r="L41" s="31">
        <f t="shared" si="0"/>
        <v>84.169367233766351</v>
      </c>
      <c r="M41" s="20">
        <v>1</v>
      </c>
      <c r="N41" s="20" t="s">
        <v>166</v>
      </c>
      <c r="O41" s="20" t="s">
        <v>166</v>
      </c>
      <c r="P41" s="20" t="s">
        <v>39</v>
      </c>
      <c r="Q41" s="20" t="s">
        <v>170</v>
      </c>
      <c r="R41" s="2">
        <f t="shared" si="18"/>
        <v>242198.44</v>
      </c>
      <c r="S41" s="35">
        <v>242198.44</v>
      </c>
      <c r="T41" s="42">
        <v>0</v>
      </c>
      <c r="U41" s="33">
        <f t="shared" si="2"/>
        <v>39797.81</v>
      </c>
      <c r="V41" s="35">
        <v>39797.81</v>
      </c>
      <c r="W41" s="42">
        <v>0</v>
      </c>
      <c r="X41" s="33">
        <f t="shared" si="9"/>
        <v>5755.04</v>
      </c>
      <c r="Y41" s="35">
        <v>5755.04</v>
      </c>
      <c r="Z41" s="35">
        <v>0</v>
      </c>
      <c r="AA41" s="2">
        <v>0</v>
      </c>
      <c r="AB41" s="42">
        <v>0</v>
      </c>
      <c r="AC41" s="42">
        <v>0</v>
      </c>
      <c r="AD41" s="2">
        <f t="shared" ref="AD41" si="23">R41+U41+X41</f>
        <v>287751.28999999998</v>
      </c>
      <c r="AE41" s="39"/>
      <c r="AF41" s="2">
        <f t="shared" si="4"/>
        <v>287751.28999999998</v>
      </c>
      <c r="AG41" s="24" t="s">
        <v>41</v>
      </c>
      <c r="AH41" s="39"/>
      <c r="AI41" s="35">
        <v>204673.28999999998</v>
      </c>
      <c r="AJ41" s="36">
        <v>33582.770000000004</v>
      </c>
      <c r="AK41" s="28">
        <f t="shared" si="6"/>
        <v>37525.150000000023</v>
      </c>
      <c r="AL41" s="28">
        <f t="shared" si="7"/>
        <v>6215.0399999999936</v>
      </c>
      <c r="AM41" s="29">
        <f t="shared" si="8"/>
        <v>0.84506444385025759</v>
      </c>
    </row>
    <row r="42" spans="1:39" ht="192" customHeight="1" x14ac:dyDescent="0.25">
      <c r="A42" s="10">
        <v>39</v>
      </c>
      <c r="B42" s="37">
        <v>126412</v>
      </c>
      <c r="C42" s="20">
        <v>553</v>
      </c>
      <c r="D42" s="20" t="s">
        <v>47</v>
      </c>
      <c r="E42" s="14" t="s">
        <v>65</v>
      </c>
      <c r="F42" s="15" t="s">
        <v>171</v>
      </c>
      <c r="G42" s="20" t="s">
        <v>172</v>
      </c>
      <c r="H42" s="20" t="s">
        <v>173</v>
      </c>
      <c r="I42" s="15" t="s">
        <v>174</v>
      </c>
      <c r="J42" s="30">
        <v>43564</v>
      </c>
      <c r="K42" s="30">
        <v>44295</v>
      </c>
      <c r="L42" s="31">
        <f t="shared" si="0"/>
        <v>85.000000068999867</v>
      </c>
      <c r="M42" s="20">
        <v>1</v>
      </c>
      <c r="N42" s="20" t="s">
        <v>166</v>
      </c>
      <c r="O42" s="20" t="s">
        <v>166</v>
      </c>
      <c r="P42" s="20" t="s">
        <v>39</v>
      </c>
      <c r="Q42" s="20" t="s">
        <v>40</v>
      </c>
      <c r="R42" s="2">
        <f>S42+T42</f>
        <v>2463772.67</v>
      </c>
      <c r="S42" s="35">
        <v>2463772.67</v>
      </c>
      <c r="T42" s="42">
        <v>0</v>
      </c>
      <c r="U42" s="33">
        <f t="shared" si="2"/>
        <v>376812.28</v>
      </c>
      <c r="V42" s="35">
        <v>376812.28</v>
      </c>
      <c r="W42" s="42">
        <v>0</v>
      </c>
      <c r="X42" s="33">
        <f t="shared" si="9"/>
        <v>57971.13</v>
      </c>
      <c r="Y42" s="35">
        <v>57971.13</v>
      </c>
      <c r="Z42" s="35">
        <v>0</v>
      </c>
      <c r="AA42" s="2">
        <v>0</v>
      </c>
      <c r="AB42" s="42">
        <v>0</v>
      </c>
      <c r="AC42" s="42">
        <v>0</v>
      </c>
      <c r="AD42" s="2">
        <f>R42+U42+X42</f>
        <v>2898556.08</v>
      </c>
      <c r="AE42" s="39"/>
      <c r="AF42" s="2">
        <f>AD42+AE42</f>
        <v>2898556.08</v>
      </c>
      <c r="AG42" s="39" t="s">
        <v>69</v>
      </c>
      <c r="AH42" s="39"/>
      <c r="AI42" s="35">
        <v>154953.36000000002</v>
      </c>
      <c r="AJ42" s="36">
        <v>23698.730000000003</v>
      </c>
      <c r="AK42" s="28">
        <f t="shared" si="6"/>
        <v>2308819.31</v>
      </c>
      <c r="AL42" s="28">
        <f t="shared" si="7"/>
        <v>353113.55000000005</v>
      </c>
      <c r="AM42" s="29">
        <f t="shared" si="8"/>
        <v>6.2892718101301134E-2</v>
      </c>
    </row>
    <row r="43" spans="1:39" ht="192" customHeight="1" x14ac:dyDescent="0.25">
      <c r="A43" s="10">
        <v>40</v>
      </c>
      <c r="B43" s="37">
        <v>128790</v>
      </c>
      <c r="C43" s="37">
        <v>644</v>
      </c>
      <c r="D43" s="15" t="s">
        <v>31</v>
      </c>
      <c r="E43" s="14" t="s">
        <v>79</v>
      </c>
      <c r="F43" s="67" t="s">
        <v>175</v>
      </c>
      <c r="G43" s="15" t="s">
        <v>176</v>
      </c>
      <c r="H43" s="20" t="s">
        <v>35</v>
      </c>
      <c r="I43" s="16" t="s">
        <v>177</v>
      </c>
      <c r="J43" s="30">
        <v>43629</v>
      </c>
      <c r="K43" s="30">
        <v>44482</v>
      </c>
      <c r="L43" s="31">
        <f t="shared" si="0"/>
        <v>85.000000118502641</v>
      </c>
      <c r="M43" s="32">
        <v>1</v>
      </c>
      <c r="N43" s="20" t="s">
        <v>178</v>
      </c>
      <c r="O43" s="20" t="s">
        <v>179</v>
      </c>
      <c r="P43" s="19" t="s">
        <v>39</v>
      </c>
      <c r="Q43" s="20" t="s">
        <v>40</v>
      </c>
      <c r="R43" s="2">
        <f>S43+T43</f>
        <v>2510492.42</v>
      </c>
      <c r="S43" s="35">
        <v>2510492.42</v>
      </c>
      <c r="T43" s="42">
        <v>0</v>
      </c>
      <c r="U43" s="33">
        <f t="shared" si="2"/>
        <v>383957.66</v>
      </c>
      <c r="V43" s="35">
        <v>383957.66</v>
      </c>
      <c r="W43" s="42">
        <v>0</v>
      </c>
      <c r="X43" s="33">
        <f t="shared" si="9"/>
        <v>59070.41</v>
      </c>
      <c r="Y43" s="35">
        <v>59070.41</v>
      </c>
      <c r="Z43" s="35">
        <v>0</v>
      </c>
      <c r="AA43" s="2">
        <v>0</v>
      </c>
      <c r="AB43" s="42">
        <v>0</v>
      </c>
      <c r="AC43" s="42">
        <v>0</v>
      </c>
      <c r="AD43" s="2">
        <f>R43+U43+X43</f>
        <v>2953520.49</v>
      </c>
      <c r="AE43" s="42">
        <v>0</v>
      </c>
      <c r="AF43" s="2">
        <f>AD43+AE43</f>
        <v>2953520.49</v>
      </c>
      <c r="AG43" s="39" t="s">
        <v>69</v>
      </c>
      <c r="AH43" s="34"/>
      <c r="AI43" s="35">
        <f>25513.52+216514.86-3202.29-3349.26-3120.39</f>
        <v>232356.43999999994</v>
      </c>
      <c r="AJ43" s="36">
        <f>3202.29+3349.26+3120.39</f>
        <v>9671.94</v>
      </c>
      <c r="AK43" s="28">
        <f t="shared" si="6"/>
        <v>2278135.98</v>
      </c>
      <c r="AL43" s="28">
        <f t="shared" si="7"/>
        <v>374285.72</v>
      </c>
      <c r="AM43" s="29">
        <f t="shared" si="8"/>
        <v>9.255412928113918E-2</v>
      </c>
    </row>
    <row r="44" spans="1:39" ht="192" customHeight="1" x14ac:dyDescent="0.25">
      <c r="A44" s="10">
        <v>41</v>
      </c>
      <c r="B44" s="20">
        <v>120555</v>
      </c>
      <c r="C44" s="20">
        <v>93</v>
      </c>
      <c r="D44" s="15" t="s">
        <v>31</v>
      </c>
      <c r="E44" s="14" t="s">
        <v>32</v>
      </c>
      <c r="F44" s="63" t="s">
        <v>180</v>
      </c>
      <c r="G44" s="20" t="s">
        <v>181</v>
      </c>
      <c r="H44" s="32" t="s">
        <v>182</v>
      </c>
      <c r="I44" s="16" t="s">
        <v>183</v>
      </c>
      <c r="J44" s="30">
        <v>43208</v>
      </c>
      <c r="K44" s="30">
        <v>43817</v>
      </c>
      <c r="L44" s="31">
        <f t="shared" si="0"/>
        <v>84.163181877958579</v>
      </c>
      <c r="M44" s="20">
        <v>2</v>
      </c>
      <c r="N44" s="20" t="s">
        <v>184</v>
      </c>
      <c r="O44" s="20" t="s">
        <v>185</v>
      </c>
      <c r="P44" s="32" t="s">
        <v>39</v>
      </c>
      <c r="Q44" s="20" t="s">
        <v>40</v>
      </c>
      <c r="R44" s="33">
        <f t="shared" ref="R44:R46" si="24">S44+T44</f>
        <v>356789.4</v>
      </c>
      <c r="S44" s="2">
        <v>356789.4</v>
      </c>
      <c r="T44" s="2">
        <v>0</v>
      </c>
      <c r="U44" s="33">
        <f t="shared" si="2"/>
        <v>58657.85</v>
      </c>
      <c r="V44" s="2">
        <v>58657.85</v>
      </c>
      <c r="W44" s="2">
        <v>0</v>
      </c>
      <c r="X44" s="33">
        <f t="shared" si="9"/>
        <v>4304.97</v>
      </c>
      <c r="Y44" s="2">
        <v>4304.97</v>
      </c>
      <c r="Z44" s="2">
        <v>0</v>
      </c>
      <c r="AA44" s="2">
        <f t="shared" ref="AA44:AA46" si="25">AB44+AC44</f>
        <v>4173.53</v>
      </c>
      <c r="AB44" s="2">
        <v>4173.53</v>
      </c>
      <c r="AC44" s="2">
        <v>0</v>
      </c>
      <c r="AD44" s="2">
        <f t="shared" ref="AD44:AD46" si="26">R44+U44+X44+AA44</f>
        <v>423925.75</v>
      </c>
      <c r="AE44" s="2">
        <v>0</v>
      </c>
      <c r="AF44" s="2">
        <f t="shared" ref="AF44:AF46" si="27">AD44+AE44</f>
        <v>423925.75</v>
      </c>
      <c r="AG44" s="39" t="s">
        <v>41</v>
      </c>
      <c r="AH44" s="39" t="s">
        <v>186</v>
      </c>
      <c r="AI44" s="35">
        <v>331987.39999999997</v>
      </c>
      <c r="AJ44" s="36">
        <v>54793.37</v>
      </c>
      <c r="AK44" s="28">
        <f t="shared" si="6"/>
        <v>24802.000000000058</v>
      </c>
      <c r="AL44" s="28">
        <f t="shared" si="7"/>
        <v>3864.4799999999959</v>
      </c>
      <c r="AM44" s="29">
        <f t="shared" si="8"/>
        <v>0.93048560299156857</v>
      </c>
    </row>
    <row r="45" spans="1:39" ht="192" customHeight="1" x14ac:dyDescent="0.25">
      <c r="A45" s="10">
        <v>42</v>
      </c>
      <c r="B45" s="20">
        <v>119189</v>
      </c>
      <c r="C45" s="20">
        <v>466</v>
      </c>
      <c r="D45" s="20" t="s">
        <v>47</v>
      </c>
      <c r="E45" s="14" t="s">
        <v>48</v>
      </c>
      <c r="F45" s="20" t="s">
        <v>187</v>
      </c>
      <c r="G45" s="20" t="s">
        <v>188</v>
      </c>
      <c r="H45" s="20" t="s">
        <v>35</v>
      </c>
      <c r="I45" s="16" t="s">
        <v>189</v>
      </c>
      <c r="J45" s="30">
        <v>43278</v>
      </c>
      <c r="K45" s="30">
        <v>43765</v>
      </c>
      <c r="L45" s="31">
        <f t="shared" si="0"/>
        <v>85.000000991333039</v>
      </c>
      <c r="M45" s="20">
        <v>2</v>
      </c>
      <c r="N45" s="20" t="s">
        <v>184</v>
      </c>
      <c r="O45" s="20" t="s">
        <v>185</v>
      </c>
      <c r="P45" s="32" t="s">
        <v>39</v>
      </c>
      <c r="Q45" s="20" t="s">
        <v>40</v>
      </c>
      <c r="R45" s="33">
        <f t="shared" si="24"/>
        <v>514458.8</v>
      </c>
      <c r="S45" s="2">
        <v>514458.8</v>
      </c>
      <c r="T45" s="2">
        <v>0</v>
      </c>
      <c r="U45" s="33">
        <f t="shared" si="2"/>
        <v>78681.929999999978</v>
      </c>
      <c r="V45" s="2">
        <v>78681.929999999978</v>
      </c>
      <c r="W45" s="2">
        <v>0</v>
      </c>
      <c r="X45" s="33">
        <f t="shared" si="9"/>
        <v>12104.91</v>
      </c>
      <c r="Y45" s="2">
        <v>12104.91</v>
      </c>
      <c r="Z45" s="2">
        <v>0</v>
      </c>
      <c r="AA45" s="2">
        <f t="shared" si="25"/>
        <v>0</v>
      </c>
      <c r="AB45" s="2">
        <v>0</v>
      </c>
      <c r="AC45" s="2">
        <v>0</v>
      </c>
      <c r="AD45" s="2">
        <f t="shared" si="26"/>
        <v>605245.64</v>
      </c>
      <c r="AE45" s="2"/>
      <c r="AF45" s="2">
        <f t="shared" si="27"/>
        <v>605245.64</v>
      </c>
      <c r="AG45" s="24" t="s">
        <v>41</v>
      </c>
      <c r="AH45" s="34" t="s">
        <v>35</v>
      </c>
      <c r="AI45" s="35">
        <v>360382.24999999994</v>
      </c>
      <c r="AJ45" s="36">
        <v>55117.29</v>
      </c>
      <c r="AK45" s="28">
        <f t="shared" si="6"/>
        <v>154076.55000000005</v>
      </c>
      <c r="AL45" s="28">
        <f t="shared" si="7"/>
        <v>23564.639999999978</v>
      </c>
      <c r="AM45" s="29">
        <f t="shared" si="8"/>
        <v>0.70050750419664309</v>
      </c>
    </row>
    <row r="46" spans="1:39" ht="192" customHeight="1" x14ac:dyDescent="0.25">
      <c r="A46" s="10">
        <v>43</v>
      </c>
      <c r="B46" s="20">
        <v>125782</v>
      </c>
      <c r="C46" s="20">
        <v>520</v>
      </c>
      <c r="D46" s="15" t="s">
        <v>31</v>
      </c>
      <c r="E46" s="14" t="s">
        <v>65</v>
      </c>
      <c r="F46" s="20" t="s">
        <v>190</v>
      </c>
      <c r="G46" s="20" t="s">
        <v>188</v>
      </c>
      <c r="H46" s="20" t="s">
        <v>35</v>
      </c>
      <c r="I46" s="16" t="s">
        <v>191</v>
      </c>
      <c r="J46" s="30">
        <v>43445</v>
      </c>
      <c r="K46" s="30">
        <v>44238</v>
      </c>
      <c r="L46" s="31">
        <f t="shared" si="0"/>
        <v>84.999999737203865</v>
      </c>
      <c r="M46" s="20">
        <v>2</v>
      </c>
      <c r="N46" s="20" t="s">
        <v>184</v>
      </c>
      <c r="O46" s="20" t="s">
        <v>185</v>
      </c>
      <c r="P46" s="32" t="s">
        <v>39</v>
      </c>
      <c r="Q46" s="20" t="s">
        <v>40</v>
      </c>
      <c r="R46" s="33">
        <f t="shared" si="24"/>
        <v>1132056.27</v>
      </c>
      <c r="S46" s="2">
        <v>1132056.27</v>
      </c>
      <c r="T46" s="2">
        <v>0</v>
      </c>
      <c r="U46" s="33">
        <f t="shared" si="2"/>
        <v>173138.02</v>
      </c>
      <c r="V46" s="2">
        <v>173138.02</v>
      </c>
      <c r="W46" s="2">
        <v>0</v>
      </c>
      <c r="X46" s="33">
        <f t="shared" si="9"/>
        <v>26636.62</v>
      </c>
      <c r="Y46" s="2">
        <v>26636.62</v>
      </c>
      <c r="Z46" s="35">
        <v>0</v>
      </c>
      <c r="AA46" s="2">
        <f t="shared" si="25"/>
        <v>0</v>
      </c>
      <c r="AB46" s="2">
        <v>0</v>
      </c>
      <c r="AC46" s="2">
        <v>0</v>
      </c>
      <c r="AD46" s="2">
        <f t="shared" si="26"/>
        <v>1331830.9100000001</v>
      </c>
      <c r="AE46" s="39"/>
      <c r="AF46" s="2">
        <f t="shared" si="27"/>
        <v>1331830.9100000001</v>
      </c>
      <c r="AG46" s="39" t="s">
        <v>69</v>
      </c>
      <c r="AH46" s="39"/>
      <c r="AI46" s="35">
        <v>239963.16</v>
      </c>
      <c r="AJ46" s="36">
        <v>36700.240000000005</v>
      </c>
      <c r="AK46" s="28">
        <f t="shared" si="6"/>
        <v>892093.11</v>
      </c>
      <c r="AL46" s="28">
        <f t="shared" si="7"/>
        <v>136437.77999999997</v>
      </c>
      <c r="AM46" s="29">
        <f t="shared" si="8"/>
        <v>0.21197105334702135</v>
      </c>
    </row>
    <row r="47" spans="1:39" ht="192" customHeight="1" x14ac:dyDescent="0.25">
      <c r="A47" s="10">
        <v>44</v>
      </c>
      <c r="B47" s="20">
        <v>129167</v>
      </c>
      <c r="C47" s="20">
        <v>662</v>
      </c>
      <c r="D47" s="15" t="s">
        <v>31</v>
      </c>
      <c r="E47" s="14" t="s">
        <v>79</v>
      </c>
      <c r="F47" s="20" t="s">
        <v>192</v>
      </c>
      <c r="G47" s="20" t="s">
        <v>193</v>
      </c>
      <c r="H47" s="20" t="s">
        <v>132</v>
      </c>
      <c r="I47" s="16" t="s">
        <v>194</v>
      </c>
      <c r="J47" s="30">
        <v>43662</v>
      </c>
      <c r="K47" s="30">
        <v>44212</v>
      </c>
      <c r="L47" s="31">
        <f t="shared" si="0"/>
        <v>84.999999986765175</v>
      </c>
      <c r="M47" s="20">
        <v>2</v>
      </c>
      <c r="N47" s="20" t="s">
        <v>184</v>
      </c>
      <c r="O47" s="20" t="s">
        <v>185</v>
      </c>
      <c r="P47" s="32" t="s">
        <v>39</v>
      </c>
      <c r="Q47" s="20" t="s">
        <v>40</v>
      </c>
      <c r="R47" s="33">
        <v>3211223.95</v>
      </c>
      <c r="S47" s="33">
        <v>3211223.95</v>
      </c>
      <c r="T47" s="2">
        <v>0</v>
      </c>
      <c r="U47" s="33">
        <f t="shared" si="2"/>
        <v>491128.17</v>
      </c>
      <c r="V47" s="2">
        <v>491128.17</v>
      </c>
      <c r="W47" s="2">
        <v>0</v>
      </c>
      <c r="X47" s="33">
        <f t="shared" si="9"/>
        <v>75558.41</v>
      </c>
      <c r="Y47" s="2">
        <v>75558.41</v>
      </c>
      <c r="Z47" s="35">
        <v>0</v>
      </c>
      <c r="AA47" s="2">
        <v>0</v>
      </c>
      <c r="AB47" s="2">
        <v>0</v>
      </c>
      <c r="AC47" s="2">
        <v>0</v>
      </c>
      <c r="AD47" s="2">
        <f>R47+U47+X47</f>
        <v>3777910.5300000003</v>
      </c>
      <c r="AE47" s="39">
        <v>0</v>
      </c>
      <c r="AF47" s="2">
        <f>AD47+AE47</f>
        <v>3777910.5300000003</v>
      </c>
      <c r="AG47" s="39" t="s">
        <v>69</v>
      </c>
      <c r="AH47" s="39"/>
      <c r="AI47" s="35">
        <f>7795.35+11297.44+29831.01</f>
        <v>48923.8</v>
      </c>
      <c r="AJ47" s="36">
        <f>1192.23+1727.85+4562.37</f>
        <v>7482.45</v>
      </c>
      <c r="AK47" s="28">
        <f t="shared" si="6"/>
        <v>3162300.1500000004</v>
      </c>
      <c r="AL47" s="28">
        <f t="shared" si="7"/>
        <v>483645.72</v>
      </c>
      <c r="AM47" s="29">
        <f t="shared" si="8"/>
        <v>1.5235250098330887E-2</v>
      </c>
    </row>
    <row r="48" spans="1:39" ht="192" customHeight="1" x14ac:dyDescent="0.25">
      <c r="A48" s="10">
        <v>45</v>
      </c>
      <c r="B48" s="37">
        <v>111300</v>
      </c>
      <c r="C48" s="20">
        <v>123</v>
      </c>
      <c r="D48" s="15" t="s">
        <v>31</v>
      </c>
      <c r="E48" s="14" t="s">
        <v>32</v>
      </c>
      <c r="F48" s="15" t="s">
        <v>195</v>
      </c>
      <c r="G48" s="15" t="s">
        <v>196</v>
      </c>
      <c r="H48" s="20" t="s">
        <v>35</v>
      </c>
      <c r="I48" s="43" t="s">
        <v>197</v>
      </c>
      <c r="J48" s="30">
        <v>43145</v>
      </c>
      <c r="K48" s="30">
        <v>43630</v>
      </c>
      <c r="L48" s="31">
        <f t="shared" si="0"/>
        <v>84.999999881712782</v>
      </c>
      <c r="M48" s="20">
        <v>7</v>
      </c>
      <c r="N48" s="20" t="s">
        <v>198</v>
      </c>
      <c r="O48" s="20" t="s">
        <v>199</v>
      </c>
      <c r="P48" s="32" t="s">
        <v>39</v>
      </c>
      <c r="Q48" s="20" t="s">
        <v>40</v>
      </c>
      <c r="R48" s="33">
        <f>S48+T48</f>
        <v>359294.94</v>
      </c>
      <c r="S48" s="52">
        <v>359294.94</v>
      </c>
      <c r="T48" s="33">
        <v>0</v>
      </c>
      <c r="U48" s="33">
        <f t="shared" si="2"/>
        <v>54950.99</v>
      </c>
      <c r="V48" s="52">
        <v>54950.99</v>
      </c>
      <c r="W48" s="33">
        <v>0</v>
      </c>
      <c r="X48" s="33">
        <f t="shared" si="9"/>
        <v>8454</v>
      </c>
      <c r="Y48" s="2">
        <v>8454</v>
      </c>
      <c r="Z48" s="2">
        <v>0</v>
      </c>
      <c r="AA48" s="2">
        <f t="shared" ref="AA48:AA59" si="28">AB48+AC48</f>
        <v>0</v>
      </c>
      <c r="AB48" s="68">
        <v>0</v>
      </c>
      <c r="AC48" s="68">
        <v>0</v>
      </c>
      <c r="AD48" s="2">
        <v>422699.93</v>
      </c>
      <c r="AE48" s="2">
        <v>0</v>
      </c>
      <c r="AF48" s="2">
        <f>AD48+AE48</f>
        <v>422699.93</v>
      </c>
      <c r="AG48" s="24" t="s">
        <v>41</v>
      </c>
      <c r="AH48" s="34" t="s">
        <v>35</v>
      </c>
      <c r="AI48" s="35">
        <v>330029.05000000005</v>
      </c>
      <c r="AJ48" s="36">
        <v>50475.040000000001</v>
      </c>
      <c r="AK48" s="28">
        <f t="shared" si="6"/>
        <v>29265.889999999956</v>
      </c>
      <c r="AL48" s="28">
        <f t="shared" si="7"/>
        <v>4475.9499999999971</v>
      </c>
      <c r="AM48" s="29">
        <f t="shared" si="8"/>
        <v>0.9185463341064587</v>
      </c>
    </row>
    <row r="49" spans="1:39" ht="192" customHeight="1" x14ac:dyDescent="0.25">
      <c r="A49" s="10">
        <v>46</v>
      </c>
      <c r="B49" s="37">
        <v>110505</v>
      </c>
      <c r="C49" s="20">
        <v>125</v>
      </c>
      <c r="D49" s="15" t="s">
        <v>31</v>
      </c>
      <c r="E49" s="14" t="s">
        <v>32</v>
      </c>
      <c r="F49" s="15" t="s">
        <v>200</v>
      </c>
      <c r="G49" s="15" t="s">
        <v>201</v>
      </c>
      <c r="H49" s="20" t="s">
        <v>35</v>
      </c>
      <c r="I49" s="16" t="s">
        <v>202</v>
      </c>
      <c r="J49" s="30">
        <v>43173</v>
      </c>
      <c r="K49" s="30">
        <v>43660</v>
      </c>
      <c r="L49" s="31">
        <f t="shared" si="0"/>
        <v>84.99999981945335</v>
      </c>
      <c r="M49" s="20">
        <v>7</v>
      </c>
      <c r="N49" s="20" t="s">
        <v>198</v>
      </c>
      <c r="O49" s="20" t="s">
        <v>203</v>
      </c>
      <c r="P49" s="32" t="s">
        <v>39</v>
      </c>
      <c r="Q49" s="20" t="s">
        <v>40</v>
      </c>
      <c r="R49" s="33">
        <f>S49+T49</f>
        <v>470792.44</v>
      </c>
      <c r="S49" s="2">
        <v>470792.44</v>
      </c>
      <c r="T49" s="2">
        <v>0</v>
      </c>
      <c r="U49" s="33">
        <f t="shared" si="2"/>
        <v>72003.55</v>
      </c>
      <c r="V49" s="2">
        <v>72003.55</v>
      </c>
      <c r="W49" s="2">
        <v>0</v>
      </c>
      <c r="X49" s="33">
        <f t="shared" si="9"/>
        <v>11077.47</v>
      </c>
      <c r="Y49" s="2">
        <v>11077.47</v>
      </c>
      <c r="Z49" s="2">
        <v>0</v>
      </c>
      <c r="AA49" s="2">
        <f t="shared" si="28"/>
        <v>0</v>
      </c>
      <c r="AB49" s="68">
        <v>0</v>
      </c>
      <c r="AC49" s="68">
        <v>0</v>
      </c>
      <c r="AD49" s="2">
        <f>R49+U49+X49+AA49</f>
        <v>553873.46</v>
      </c>
      <c r="AE49" s="2">
        <v>0</v>
      </c>
      <c r="AF49" s="2">
        <f t="shared" ref="AF49:AF59" si="29">AD49+AE49</f>
        <v>553873.46</v>
      </c>
      <c r="AG49" s="24" t="s">
        <v>41</v>
      </c>
      <c r="AH49" s="34" t="s">
        <v>35</v>
      </c>
      <c r="AI49" s="35">
        <v>369783.92</v>
      </c>
      <c r="AJ49" s="36">
        <v>56555.21</v>
      </c>
      <c r="AK49" s="28">
        <f t="shared" si="6"/>
        <v>101008.52000000002</v>
      </c>
      <c r="AL49" s="28">
        <f t="shared" si="7"/>
        <v>15448.340000000004</v>
      </c>
      <c r="AM49" s="29">
        <f t="shared" si="8"/>
        <v>0.78544999575609153</v>
      </c>
    </row>
    <row r="50" spans="1:39" ht="192" customHeight="1" x14ac:dyDescent="0.25">
      <c r="A50" s="10">
        <v>47</v>
      </c>
      <c r="B50" s="37">
        <v>119450</v>
      </c>
      <c r="C50" s="20">
        <v>485</v>
      </c>
      <c r="D50" s="20" t="s">
        <v>47</v>
      </c>
      <c r="E50" s="14" t="s">
        <v>48</v>
      </c>
      <c r="F50" s="15" t="s">
        <v>204</v>
      </c>
      <c r="G50" s="15" t="s">
        <v>205</v>
      </c>
      <c r="H50" s="20" t="s">
        <v>35</v>
      </c>
      <c r="I50" s="16" t="s">
        <v>206</v>
      </c>
      <c r="J50" s="30">
        <v>43298</v>
      </c>
      <c r="K50" s="30">
        <v>43786</v>
      </c>
      <c r="L50" s="31">
        <f t="shared" si="0"/>
        <v>85.000002578269815</v>
      </c>
      <c r="M50" s="20">
        <v>7</v>
      </c>
      <c r="N50" s="20" t="s">
        <v>198</v>
      </c>
      <c r="O50" s="20" t="s">
        <v>203</v>
      </c>
      <c r="P50" s="32" t="s">
        <v>39</v>
      </c>
      <c r="Q50" s="20" t="s">
        <v>40</v>
      </c>
      <c r="R50" s="33">
        <f t="shared" ref="R50:R51" si="30">S50+T50</f>
        <v>329678.46000000002</v>
      </c>
      <c r="S50" s="2">
        <v>329678.46000000002</v>
      </c>
      <c r="T50" s="2">
        <v>0</v>
      </c>
      <c r="U50" s="33">
        <f t="shared" si="2"/>
        <v>50421.4</v>
      </c>
      <c r="V50" s="2">
        <v>50421.4</v>
      </c>
      <c r="W50" s="2">
        <v>0</v>
      </c>
      <c r="X50" s="33">
        <f t="shared" si="9"/>
        <v>7757.14</v>
      </c>
      <c r="Y50" s="2">
        <v>7757.14</v>
      </c>
      <c r="Z50" s="2">
        <v>0</v>
      </c>
      <c r="AA50" s="2">
        <f t="shared" si="28"/>
        <v>0</v>
      </c>
      <c r="AB50" s="68">
        <v>0</v>
      </c>
      <c r="AC50" s="68">
        <v>0</v>
      </c>
      <c r="AD50" s="2">
        <f t="shared" ref="AD50:AD51" si="31">R50+U50+X50+AA50</f>
        <v>387857.00000000006</v>
      </c>
      <c r="AE50" s="2">
        <v>0</v>
      </c>
      <c r="AF50" s="2">
        <f t="shared" si="29"/>
        <v>387857.00000000006</v>
      </c>
      <c r="AG50" s="24" t="s">
        <v>41</v>
      </c>
      <c r="AH50" s="34" t="s">
        <v>35</v>
      </c>
      <c r="AI50" s="35">
        <v>321577.40000000002</v>
      </c>
      <c r="AJ50" s="36">
        <v>49182.460000000006</v>
      </c>
      <c r="AK50" s="28">
        <f t="shared" si="6"/>
        <v>8101.0599999999977</v>
      </c>
      <c r="AL50" s="28">
        <f t="shared" si="7"/>
        <v>1238.9399999999951</v>
      </c>
      <c r="AM50" s="29">
        <f t="shared" si="8"/>
        <v>0.97542739067635786</v>
      </c>
    </row>
    <row r="51" spans="1:39" ht="192" customHeight="1" x14ac:dyDescent="0.25">
      <c r="A51" s="10">
        <v>48</v>
      </c>
      <c r="B51" s="37">
        <v>118753</v>
      </c>
      <c r="C51" s="20">
        <v>438</v>
      </c>
      <c r="D51" s="15" t="s">
        <v>54</v>
      </c>
      <c r="E51" s="14" t="s">
        <v>55</v>
      </c>
      <c r="F51" s="15" t="s">
        <v>207</v>
      </c>
      <c r="G51" s="15" t="s">
        <v>201</v>
      </c>
      <c r="H51" s="20" t="s">
        <v>35</v>
      </c>
      <c r="I51" s="15" t="s">
        <v>208</v>
      </c>
      <c r="J51" s="30">
        <v>43348</v>
      </c>
      <c r="K51" s="30">
        <v>43651</v>
      </c>
      <c r="L51" s="31">
        <f t="shared" si="0"/>
        <v>85.000001668065067</v>
      </c>
      <c r="M51" s="20">
        <v>7</v>
      </c>
      <c r="N51" s="20" t="s">
        <v>198</v>
      </c>
      <c r="O51" s="20" t="s">
        <v>209</v>
      </c>
      <c r="P51" s="32" t="s">
        <v>39</v>
      </c>
      <c r="Q51" s="20" t="s">
        <v>40</v>
      </c>
      <c r="R51" s="33">
        <f t="shared" si="30"/>
        <v>254786.23</v>
      </c>
      <c r="S51" s="35">
        <v>254786.23</v>
      </c>
      <c r="T51" s="2">
        <v>0</v>
      </c>
      <c r="U51" s="33">
        <f t="shared" si="2"/>
        <v>38967.300000000003</v>
      </c>
      <c r="V51" s="35">
        <v>38967.300000000003</v>
      </c>
      <c r="W51" s="2">
        <v>0</v>
      </c>
      <c r="X51" s="33">
        <f t="shared" si="9"/>
        <v>5994.97</v>
      </c>
      <c r="Y51" s="35">
        <v>5994.97</v>
      </c>
      <c r="Z51" s="35">
        <v>0</v>
      </c>
      <c r="AA51" s="2">
        <f t="shared" si="28"/>
        <v>0</v>
      </c>
      <c r="AB51" s="41">
        <v>0</v>
      </c>
      <c r="AC51" s="41">
        <v>0</v>
      </c>
      <c r="AD51" s="2">
        <f t="shared" si="31"/>
        <v>299748.5</v>
      </c>
      <c r="AE51" s="39">
        <v>0</v>
      </c>
      <c r="AF51" s="2">
        <f t="shared" si="29"/>
        <v>299748.5</v>
      </c>
      <c r="AG51" s="24" t="s">
        <v>41</v>
      </c>
      <c r="AH51" s="34" t="s">
        <v>35</v>
      </c>
      <c r="AI51" s="35">
        <v>238361.69</v>
      </c>
      <c r="AJ51" s="36">
        <v>36455.329999999994</v>
      </c>
      <c r="AK51" s="28">
        <f t="shared" si="6"/>
        <v>16424.540000000008</v>
      </c>
      <c r="AL51" s="28">
        <f t="shared" si="7"/>
        <v>2511.9700000000084</v>
      </c>
      <c r="AM51" s="29">
        <f t="shared" si="8"/>
        <v>0.93553599815814215</v>
      </c>
    </row>
    <row r="52" spans="1:39" ht="192" customHeight="1" x14ac:dyDescent="0.25">
      <c r="A52" s="10">
        <v>49</v>
      </c>
      <c r="B52" s="37">
        <v>126380</v>
      </c>
      <c r="C52" s="20">
        <v>567</v>
      </c>
      <c r="D52" s="15" t="s">
        <v>31</v>
      </c>
      <c r="E52" s="14" t="s">
        <v>65</v>
      </c>
      <c r="F52" s="4" t="s">
        <v>210</v>
      </c>
      <c r="G52" s="15" t="s">
        <v>211</v>
      </c>
      <c r="H52" s="20" t="s">
        <v>35</v>
      </c>
      <c r="I52" s="15" t="s">
        <v>212</v>
      </c>
      <c r="J52" s="30">
        <v>43440</v>
      </c>
      <c r="K52" s="30">
        <v>44414</v>
      </c>
      <c r="L52" s="31">
        <f t="shared" si="0"/>
        <v>85.00000001812522</v>
      </c>
      <c r="M52" s="20">
        <v>7</v>
      </c>
      <c r="N52" s="20" t="s">
        <v>198</v>
      </c>
      <c r="O52" s="20" t="s">
        <v>203</v>
      </c>
      <c r="P52" s="32" t="s">
        <v>39</v>
      </c>
      <c r="Q52" s="20" t="s">
        <v>40</v>
      </c>
      <c r="R52" s="33">
        <f>S52+T52</f>
        <v>2344798.5</v>
      </c>
      <c r="S52" s="35">
        <v>2344798.5</v>
      </c>
      <c r="T52" s="2">
        <v>0</v>
      </c>
      <c r="U52" s="33">
        <f t="shared" si="2"/>
        <v>358616.24</v>
      </c>
      <c r="V52" s="35">
        <v>358616.24</v>
      </c>
      <c r="W52" s="2">
        <v>0</v>
      </c>
      <c r="X52" s="33">
        <f t="shared" si="9"/>
        <v>55171.73</v>
      </c>
      <c r="Y52" s="35">
        <v>55171.73</v>
      </c>
      <c r="Z52" s="35">
        <v>0</v>
      </c>
      <c r="AA52" s="2">
        <f>AB52+AC52</f>
        <v>0</v>
      </c>
      <c r="AB52" s="41">
        <v>0</v>
      </c>
      <c r="AC52" s="41">
        <v>0</v>
      </c>
      <c r="AD52" s="2">
        <f>R52+U52+X52</f>
        <v>2758586.47</v>
      </c>
      <c r="AE52" s="39">
        <v>78540</v>
      </c>
      <c r="AF52" s="2">
        <f>AD52+AE52+AB52</f>
        <v>2837126.47</v>
      </c>
      <c r="AG52" s="39" t="s">
        <v>69</v>
      </c>
      <c r="AH52" s="34" t="s">
        <v>213</v>
      </c>
      <c r="AI52" s="35">
        <v>93072.41</v>
      </c>
      <c r="AJ52" s="36">
        <v>14234.6</v>
      </c>
      <c r="AK52" s="28">
        <f t="shared" si="6"/>
        <v>2251726.09</v>
      </c>
      <c r="AL52" s="28">
        <f t="shared" si="7"/>
        <v>344381.64</v>
      </c>
      <c r="AM52" s="29">
        <f t="shared" si="8"/>
        <v>3.9693137811202116E-2</v>
      </c>
    </row>
    <row r="53" spans="1:39" ht="192" customHeight="1" x14ac:dyDescent="0.25">
      <c r="A53" s="10">
        <v>50</v>
      </c>
      <c r="B53" s="37">
        <v>126524</v>
      </c>
      <c r="C53" s="20">
        <v>552</v>
      </c>
      <c r="D53" s="15" t="s">
        <v>31</v>
      </c>
      <c r="E53" s="14" t="s">
        <v>65</v>
      </c>
      <c r="F53" s="15" t="s">
        <v>214</v>
      </c>
      <c r="G53" s="15" t="s">
        <v>215</v>
      </c>
      <c r="H53" s="20" t="s">
        <v>35</v>
      </c>
      <c r="I53" s="15" t="s">
        <v>216</v>
      </c>
      <c r="J53" s="30">
        <v>43480</v>
      </c>
      <c r="K53" s="30">
        <v>44027</v>
      </c>
      <c r="L53" s="31">
        <f t="shared" si="0"/>
        <v>84.99999981002415</v>
      </c>
      <c r="M53" s="20">
        <v>7</v>
      </c>
      <c r="N53" s="20" t="s">
        <v>198</v>
      </c>
      <c r="O53" s="20" t="s">
        <v>203</v>
      </c>
      <c r="P53" s="32" t="s">
        <v>39</v>
      </c>
      <c r="Q53" s="20" t="s">
        <v>40</v>
      </c>
      <c r="R53" s="33">
        <f t="shared" ref="R53:R54" si="32">S53+T53</f>
        <v>2460839.27</v>
      </c>
      <c r="S53" s="35">
        <v>2460839.27</v>
      </c>
      <c r="T53" s="2">
        <v>0</v>
      </c>
      <c r="U53" s="33">
        <f t="shared" si="2"/>
        <v>376363.66</v>
      </c>
      <c r="V53" s="35">
        <v>376363.66</v>
      </c>
      <c r="W53" s="2"/>
      <c r="X53" s="33">
        <f t="shared" si="9"/>
        <v>57902.1</v>
      </c>
      <c r="Y53" s="35">
        <v>57902.1</v>
      </c>
      <c r="Z53" s="35">
        <v>0</v>
      </c>
      <c r="AA53" s="2">
        <f t="shared" ref="AA53:AA54" si="33">AB53+AC53</f>
        <v>0</v>
      </c>
      <c r="AB53" s="41">
        <v>0</v>
      </c>
      <c r="AC53" s="41">
        <v>0</v>
      </c>
      <c r="AD53" s="2">
        <f t="shared" ref="AD53" si="34">R53+U53+X53</f>
        <v>2895105.0300000003</v>
      </c>
      <c r="AE53" s="39">
        <v>0</v>
      </c>
      <c r="AF53" s="2">
        <f>AD53+AE53</f>
        <v>2895105.0300000003</v>
      </c>
      <c r="AG53" s="39" t="s">
        <v>69</v>
      </c>
      <c r="AH53" s="34"/>
      <c r="AI53" s="35">
        <v>132379.53999999998</v>
      </c>
      <c r="AJ53" s="36">
        <v>20246.28</v>
      </c>
      <c r="AK53" s="28">
        <f t="shared" si="6"/>
        <v>2328459.73</v>
      </c>
      <c r="AL53" s="28">
        <f t="shared" si="7"/>
        <v>356117.38</v>
      </c>
      <c r="AM53" s="29">
        <f t="shared" si="8"/>
        <v>5.3794468258790418E-2</v>
      </c>
    </row>
    <row r="54" spans="1:39" ht="192" customHeight="1" x14ac:dyDescent="0.25">
      <c r="A54" s="10">
        <v>51</v>
      </c>
      <c r="B54" s="37">
        <v>126332</v>
      </c>
      <c r="C54" s="20">
        <v>565</v>
      </c>
      <c r="D54" s="15" t="s">
        <v>31</v>
      </c>
      <c r="E54" s="14" t="s">
        <v>65</v>
      </c>
      <c r="F54" s="15" t="s">
        <v>217</v>
      </c>
      <c r="G54" s="15" t="s">
        <v>218</v>
      </c>
      <c r="H54" s="20" t="s">
        <v>35</v>
      </c>
      <c r="I54" s="43" t="s">
        <v>1854</v>
      </c>
      <c r="J54" s="30">
        <v>43601</v>
      </c>
      <c r="K54" s="30">
        <v>44516</v>
      </c>
      <c r="L54" s="31">
        <f t="shared" si="0"/>
        <v>85.000000553635857</v>
      </c>
      <c r="M54" s="20">
        <v>7</v>
      </c>
      <c r="N54" s="20" t="s">
        <v>198</v>
      </c>
      <c r="O54" s="20" t="s">
        <v>203</v>
      </c>
      <c r="P54" s="32" t="s">
        <v>39</v>
      </c>
      <c r="Q54" s="20" t="s">
        <v>40</v>
      </c>
      <c r="R54" s="33">
        <f t="shared" si="32"/>
        <v>1919131.5</v>
      </c>
      <c r="S54" s="35">
        <v>1919131.5</v>
      </c>
      <c r="T54" s="2">
        <v>0</v>
      </c>
      <c r="U54" s="33">
        <f t="shared" si="2"/>
        <v>293514.21000000002</v>
      </c>
      <c r="V54" s="35">
        <v>293514.21000000002</v>
      </c>
      <c r="W54" s="2">
        <v>0</v>
      </c>
      <c r="X54" s="33">
        <f t="shared" si="9"/>
        <v>45156.04</v>
      </c>
      <c r="Y54" s="35">
        <v>45156.04</v>
      </c>
      <c r="Z54" s="35">
        <v>0</v>
      </c>
      <c r="AA54" s="2">
        <f t="shared" si="33"/>
        <v>0</v>
      </c>
      <c r="AB54" s="41">
        <v>0</v>
      </c>
      <c r="AC54" s="41">
        <v>0</v>
      </c>
      <c r="AD54" s="2">
        <f>R54+U54+X54</f>
        <v>2257801.75</v>
      </c>
      <c r="AE54" s="39">
        <v>0</v>
      </c>
      <c r="AF54" s="2">
        <f>AD54+AE54</f>
        <v>2257801.75</v>
      </c>
      <c r="AG54" s="39" t="s">
        <v>69</v>
      </c>
      <c r="AH54" s="34"/>
      <c r="AI54" s="35">
        <v>110380.84999999999</v>
      </c>
      <c r="AJ54" s="36">
        <v>9619.1500000000051</v>
      </c>
      <c r="AK54" s="28">
        <f t="shared" si="6"/>
        <v>1808750.65</v>
      </c>
      <c r="AL54" s="28">
        <f t="shared" si="7"/>
        <v>283895.06</v>
      </c>
      <c r="AM54" s="29">
        <f t="shared" si="8"/>
        <v>5.7516043064271515E-2</v>
      </c>
    </row>
    <row r="55" spans="1:39" ht="192" customHeight="1" x14ac:dyDescent="0.25">
      <c r="A55" s="10">
        <v>52</v>
      </c>
      <c r="B55" s="37">
        <v>128663</v>
      </c>
      <c r="C55" s="20">
        <v>681</v>
      </c>
      <c r="D55" s="15" t="s">
        <v>31</v>
      </c>
      <c r="E55" s="14" t="s">
        <v>79</v>
      </c>
      <c r="F55" s="15" t="s">
        <v>219</v>
      </c>
      <c r="G55" s="15" t="s">
        <v>220</v>
      </c>
      <c r="H55" s="20" t="s">
        <v>221</v>
      </c>
      <c r="I55" s="43" t="s">
        <v>222</v>
      </c>
      <c r="J55" s="30">
        <v>43683</v>
      </c>
      <c r="K55" s="30">
        <v>44626</v>
      </c>
      <c r="L55" s="31">
        <f t="shared" si="0"/>
        <v>84.604864124271344</v>
      </c>
      <c r="M55" s="20">
        <v>7</v>
      </c>
      <c r="N55" s="20" t="s">
        <v>198</v>
      </c>
      <c r="O55" s="20" t="s">
        <v>203</v>
      </c>
      <c r="P55" s="32" t="s">
        <v>39</v>
      </c>
      <c r="Q55" s="20" t="s">
        <v>40</v>
      </c>
      <c r="R55" s="33">
        <f>S55+T55</f>
        <v>3173338.49</v>
      </c>
      <c r="S55" s="35">
        <v>3173338.49</v>
      </c>
      <c r="T55" s="2">
        <v>0</v>
      </c>
      <c r="U55" s="33">
        <f>V55+W55</f>
        <v>502421.47</v>
      </c>
      <c r="V55" s="35">
        <v>502421.47</v>
      </c>
      <c r="W55" s="2">
        <v>0</v>
      </c>
      <c r="X55" s="33">
        <f t="shared" si="9"/>
        <v>57579.43</v>
      </c>
      <c r="Y55" s="35">
        <v>57579.43</v>
      </c>
      <c r="Z55" s="35"/>
      <c r="AA55" s="2">
        <f>AB55+AC55</f>
        <v>17436.080000000002</v>
      </c>
      <c r="AB55" s="41">
        <v>17436.080000000002</v>
      </c>
      <c r="AC55" s="41">
        <v>0</v>
      </c>
      <c r="AD55" s="2">
        <f>R55+U55+X55+AA55</f>
        <v>3750775.47</v>
      </c>
      <c r="AE55" s="39">
        <v>0</v>
      </c>
      <c r="AF55" s="2"/>
      <c r="AG55" s="39" t="s">
        <v>69</v>
      </c>
      <c r="AH55" s="34" t="s">
        <v>223</v>
      </c>
      <c r="AI55" s="35">
        <f>29936.15+58571.7+142260.5</f>
        <v>230768.35</v>
      </c>
      <c r="AJ55" s="36">
        <f>4578.47+10336.18+24340.57</f>
        <v>39255.22</v>
      </c>
      <c r="AK55" s="28">
        <f t="shared" si="6"/>
        <v>2942570.14</v>
      </c>
      <c r="AL55" s="28">
        <f t="shared" si="7"/>
        <v>463166.25</v>
      </c>
      <c r="AM55" s="29">
        <f t="shared" si="8"/>
        <v>7.2721000525853133E-2</v>
      </c>
    </row>
    <row r="56" spans="1:39" ht="192" customHeight="1" x14ac:dyDescent="0.25">
      <c r="A56" s="10">
        <v>53</v>
      </c>
      <c r="B56" s="37">
        <v>120503</v>
      </c>
      <c r="C56" s="20">
        <v>80</v>
      </c>
      <c r="D56" s="15" t="s">
        <v>31</v>
      </c>
      <c r="E56" s="14" t="s">
        <v>224</v>
      </c>
      <c r="F56" s="4" t="s">
        <v>225</v>
      </c>
      <c r="G56" s="15" t="s">
        <v>226</v>
      </c>
      <c r="H56" s="20" t="s">
        <v>35</v>
      </c>
      <c r="I56" s="16" t="s">
        <v>227</v>
      </c>
      <c r="J56" s="30">
        <v>43173</v>
      </c>
      <c r="K56" s="30">
        <v>43599</v>
      </c>
      <c r="L56" s="31">
        <f t="shared" si="0"/>
        <v>79.999997969650394</v>
      </c>
      <c r="M56" s="20">
        <v>8</v>
      </c>
      <c r="N56" s="20" t="s">
        <v>228</v>
      </c>
      <c r="O56" s="20" t="s">
        <v>229</v>
      </c>
      <c r="P56" s="32" t="s">
        <v>39</v>
      </c>
      <c r="Q56" s="20" t="s">
        <v>40</v>
      </c>
      <c r="R56" s="33">
        <f t="shared" ref="R56:R59" si="35">S56+T56</f>
        <v>315216.64000000001</v>
      </c>
      <c r="S56" s="2">
        <v>0</v>
      </c>
      <c r="T56" s="2">
        <v>315216.64000000001</v>
      </c>
      <c r="U56" s="33">
        <f t="shared" si="2"/>
        <v>70923.75</v>
      </c>
      <c r="V56" s="2">
        <v>0</v>
      </c>
      <c r="W56" s="2">
        <v>70923.75</v>
      </c>
      <c r="X56" s="33">
        <f t="shared" si="9"/>
        <v>7880.42</v>
      </c>
      <c r="Y56" s="2">
        <v>0</v>
      </c>
      <c r="Z56" s="2">
        <v>7880.42</v>
      </c>
      <c r="AA56" s="2">
        <f t="shared" si="28"/>
        <v>0</v>
      </c>
      <c r="AB56" s="68">
        <v>0</v>
      </c>
      <c r="AC56" s="68">
        <v>0</v>
      </c>
      <c r="AD56" s="2">
        <f>R56+U56+X56+AA56</f>
        <v>394020.81</v>
      </c>
      <c r="AE56" s="2">
        <v>0</v>
      </c>
      <c r="AF56" s="2">
        <f t="shared" si="29"/>
        <v>394020.81</v>
      </c>
      <c r="AG56" s="24" t="s">
        <v>41</v>
      </c>
      <c r="AH56" s="34" t="s">
        <v>35</v>
      </c>
      <c r="AI56" s="35">
        <v>238501.38</v>
      </c>
      <c r="AJ56" s="36">
        <v>53662.82</v>
      </c>
      <c r="AK56" s="28">
        <f t="shared" si="6"/>
        <v>76715.260000000009</v>
      </c>
      <c r="AL56" s="28">
        <f t="shared" si="7"/>
        <v>17260.93</v>
      </c>
      <c r="AM56" s="29">
        <f t="shared" si="8"/>
        <v>0.75662687096721792</v>
      </c>
    </row>
    <row r="57" spans="1:39" ht="192" customHeight="1" x14ac:dyDescent="0.25">
      <c r="A57" s="10">
        <v>54</v>
      </c>
      <c r="B57" s="37">
        <v>120710</v>
      </c>
      <c r="C57" s="20">
        <v>103</v>
      </c>
      <c r="D57" s="15" t="s">
        <v>31</v>
      </c>
      <c r="E57" s="14" t="s">
        <v>224</v>
      </c>
      <c r="F57" s="32" t="s">
        <v>230</v>
      </c>
      <c r="G57" s="15" t="s">
        <v>231</v>
      </c>
      <c r="H57" s="20" t="s">
        <v>35</v>
      </c>
      <c r="I57" s="61" t="s">
        <v>232</v>
      </c>
      <c r="J57" s="30">
        <v>43227</v>
      </c>
      <c r="K57" s="30">
        <v>43776</v>
      </c>
      <c r="L57" s="31">
        <f t="shared" si="0"/>
        <v>79.999999056893557</v>
      </c>
      <c r="M57" s="20">
        <v>8</v>
      </c>
      <c r="N57" s="20" t="s">
        <v>228</v>
      </c>
      <c r="O57" s="20" t="s">
        <v>229</v>
      </c>
      <c r="P57" s="20" t="s">
        <v>39</v>
      </c>
      <c r="Q57" s="20" t="s">
        <v>40</v>
      </c>
      <c r="R57" s="33">
        <f t="shared" si="35"/>
        <v>339304.22</v>
      </c>
      <c r="S57" s="41">
        <v>0</v>
      </c>
      <c r="T57" s="69">
        <v>339304.22</v>
      </c>
      <c r="U57" s="33">
        <f t="shared" si="2"/>
        <v>76343.45</v>
      </c>
      <c r="V57" s="41">
        <v>0</v>
      </c>
      <c r="W57" s="69">
        <v>76343.45</v>
      </c>
      <c r="X57" s="33">
        <f t="shared" si="9"/>
        <v>8482.61</v>
      </c>
      <c r="Y57" s="35">
        <v>0</v>
      </c>
      <c r="Z57" s="2">
        <v>8482.61</v>
      </c>
      <c r="AA57" s="2">
        <f t="shared" si="28"/>
        <v>0</v>
      </c>
      <c r="AB57" s="35">
        <v>0</v>
      </c>
      <c r="AC57" s="35">
        <v>0</v>
      </c>
      <c r="AD57" s="2">
        <f t="shared" ref="AD57:AD59" si="36">R57+U57+X57+AA57</f>
        <v>424130.27999999997</v>
      </c>
      <c r="AE57" s="39">
        <v>0</v>
      </c>
      <c r="AF57" s="2">
        <f t="shared" si="29"/>
        <v>424130.27999999997</v>
      </c>
      <c r="AG57" s="24" t="s">
        <v>41</v>
      </c>
      <c r="AH57" s="70" t="s">
        <v>233</v>
      </c>
      <c r="AI57" s="35">
        <f>52550.4+283857.46</f>
        <v>336407.86000000004</v>
      </c>
      <c r="AJ57" s="36">
        <f>11823.84+63867.93</f>
        <v>75691.77</v>
      </c>
      <c r="AK57" s="28">
        <f t="shared" si="6"/>
        <v>2896.3599999999278</v>
      </c>
      <c r="AL57" s="28">
        <f t="shared" si="7"/>
        <v>651.67999999999302</v>
      </c>
      <c r="AM57" s="29">
        <f t="shared" si="8"/>
        <v>0.99146382558990886</v>
      </c>
    </row>
    <row r="58" spans="1:39" ht="192" customHeight="1" x14ac:dyDescent="0.25">
      <c r="A58" s="10">
        <v>55</v>
      </c>
      <c r="B58" s="37">
        <v>117665</v>
      </c>
      <c r="C58" s="20">
        <v>413</v>
      </c>
      <c r="D58" s="15" t="s">
        <v>54</v>
      </c>
      <c r="E58" s="14" t="s">
        <v>234</v>
      </c>
      <c r="F58" s="32" t="s">
        <v>235</v>
      </c>
      <c r="G58" s="15" t="s">
        <v>226</v>
      </c>
      <c r="H58" s="20" t="s">
        <v>35</v>
      </c>
      <c r="I58" s="61" t="s">
        <v>236</v>
      </c>
      <c r="J58" s="30">
        <v>43290</v>
      </c>
      <c r="K58" s="30">
        <v>43625</v>
      </c>
      <c r="L58" s="31">
        <f t="shared" si="0"/>
        <v>80</v>
      </c>
      <c r="M58" s="20">
        <v>8</v>
      </c>
      <c r="N58" s="20" t="s">
        <v>228</v>
      </c>
      <c r="O58" s="20" t="s">
        <v>228</v>
      </c>
      <c r="P58" s="20" t="s">
        <v>39</v>
      </c>
      <c r="Q58" s="20" t="s">
        <v>40</v>
      </c>
      <c r="R58" s="33">
        <f t="shared" si="35"/>
        <v>224534.64</v>
      </c>
      <c r="S58" s="41">
        <v>0</v>
      </c>
      <c r="T58" s="2">
        <v>224534.64</v>
      </c>
      <c r="U58" s="33">
        <f t="shared" si="2"/>
        <v>50520.29</v>
      </c>
      <c r="V58" s="41">
        <v>0</v>
      </c>
      <c r="W58" s="2">
        <v>50520.29</v>
      </c>
      <c r="X58" s="33">
        <f t="shared" si="9"/>
        <v>5613.37</v>
      </c>
      <c r="Y58" s="35">
        <v>0</v>
      </c>
      <c r="Z58" s="2">
        <v>5613.37</v>
      </c>
      <c r="AA58" s="2">
        <f t="shared" si="28"/>
        <v>0</v>
      </c>
      <c r="AB58" s="35">
        <v>0</v>
      </c>
      <c r="AC58" s="35">
        <v>0</v>
      </c>
      <c r="AD58" s="2">
        <f t="shared" si="36"/>
        <v>280668.3</v>
      </c>
      <c r="AE58" s="39">
        <v>0</v>
      </c>
      <c r="AF58" s="2">
        <f t="shared" si="29"/>
        <v>280668.3</v>
      </c>
      <c r="AG58" s="24" t="s">
        <v>41</v>
      </c>
      <c r="AH58" s="70" t="s">
        <v>237</v>
      </c>
      <c r="AI58" s="35">
        <f>174905.44</f>
        <v>174905.44</v>
      </c>
      <c r="AJ58" s="36">
        <v>39353.72</v>
      </c>
      <c r="AK58" s="28">
        <f t="shared" si="6"/>
        <v>49629.200000000012</v>
      </c>
      <c r="AL58" s="28">
        <f t="shared" si="7"/>
        <v>11166.57</v>
      </c>
      <c r="AM58" s="29">
        <f t="shared" si="8"/>
        <v>0.77896862595455196</v>
      </c>
    </row>
    <row r="59" spans="1:39" ht="192" customHeight="1" x14ac:dyDescent="0.25">
      <c r="A59" s="10">
        <v>56</v>
      </c>
      <c r="B59" s="37">
        <v>117676</v>
      </c>
      <c r="C59" s="20">
        <v>414</v>
      </c>
      <c r="D59" s="15" t="s">
        <v>54</v>
      </c>
      <c r="E59" s="14" t="s">
        <v>234</v>
      </c>
      <c r="F59" s="32" t="s">
        <v>238</v>
      </c>
      <c r="G59" s="15" t="s">
        <v>239</v>
      </c>
      <c r="H59" s="20" t="s">
        <v>35</v>
      </c>
      <c r="I59" s="61" t="s">
        <v>240</v>
      </c>
      <c r="J59" s="30">
        <v>43348</v>
      </c>
      <c r="K59" s="30">
        <v>43713</v>
      </c>
      <c r="L59" s="31">
        <f t="shared" si="0"/>
        <v>80.000002000969275</v>
      </c>
      <c r="M59" s="20">
        <v>8</v>
      </c>
      <c r="N59" s="20" t="s">
        <v>228</v>
      </c>
      <c r="O59" s="20" t="s">
        <v>229</v>
      </c>
      <c r="P59" s="20" t="s">
        <v>39</v>
      </c>
      <c r="Q59" s="20" t="s">
        <v>40</v>
      </c>
      <c r="R59" s="33">
        <f t="shared" si="35"/>
        <v>239883.75</v>
      </c>
      <c r="S59" s="35">
        <v>0</v>
      </c>
      <c r="T59" s="2">
        <v>239883.75</v>
      </c>
      <c r="U59" s="33">
        <f t="shared" si="2"/>
        <v>53973.85</v>
      </c>
      <c r="V59" s="35">
        <v>0</v>
      </c>
      <c r="W59" s="2">
        <v>53973.85</v>
      </c>
      <c r="X59" s="33">
        <f t="shared" si="9"/>
        <v>5997.08</v>
      </c>
      <c r="Y59" s="35">
        <v>0</v>
      </c>
      <c r="Z59" s="2">
        <v>5997.08</v>
      </c>
      <c r="AA59" s="2">
        <f t="shared" si="28"/>
        <v>0</v>
      </c>
      <c r="AB59" s="41">
        <v>0</v>
      </c>
      <c r="AC59" s="41">
        <v>0</v>
      </c>
      <c r="AD59" s="2">
        <f t="shared" si="36"/>
        <v>299854.68</v>
      </c>
      <c r="AE59" s="39">
        <v>0</v>
      </c>
      <c r="AF59" s="2">
        <f t="shared" si="29"/>
        <v>299854.68</v>
      </c>
      <c r="AG59" s="24" t="s">
        <v>41</v>
      </c>
      <c r="AH59" s="39"/>
      <c r="AI59" s="35">
        <f>102261.61+121535.79</f>
        <v>223797.4</v>
      </c>
      <c r="AJ59" s="36">
        <f>23008.85+27345.55</f>
        <v>50354.399999999994</v>
      </c>
      <c r="AK59" s="28">
        <f t="shared" si="6"/>
        <v>16086.350000000006</v>
      </c>
      <c r="AL59" s="28">
        <f t="shared" si="7"/>
        <v>3619.4500000000044</v>
      </c>
      <c r="AM59" s="29">
        <f t="shared" si="8"/>
        <v>0.93294105999260057</v>
      </c>
    </row>
    <row r="60" spans="1:39" ht="192" customHeight="1" x14ac:dyDescent="0.25">
      <c r="A60" s="10">
        <v>57</v>
      </c>
      <c r="B60" s="37">
        <v>126477</v>
      </c>
      <c r="C60" s="20">
        <v>507</v>
      </c>
      <c r="D60" s="15" t="s">
        <v>31</v>
      </c>
      <c r="E60" s="14" t="s">
        <v>241</v>
      </c>
      <c r="F60" s="32" t="s">
        <v>242</v>
      </c>
      <c r="G60" s="15" t="s">
        <v>243</v>
      </c>
      <c r="H60" s="20" t="s">
        <v>132</v>
      </c>
      <c r="I60" s="61" t="s">
        <v>244</v>
      </c>
      <c r="J60" s="30">
        <v>43433</v>
      </c>
      <c r="K60" s="30">
        <v>44133</v>
      </c>
      <c r="L60" s="31">
        <f t="shared" si="0"/>
        <v>79.999999536713688</v>
      </c>
      <c r="M60" s="20">
        <v>8</v>
      </c>
      <c r="N60" s="20" t="s">
        <v>228</v>
      </c>
      <c r="O60" s="20" t="s">
        <v>228</v>
      </c>
      <c r="P60" s="20" t="s">
        <v>39</v>
      </c>
      <c r="Q60" s="20" t="s">
        <v>40</v>
      </c>
      <c r="R60" s="33">
        <f>S60+T60</f>
        <v>3108229.07</v>
      </c>
      <c r="S60" s="35">
        <v>0</v>
      </c>
      <c r="T60" s="2">
        <v>3108229.07</v>
      </c>
      <c r="U60" s="33">
        <f t="shared" si="2"/>
        <v>699351.56</v>
      </c>
      <c r="V60" s="35">
        <v>0</v>
      </c>
      <c r="W60" s="2">
        <v>699351.56</v>
      </c>
      <c r="X60" s="33">
        <f t="shared" si="9"/>
        <v>77705.73</v>
      </c>
      <c r="Y60" s="35">
        <v>0</v>
      </c>
      <c r="Z60" s="2">
        <v>77705.73</v>
      </c>
      <c r="AA60" s="2">
        <f>AB60+AC60</f>
        <v>0</v>
      </c>
      <c r="AB60" s="2">
        <v>0</v>
      </c>
      <c r="AC60" s="2">
        <v>0</v>
      </c>
      <c r="AD60" s="2">
        <f>R60+U60+X60+AA60</f>
        <v>3885286.36</v>
      </c>
      <c r="AE60" s="39"/>
      <c r="AF60" s="2">
        <f>AD60+AE60</f>
        <v>3885286.36</v>
      </c>
      <c r="AG60" s="39" t="s">
        <v>69</v>
      </c>
      <c r="AH60" s="39" t="s">
        <v>245</v>
      </c>
      <c r="AI60" s="35">
        <f>31416+63879.95+11508</f>
        <v>106803.95</v>
      </c>
      <c r="AJ60" s="36">
        <f>7068.6+14373+2589.3</f>
        <v>24030.899999999998</v>
      </c>
      <c r="AK60" s="28">
        <f t="shared" si="6"/>
        <v>3001425.1199999996</v>
      </c>
      <c r="AL60" s="28">
        <f t="shared" si="7"/>
        <v>675320.66</v>
      </c>
      <c r="AM60" s="29">
        <f t="shared" si="8"/>
        <v>3.4361672706445669E-2</v>
      </c>
    </row>
    <row r="61" spans="1:39" ht="192" customHeight="1" x14ac:dyDescent="0.25">
      <c r="A61" s="10">
        <v>58</v>
      </c>
      <c r="B61" s="37">
        <v>126372</v>
      </c>
      <c r="C61" s="20">
        <v>510</v>
      </c>
      <c r="D61" s="15" t="s">
        <v>31</v>
      </c>
      <c r="E61" s="14" t="s">
        <v>241</v>
      </c>
      <c r="F61" s="32" t="s">
        <v>246</v>
      </c>
      <c r="G61" s="15" t="s">
        <v>247</v>
      </c>
      <c r="H61" s="20" t="s">
        <v>132</v>
      </c>
      <c r="I61" s="61" t="s">
        <v>248</v>
      </c>
      <c r="J61" s="30">
        <v>43445</v>
      </c>
      <c r="K61" s="30">
        <v>44358</v>
      </c>
      <c r="L61" s="31">
        <f t="shared" si="0"/>
        <v>80</v>
      </c>
      <c r="M61" s="20">
        <v>8</v>
      </c>
      <c r="N61" s="20" t="s">
        <v>228</v>
      </c>
      <c r="O61" s="20" t="s">
        <v>228</v>
      </c>
      <c r="P61" s="20" t="s">
        <v>39</v>
      </c>
      <c r="Q61" s="20" t="s">
        <v>40</v>
      </c>
      <c r="R61" s="33">
        <f t="shared" ref="R61:R68" si="37">S61+T61</f>
        <v>2932376.8</v>
      </c>
      <c r="S61" s="35">
        <v>0</v>
      </c>
      <c r="T61" s="2">
        <v>2932376.8</v>
      </c>
      <c r="U61" s="33">
        <f t="shared" si="2"/>
        <v>659784.78</v>
      </c>
      <c r="V61" s="35">
        <v>0</v>
      </c>
      <c r="W61" s="2">
        <v>659784.78</v>
      </c>
      <c r="X61" s="33">
        <f t="shared" si="9"/>
        <v>73309.42</v>
      </c>
      <c r="Y61" s="35">
        <v>0</v>
      </c>
      <c r="Z61" s="2">
        <v>73309.42</v>
      </c>
      <c r="AA61" s="2">
        <f>AB61+AC61</f>
        <v>0</v>
      </c>
      <c r="AB61" s="35">
        <v>0</v>
      </c>
      <c r="AC61" s="35">
        <v>0</v>
      </c>
      <c r="AD61" s="2">
        <f>R61+U61+X61+AA61</f>
        <v>3665471</v>
      </c>
      <c r="AE61" s="42">
        <v>127687</v>
      </c>
      <c r="AF61" s="2">
        <f>AD61+AE61</f>
        <v>3793158</v>
      </c>
      <c r="AG61" s="39" t="s">
        <v>69</v>
      </c>
      <c r="AH61" s="39" t="s">
        <v>35</v>
      </c>
      <c r="AI61" s="35">
        <f>93106.9+44982.4</f>
        <v>138089.29999999999</v>
      </c>
      <c r="AJ61" s="36">
        <f>20949.06+10121.04</f>
        <v>31070.100000000002</v>
      </c>
      <c r="AK61" s="28">
        <f t="shared" si="6"/>
        <v>2794287.5</v>
      </c>
      <c r="AL61" s="28">
        <f t="shared" si="7"/>
        <v>628714.68000000005</v>
      </c>
      <c r="AM61" s="29">
        <f t="shared" si="8"/>
        <v>4.7091253757020585E-2</v>
      </c>
    </row>
    <row r="62" spans="1:39" ht="192" customHeight="1" x14ac:dyDescent="0.25">
      <c r="A62" s="10">
        <v>59</v>
      </c>
      <c r="B62" s="37">
        <v>128825</v>
      </c>
      <c r="C62" s="20">
        <v>661</v>
      </c>
      <c r="D62" s="15" t="s">
        <v>31</v>
      </c>
      <c r="E62" s="14" t="s">
        <v>249</v>
      </c>
      <c r="F62" s="32" t="s">
        <v>250</v>
      </c>
      <c r="G62" s="20" t="s">
        <v>251</v>
      </c>
      <c r="H62" s="20" t="s">
        <v>252</v>
      </c>
      <c r="I62" s="61" t="s">
        <v>253</v>
      </c>
      <c r="J62" s="30">
        <v>43635</v>
      </c>
      <c r="K62" s="30">
        <v>44427</v>
      </c>
      <c r="L62" s="31">
        <f t="shared" si="0"/>
        <v>79.493002830992353</v>
      </c>
      <c r="M62" s="20">
        <v>8</v>
      </c>
      <c r="N62" s="20" t="s">
        <v>228</v>
      </c>
      <c r="O62" s="20" t="s">
        <v>228</v>
      </c>
      <c r="P62" s="20" t="s">
        <v>39</v>
      </c>
      <c r="Q62" s="20" t="s">
        <v>40</v>
      </c>
      <c r="R62" s="33">
        <f t="shared" si="37"/>
        <v>3436600.48</v>
      </c>
      <c r="S62" s="35">
        <v>0</v>
      </c>
      <c r="T62" s="2">
        <v>3436600.48</v>
      </c>
      <c r="U62" s="33">
        <f t="shared" si="2"/>
        <v>800084.95</v>
      </c>
      <c r="V62" s="35">
        <v>0</v>
      </c>
      <c r="W62" s="2">
        <v>800084.95</v>
      </c>
      <c r="X62" s="33">
        <f t="shared" si="9"/>
        <v>59065.17</v>
      </c>
      <c r="Y62" s="35">
        <v>0</v>
      </c>
      <c r="Z62" s="2">
        <v>59065.17</v>
      </c>
      <c r="AA62" s="2">
        <f t="shared" ref="AA62" si="38">AB62+AC62</f>
        <v>27397.8</v>
      </c>
      <c r="AB62" s="35">
        <v>0</v>
      </c>
      <c r="AC62" s="35">
        <v>27397.8</v>
      </c>
      <c r="AD62" s="2">
        <f t="shared" ref="AD62:AD82" si="39">R62+U62+X62+AA62</f>
        <v>4323148.3999999994</v>
      </c>
      <c r="AE62" s="42">
        <v>29750</v>
      </c>
      <c r="AF62" s="2">
        <f t="shared" ref="AF62:AF82" si="40">AD62+AE62</f>
        <v>4352898.3999999994</v>
      </c>
      <c r="AG62" s="39" t="s">
        <v>69</v>
      </c>
      <c r="AH62" s="39" t="s">
        <v>35</v>
      </c>
      <c r="AI62" s="35">
        <v>520199.46</v>
      </c>
      <c r="AJ62" s="36">
        <v>52823.78</v>
      </c>
      <c r="AK62" s="28">
        <f t="shared" si="6"/>
        <v>2916401.02</v>
      </c>
      <c r="AL62" s="28">
        <f t="shared" si="7"/>
        <v>747261.16999999993</v>
      </c>
      <c r="AM62" s="29">
        <f t="shared" si="8"/>
        <v>0.15137036237625154</v>
      </c>
    </row>
    <row r="63" spans="1:39" ht="192" customHeight="1" x14ac:dyDescent="0.25">
      <c r="A63" s="10">
        <v>60</v>
      </c>
      <c r="B63" s="37">
        <v>118575</v>
      </c>
      <c r="C63" s="20">
        <v>7</v>
      </c>
      <c r="D63" s="20" t="s">
        <v>254</v>
      </c>
      <c r="E63" s="14" t="s">
        <v>255</v>
      </c>
      <c r="F63" s="15" t="s">
        <v>256</v>
      </c>
      <c r="G63" s="32" t="s">
        <v>257</v>
      </c>
      <c r="H63" s="20" t="s">
        <v>35</v>
      </c>
      <c r="I63" s="55" t="s">
        <v>258</v>
      </c>
      <c r="J63" s="30">
        <v>42592</v>
      </c>
      <c r="K63" s="30">
        <v>44114</v>
      </c>
      <c r="L63" s="31">
        <f t="shared" si="0"/>
        <v>83.983862823517285</v>
      </c>
      <c r="M63" s="20" t="s">
        <v>259</v>
      </c>
      <c r="N63" s="20" t="s">
        <v>229</v>
      </c>
      <c r="O63" s="20" t="s">
        <v>229</v>
      </c>
      <c r="P63" s="32" t="s">
        <v>260</v>
      </c>
      <c r="Q63" s="20" t="s">
        <v>40</v>
      </c>
      <c r="R63" s="2">
        <f t="shared" si="37"/>
        <v>8244072.25</v>
      </c>
      <c r="S63" s="2">
        <v>6648126</v>
      </c>
      <c r="T63" s="2">
        <v>1595946.25</v>
      </c>
      <c r="U63" s="2">
        <f t="shared" si="2"/>
        <v>0</v>
      </c>
      <c r="V63" s="2">
        <v>0</v>
      </c>
      <c r="W63" s="2">
        <v>0</v>
      </c>
      <c r="X63" s="2">
        <f t="shared" si="9"/>
        <v>1572185.27</v>
      </c>
      <c r="Y63" s="2">
        <v>1173198.71</v>
      </c>
      <c r="Z63" s="2">
        <v>398986.56</v>
      </c>
      <c r="AA63" s="2">
        <f>AB63+AC63</f>
        <v>0</v>
      </c>
      <c r="AB63" s="2">
        <v>0</v>
      </c>
      <c r="AC63" s="2">
        <v>0</v>
      </c>
      <c r="AD63" s="2">
        <f t="shared" si="39"/>
        <v>9816257.5199999996</v>
      </c>
      <c r="AE63" s="2">
        <v>0</v>
      </c>
      <c r="AF63" s="2">
        <f t="shared" si="40"/>
        <v>9816257.5199999996</v>
      </c>
      <c r="AG63" s="39" t="s">
        <v>69</v>
      </c>
      <c r="AH63" s="34" t="s">
        <v>261</v>
      </c>
      <c r="AI63" s="35">
        <v>2526006.8199999994</v>
      </c>
      <c r="AJ63" s="36">
        <v>0</v>
      </c>
      <c r="AK63" s="28">
        <f t="shared" si="6"/>
        <v>5718065.4300000006</v>
      </c>
      <c r="AL63" s="28">
        <f t="shared" si="7"/>
        <v>0</v>
      </c>
      <c r="AM63" s="29">
        <f t="shared" si="8"/>
        <v>0.30640279990268149</v>
      </c>
    </row>
    <row r="64" spans="1:39" ht="192" customHeight="1" x14ac:dyDescent="0.25">
      <c r="A64" s="10">
        <v>61</v>
      </c>
      <c r="B64" s="37">
        <v>128335</v>
      </c>
      <c r="C64" s="20">
        <v>634</v>
      </c>
      <c r="D64" s="15" t="s">
        <v>31</v>
      </c>
      <c r="E64" s="14" t="s">
        <v>249</v>
      </c>
      <c r="F64" s="32" t="s">
        <v>262</v>
      </c>
      <c r="G64" s="20" t="s">
        <v>263</v>
      </c>
      <c r="H64" s="20" t="s">
        <v>264</v>
      </c>
      <c r="I64" s="61" t="s">
        <v>265</v>
      </c>
      <c r="J64" s="30">
        <v>43647</v>
      </c>
      <c r="K64" s="30">
        <v>44562</v>
      </c>
      <c r="L64" s="31">
        <f t="shared" si="0"/>
        <v>79.99999994861092</v>
      </c>
      <c r="M64" s="20">
        <v>8</v>
      </c>
      <c r="N64" s="20" t="s">
        <v>228</v>
      </c>
      <c r="O64" s="20" t="s">
        <v>228</v>
      </c>
      <c r="P64" s="20" t="s">
        <v>39</v>
      </c>
      <c r="Q64" s="20" t="s">
        <v>40</v>
      </c>
      <c r="R64" s="33">
        <f t="shared" si="37"/>
        <v>3113501.31</v>
      </c>
      <c r="S64" s="35">
        <v>0</v>
      </c>
      <c r="T64" s="2">
        <v>3113501.31</v>
      </c>
      <c r="U64" s="33">
        <f t="shared" si="2"/>
        <v>700537.78</v>
      </c>
      <c r="V64" s="35">
        <v>0</v>
      </c>
      <c r="W64" s="2">
        <v>700537.78</v>
      </c>
      <c r="X64" s="33">
        <f t="shared" si="9"/>
        <v>77837.55</v>
      </c>
      <c r="Y64" s="35">
        <v>0</v>
      </c>
      <c r="Z64" s="2">
        <v>77837.55</v>
      </c>
      <c r="AA64" s="2">
        <v>0</v>
      </c>
      <c r="AB64" s="35">
        <v>0</v>
      </c>
      <c r="AC64" s="35">
        <v>0</v>
      </c>
      <c r="AD64" s="2">
        <f t="shared" si="39"/>
        <v>3891876.6399999997</v>
      </c>
      <c r="AE64" s="42">
        <v>0</v>
      </c>
      <c r="AF64" s="2">
        <f t="shared" si="40"/>
        <v>3891876.6399999997</v>
      </c>
      <c r="AG64" s="39" t="s">
        <v>69</v>
      </c>
      <c r="AH64" s="39" t="s">
        <v>35</v>
      </c>
      <c r="AI64" s="35">
        <v>55820.78</v>
      </c>
      <c r="AJ64" s="36">
        <f>12559.67</f>
        <v>12559.67</v>
      </c>
      <c r="AK64" s="28">
        <f t="shared" si="6"/>
        <v>3057680.5300000003</v>
      </c>
      <c r="AL64" s="28">
        <f t="shared" si="7"/>
        <v>687978.11</v>
      </c>
      <c r="AM64" s="29">
        <f t="shared" si="8"/>
        <v>1.7928619403728467E-2</v>
      </c>
    </row>
    <row r="65" spans="1:39" ht="192" customHeight="1" x14ac:dyDescent="0.25">
      <c r="A65" s="10">
        <v>62</v>
      </c>
      <c r="B65" s="37">
        <v>129694</v>
      </c>
      <c r="C65" s="20">
        <v>694</v>
      </c>
      <c r="D65" s="15" t="s">
        <v>31</v>
      </c>
      <c r="E65" s="14" t="s">
        <v>249</v>
      </c>
      <c r="F65" s="32" t="s">
        <v>266</v>
      </c>
      <c r="G65" s="20" t="s">
        <v>267</v>
      </c>
      <c r="H65" s="20" t="s">
        <v>252</v>
      </c>
      <c r="I65" s="15" t="s">
        <v>268</v>
      </c>
      <c r="J65" s="30">
        <v>43635</v>
      </c>
      <c r="K65" s="30">
        <v>44458</v>
      </c>
      <c r="L65" s="31">
        <f t="shared" si="0"/>
        <v>79.559234452662935</v>
      </c>
      <c r="M65" s="20">
        <v>8</v>
      </c>
      <c r="N65" s="20" t="s">
        <v>228</v>
      </c>
      <c r="O65" s="20" t="s">
        <v>228</v>
      </c>
      <c r="P65" s="20" t="s">
        <v>39</v>
      </c>
      <c r="Q65" s="20" t="s">
        <v>40</v>
      </c>
      <c r="R65" s="33">
        <f t="shared" si="37"/>
        <v>3495320.83</v>
      </c>
      <c r="S65" s="35">
        <v>0</v>
      </c>
      <c r="T65" s="2">
        <v>3495320.83</v>
      </c>
      <c r="U65" s="33">
        <f t="shared" si="2"/>
        <v>810168.58</v>
      </c>
      <c r="V65" s="35">
        <v>0</v>
      </c>
      <c r="W65" s="2">
        <v>810168.58</v>
      </c>
      <c r="X65" s="33">
        <f t="shared" si="9"/>
        <v>63661.63</v>
      </c>
      <c r="Y65" s="35">
        <v>0</v>
      </c>
      <c r="Z65" s="2">
        <v>63661.63</v>
      </c>
      <c r="AA65" s="2">
        <f t="shared" ref="AA65:AA70" si="41">AB65+AC65</f>
        <v>24205.5</v>
      </c>
      <c r="AB65" s="35">
        <v>0</v>
      </c>
      <c r="AC65" s="35">
        <v>24205.5</v>
      </c>
      <c r="AD65" s="2">
        <f t="shared" si="39"/>
        <v>4393356.54</v>
      </c>
      <c r="AE65" s="42">
        <v>0</v>
      </c>
      <c r="AF65" s="2">
        <f t="shared" si="40"/>
        <v>4393356.54</v>
      </c>
      <c r="AG65" s="39" t="s">
        <v>69</v>
      </c>
      <c r="AH65" s="39" t="s">
        <v>35</v>
      </c>
      <c r="AI65" s="35">
        <v>136459.57999999999</v>
      </c>
      <c r="AJ65" s="36">
        <f>8615.16</f>
        <v>8615.16</v>
      </c>
      <c r="AK65" s="28">
        <f t="shared" si="6"/>
        <v>3358861.25</v>
      </c>
      <c r="AL65" s="28">
        <f t="shared" si="7"/>
        <v>801553.41999999993</v>
      </c>
      <c r="AM65" s="29">
        <f t="shared" si="8"/>
        <v>3.9040645090081753E-2</v>
      </c>
    </row>
    <row r="66" spans="1:39" ht="192" customHeight="1" x14ac:dyDescent="0.25">
      <c r="A66" s="10">
        <v>63</v>
      </c>
      <c r="B66" s="37">
        <v>129016</v>
      </c>
      <c r="C66" s="20">
        <v>693</v>
      </c>
      <c r="D66" s="15" t="s">
        <v>31</v>
      </c>
      <c r="E66" s="14" t="s">
        <v>249</v>
      </c>
      <c r="F66" s="32" t="s">
        <v>269</v>
      </c>
      <c r="G66" s="20" t="s">
        <v>270</v>
      </c>
      <c r="H66" s="20" t="s">
        <v>35</v>
      </c>
      <c r="I66" s="15" t="s">
        <v>271</v>
      </c>
      <c r="J66" s="30">
        <v>43654</v>
      </c>
      <c r="K66" s="30">
        <v>44020</v>
      </c>
      <c r="L66" s="31">
        <f t="shared" si="0"/>
        <v>79.999998958694746</v>
      </c>
      <c r="M66" s="20">
        <v>8</v>
      </c>
      <c r="N66" s="20" t="s">
        <v>228</v>
      </c>
      <c r="O66" s="20" t="s">
        <v>228</v>
      </c>
      <c r="P66" s="20" t="s">
        <v>39</v>
      </c>
      <c r="Q66" s="20" t="s">
        <v>40</v>
      </c>
      <c r="R66" s="33">
        <f t="shared" si="37"/>
        <v>307306.62</v>
      </c>
      <c r="S66" s="35">
        <v>0</v>
      </c>
      <c r="T66" s="2">
        <v>307306.62</v>
      </c>
      <c r="U66" s="33">
        <f t="shared" si="2"/>
        <v>69143.95</v>
      </c>
      <c r="V66" s="35">
        <v>0</v>
      </c>
      <c r="W66" s="2">
        <v>69143.95</v>
      </c>
      <c r="X66" s="33">
        <f t="shared" si="9"/>
        <v>7682.71</v>
      </c>
      <c r="Y66" s="35">
        <v>0</v>
      </c>
      <c r="Z66" s="2">
        <v>7682.71</v>
      </c>
      <c r="AA66" s="2">
        <f t="shared" si="41"/>
        <v>0</v>
      </c>
      <c r="AB66" s="35">
        <v>0</v>
      </c>
      <c r="AC66" s="35">
        <v>0</v>
      </c>
      <c r="AD66" s="2">
        <f t="shared" si="39"/>
        <v>384133.28</v>
      </c>
      <c r="AE66" s="42">
        <v>0</v>
      </c>
      <c r="AF66" s="2">
        <f t="shared" si="40"/>
        <v>384133.28</v>
      </c>
      <c r="AG66" s="39" t="s">
        <v>69</v>
      </c>
      <c r="AH66" s="39"/>
      <c r="AI66" s="35">
        <v>110102.97</v>
      </c>
      <c r="AJ66" s="36">
        <v>24773.14</v>
      </c>
      <c r="AK66" s="28">
        <f t="shared" si="6"/>
        <v>197203.65</v>
      </c>
      <c r="AL66" s="28">
        <f t="shared" si="7"/>
        <v>44370.81</v>
      </c>
      <c r="AM66" s="29">
        <f t="shared" si="8"/>
        <v>0.35828375581365607</v>
      </c>
    </row>
    <row r="67" spans="1:39" ht="192" customHeight="1" x14ac:dyDescent="0.25">
      <c r="A67" s="10">
        <v>64</v>
      </c>
      <c r="B67" s="37">
        <v>136166</v>
      </c>
      <c r="C67" s="20">
        <v>856</v>
      </c>
      <c r="D67" s="15" t="s">
        <v>31</v>
      </c>
      <c r="E67" s="14" t="s">
        <v>272</v>
      </c>
      <c r="F67" s="32" t="s">
        <v>273</v>
      </c>
      <c r="G67" s="20" t="s">
        <v>274</v>
      </c>
      <c r="H67" s="20" t="s">
        <v>275</v>
      </c>
      <c r="I67" s="15" t="s">
        <v>276</v>
      </c>
      <c r="J67" s="30">
        <v>43900</v>
      </c>
      <c r="K67" s="30">
        <v>44630</v>
      </c>
      <c r="L67" s="31">
        <f t="shared" si="0"/>
        <v>79.999999908763286</v>
      </c>
      <c r="M67" s="20">
        <v>8</v>
      </c>
      <c r="N67" s="20" t="s">
        <v>228</v>
      </c>
      <c r="O67" s="20" t="s">
        <v>228</v>
      </c>
      <c r="P67" s="20" t="s">
        <v>39</v>
      </c>
      <c r="Q67" s="20" t="s">
        <v>40</v>
      </c>
      <c r="R67" s="33">
        <f t="shared" si="37"/>
        <v>1753679.95</v>
      </c>
      <c r="S67" s="35">
        <v>0</v>
      </c>
      <c r="T67" s="2">
        <v>1753679.95</v>
      </c>
      <c r="U67" s="33">
        <f t="shared" si="2"/>
        <v>394577.99</v>
      </c>
      <c r="V67" s="35">
        <v>0</v>
      </c>
      <c r="W67" s="2">
        <v>394577.99</v>
      </c>
      <c r="X67" s="33">
        <f t="shared" si="9"/>
        <v>43842</v>
      </c>
      <c r="Y67" s="35">
        <v>0</v>
      </c>
      <c r="Z67" s="2">
        <v>43842</v>
      </c>
      <c r="AA67" s="2">
        <f t="shared" si="41"/>
        <v>0</v>
      </c>
      <c r="AB67" s="35">
        <v>0</v>
      </c>
      <c r="AC67" s="35">
        <v>0</v>
      </c>
      <c r="AD67" s="2">
        <f t="shared" si="39"/>
        <v>2192099.94</v>
      </c>
      <c r="AE67" s="42">
        <v>0</v>
      </c>
      <c r="AF67" s="2">
        <f t="shared" si="40"/>
        <v>2192099.94</v>
      </c>
      <c r="AG67" s="39" t="s">
        <v>69</v>
      </c>
      <c r="AH67" s="39"/>
      <c r="AI67" s="35">
        <v>0</v>
      </c>
      <c r="AJ67" s="36">
        <v>0</v>
      </c>
      <c r="AK67" s="28">
        <f t="shared" si="6"/>
        <v>1753679.95</v>
      </c>
      <c r="AL67" s="28">
        <f t="shared" si="7"/>
        <v>394577.99</v>
      </c>
      <c r="AM67" s="29">
        <f t="shared" si="8"/>
        <v>0</v>
      </c>
    </row>
    <row r="68" spans="1:39" ht="192" customHeight="1" x14ac:dyDescent="0.25">
      <c r="A68" s="10">
        <v>65</v>
      </c>
      <c r="B68" s="37">
        <v>135779</v>
      </c>
      <c r="C68" s="20">
        <v>780</v>
      </c>
      <c r="D68" s="15" t="s">
        <v>31</v>
      </c>
      <c r="E68" s="14" t="s">
        <v>272</v>
      </c>
      <c r="F68" s="32" t="s">
        <v>277</v>
      </c>
      <c r="G68" s="20" t="s">
        <v>274</v>
      </c>
      <c r="H68" s="20" t="s">
        <v>278</v>
      </c>
      <c r="I68" s="15" t="s">
        <v>279</v>
      </c>
      <c r="J68" s="30">
        <v>43901</v>
      </c>
      <c r="K68" s="30">
        <v>44631</v>
      </c>
      <c r="L68" s="31">
        <f t="shared" ref="L68:L82" si="42">R68/AD68*100</f>
        <v>80.000000203403673</v>
      </c>
      <c r="M68" s="20">
        <v>8</v>
      </c>
      <c r="N68" s="20" t="s">
        <v>228</v>
      </c>
      <c r="O68" s="20" t="s">
        <v>228</v>
      </c>
      <c r="P68" s="20" t="s">
        <v>39</v>
      </c>
      <c r="Q68" s="20" t="s">
        <v>40</v>
      </c>
      <c r="R68" s="33">
        <f t="shared" si="37"/>
        <v>2359839.4300000002</v>
      </c>
      <c r="S68" s="35">
        <v>0</v>
      </c>
      <c r="T68" s="2">
        <v>2359839.4300000002</v>
      </c>
      <c r="U68" s="33">
        <f t="shared" ref="U68:U116" si="43">V68+W68</f>
        <v>530963.84</v>
      </c>
      <c r="V68" s="35">
        <v>0</v>
      </c>
      <c r="W68" s="2">
        <v>530963.84</v>
      </c>
      <c r="X68" s="33">
        <f t="shared" si="9"/>
        <v>58996.01</v>
      </c>
      <c r="Y68" s="35">
        <v>0</v>
      </c>
      <c r="Z68" s="2">
        <v>58996.01</v>
      </c>
      <c r="AA68" s="2">
        <f t="shared" si="41"/>
        <v>0</v>
      </c>
      <c r="AB68" s="35">
        <v>0</v>
      </c>
      <c r="AC68" s="35">
        <v>0</v>
      </c>
      <c r="AD68" s="2">
        <f t="shared" si="39"/>
        <v>2949799.28</v>
      </c>
      <c r="AE68" s="42"/>
      <c r="AF68" s="2">
        <f t="shared" si="40"/>
        <v>2949799.28</v>
      </c>
      <c r="AG68" s="39" t="s">
        <v>69</v>
      </c>
      <c r="AH68" s="39"/>
      <c r="AI68" s="35">
        <v>0</v>
      </c>
      <c r="AJ68" s="36">
        <v>0</v>
      </c>
      <c r="AK68" s="28">
        <f t="shared" si="6"/>
        <v>2359839.4300000002</v>
      </c>
      <c r="AL68" s="28">
        <f t="shared" si="7"/>
        <v>530963.84</v>
      </c>
      <c r="AM68" s="29">
        <f t="shared" si="8"/>
        <v>0</v>
      </c>
    </row>
    <row r="69" spans="1:39" ht="192" customHeight="1" x14ac:dyDescent="0.25">
      <c r="A69" s="10">
        <v>66</v>
      </c>
      <c r="B69" s="37">
        <v>118335</v>
      </c>
      <c r="C69" s="37">
        <v>427</v>
      </c>
      <c r="D69" s="15" t="s">
        <v>54</v>
      </c>
      <c r="E69" s="14" t="s">
        <v>55</v>
      </c>
      <c r="F69" s="63" t="s">
        <v>280</v>
      </c>
      <c r="G69" s="15" t="s">
        <v>281</v>
      </c>
      <c r="H69" s="20" t="s">
        <v>35</v>
      </c>
      <c r="I69" s="61" t="s">
        <v>282</v>
      </c>
      <c r="J69" s="30">
        <v>43284</v>
      </c>
      <c r="K69" s="30">
        <v>43711</v>
      </c>
      <c r="L69" s="31">
        <f t="shared" si="42"/>
        <v>85.000001775483071</v>
      </c>
      <c r="M69" s="20">
        <v>2</v>
      </c>
      <c r="N69" s="20" t="s">
        <v>283</v>
      </c>
      <c r="O69" s="20" t="s">
        <v>283</v>
      </c>
      <c r="P69" s="20" t="s">
        <v>39</v>
      </c>
      <c r="Q69" s="20" t="s">
        <v>40</v>
      </c>
      <c r="R69" s="33">
        <v>239371.48</v>
      </c>
      <c r="S69" s="2">
        <v>239371.48</v>
      </c>
      <c r="T69" s="35">
        <v>0</v>
      </c>
      <c r="U69" s="33">
        <f t="shared" si="43"/>
        <v>36609.75</v>
      </c>
      <c r="V69" s="2">
        <v>36609.75</v>
      </c>
      <c r="W69" s="41">
        <v>0</v>
      </c>
      <c r="X69" s="33">
        <f t="shared" si="9"/>
        <v>5632.27</v>
      </c>
      <c r="Y69" s="2">
        <v>5632.27</v>
      </c>
      <c r="Z69" s="35">
        <v>0</v>
      </c>
      <c r="AA69" s="2">
        <f t="shared" si="41"/>
        <v>0</v>
      </c>
      <c r="AB69" s="35">
        <v>0</v>
      </c>
      <c r="AC69" s="35">
        <v>0</v>
      </c>
      <c r="AD69" s="2">
        <f t="shared" si="39"/>
        <v>281613.5</v>
      </c>
      <c r="AE69" s="39">
        <v>0</v>
      </c>
      <c r="AF69" s="2">
        <f t="shared" si="40"/>
        <v>281613.5</v>
      </c>
      <c r="AG69" s="24" t="s">
        <v>41</v>
      </c>
      <c r="AH69" s="39" t="s">
        <v>284</v>
      </c>
      <c r="AI69" s="35">
        <v>238071.21999999997</v>
      </c>
      <c r="AJ69" s="36">
        <v>36410.870000000003</v>
      </c>
      <c r="AK69" s="28">
        <f t="shared" ref="AK69:AK132" si="44">R69-AI69</f>
        <v>1300.2600000000384</v>
      </c>
      <c r="AL69" s="28">
        <f t="shared" ref="AL69:AL132" si="45">U69-AJ69</f>
        <v>198.87999999999738</v>
      </c>
      <c r="AM69" s="29">
        <f t="shared" ref="AM69:AM132" si="46">AI69/R69</f>
        <v>0.99456802456165605</v>
      </c>
    </row>
    <row r="70" spans="1:39" ht="192" customHeight="1" x14ac:dyDescent="0.25">
      <c r="A70" s="10">
        <v>67</v>
      </c>
      <c r="B70" s="37">
        <v>118396</v>
      </c>
      <c r="C70" s="37">
        <v>428</v>
      </c>
      <c r="D70" s="15" t="s">
        <v>54</v>
      </c>
      <c r="E70" s="14" t="s">
        <v>55</v>
      </c>
      <c r="F70" s="15" t="s">
        <v>285</v>
      </c>
      <c r="G70" s="15" t="s">
        <v>286</v>
      </c>
      <c r="H70" s="20" t="s">
        <v>287</v>
      </c>
      <c r="I70" s="71" t="s">
        <v>288</v>
      </c>
      <c r="J70" s="30">
        <v>43312</v>
      </c>
      <c r="K70" s="30">
        <v>43861</v>
      </c>
      <c r="L70" s="31">
        <f t="shared" si="42"/>
        <v>84.167393553203468</v>
      </c>
      <c r="M70" s="56">
        <v>2</v>
      </c>
      <c r="N70" s="20" t="s">
        <v>283</v>
      </c>
      <c r="O70" s="20" t="s">
        <v>283</v>
      </c>
      <c r="P70" s="20" t="s">
        <v>39</v>
      </c>
      <c r="Q70" s="20" t="s">
        <v>40</v>
      </c>
      <c r="R70" s="35">
        <f>S70</f>
        <v>326686.85000000009</v>
      </c>
      <c r="S70" s="35">
        <v>326686.85000000009</v>
      </c>
      <c r="T70" s="35">
        <v>0</v>
      </c>
      <c r="U70" s="33">
        <f t="shared" si="43"/>
        <v>53689.799999999996</v>
      </c>
      <c r="V70" s="35">
        <v>53689.799999999996</v>
      </c>
      <c r="W70" s="35">
        <v>0</v>
      </c>
      <c r="X70" s="33">
        <f t="shared" ref="X70:X116" si="47">Y70+Z70</f>
        <v>3960.82</v>
      </c>
      <c r="Y70" s="35">
        <v>3960.82</v>
      </c>
      <c r="Z70" s="35">
        <v>0</v>
      </c>
      <c r="AA70" s="2">
        <f t="shared" si="41"/>
        <v>3801.97</v>
      </c>
      <c r="AB70" s="35">
        <v>3801.97</v>
      </c>
      <c r="AC70" s="35">
        <v>0</v>
      </c>
      <c r="AD70" s="2">
        <f t="shared" si="39"/>
        <v>388139.44000000006</v>
      </c>
      <c r="AE70" s="39">
        <v>0</v>
      </c>
      <c r="AF70" s="2">
        <f t="shared" si="40"/>
        <v>388139.44000000006</v>
      </c>
      <c r="AG70" s="39" t="s">
        <v>41</v>
      </c>
      <c r="AH70" s="39" t="s">
        <v>78</v>
      </c>
      <c r="AI70" s="35">
        <v>228534.63999999998</v>
      </c>
      <c r="AJ70" s="36">
        <v>38165.25</v>
      </c>
      <c r="AK70" s="28">
        <f t="shared" si="44"/>
        <v>98152.210000000108</v>
      </c>
      <c r="AL70" s="28">
        <f t="shared" si="45"/>
        <v>15524.549999999996</v>
      </c>
      <c r="AM70" s="29">
        <f t="shared" si="46"/>
        <v>0.69955261437673388</v>
      </c>
    </row>
    <row r="71" spans="1:39" ht="192" customHeight="1" x14ac:dyDescent="0.25">
      <c r="A71" s="10">
        <v>68</v>
      </c>
      <c r="B71" s="37">
        <v>119892</v>
      </c>
      <c r="C71" s="37">
        <v>480</v>
      </c>
      <c r="D71" s="20" t="s">
        <v>47</v>
      </c>
      <c r="E71" s="14" t="s">
        <v>48</v>
      </c>
      <c r="F71" s="15" t="s">
        <v>289</v>
      </c>
      <c r="G71" s="15" t="s">
        <v>290</v>
      </c>
      <c r="H71" s="20" t="s">
        <v>132</v>
      </c>
      <c r="I71" s="16" t="s">
        <v>291</v>
      </c>
      <c r="J71" s="72">
        <v>43389</v>
      </c>
      <c r="K71" s="30">
        <v>43906</v>
      </c>
      <c r="L71" s="31">
        <f t="shared" si="42"/>
        <v>85.000001891187381</v>
      </c>
      <c r="M71" s="37">
        <v>2</v>
      </c>
      <c r="N71" s="20" t="s">
        <v>283</v>
      </c>
      <c r="O71" s="20" t="s">
        <v>292</v>
      </c>
      <c r="P71" s="67" t="s">
        <v>39</v>
      </c>
      <c r="Q71" s="20" t="s">
        <v>293</v>
      </c>
      <c r="R71" s="73">
        <f t="shared" ref="R71:R76" si="48">S71+T71</f>
        <v>337089.82</v>
      </c>
      <c r="S71" s="35">
        <v>337089.82</v>
      </c>
      <c r="T71" s="35">
        <v>0</v>
      </c>
      <c r="U71" s="33">
        <f t="shared" si="43"/>
        <v>51554.92</v>
      </c>
      <c r="V71" s="2">
        <v>51554.92</v>
      </c>
      <c r="W71" s="37">
        <v>0</v>
      </c>
      <c r="X71" s="33">
        <f t="shared" si="47"/>
        <v>7931.51</v>
      </c>
      <c r="Y71" s="74">
        <v>7931.51</v>
      </c>
      <c r="Z71" s="35">
        <v>0</v>
      </c>
      <c r="AA71" s="20">
        <v>0</v>
      </c>
      <c r="AB71" s="20">
        <v>0</v>
      </c>
      <c r="AC71" s="35">
        <v>0</v>
      </c>
      <c r="AD71" s="2">
        <f t="shared" si="39"/>
        <v>396576.25</v>
      </c>
      <c r="AE71" s="75">
        <v>2189.6</v>
      </c>
      <c r="AF71" s="2">
        <f t="shared" si="40"/>
        <v>398765.85</v>
      </c>
      <c r="AG71" s="39" t="s">
        <v>41</v>
      </c>
      <c r="AH71" s="39" t="s">
        <v>294</v>
      </c>
      <c r="AI71" s="35">
        <v>303728.18</v>
      </c>
      <c r="AJ71" s="36">
        <v>46452.54</v>
      </c>
      <c r="AK71" s="28">
        <f t="shared" si="44"/>
        <v>33361.640000000014</v>
      </c>
      <c r="AL71" s="28">
        <f t="shared" si="45"/>
        <v>5102.3799999999974</v>
      </c>
      <c r="AM71" s="29">
        <f t="shared" si="46"/>
        <v>0.90103041379297655</v>
      </c>
    </row>
    <row r="72" spans="1:39" ht="192" customHeight="1" x14ac:dyDescent="0.25">
      <c r="A72" s="10">
        <v>69</v>
      </c>
      <c r="B72" s="37">
        <v>126446</v>
      </c>
      <c r="C72" s="37">
        <v>543</v>
      </c>
      <c r="D72" s="20" t="s">
        <v>31</v>
      </c>
      <c r="E72" s="14" t="s">
        <v>65</v>
      </c>
      <c r="F72" s="15" t="s">
        <v>295</v>
      </c>
      <c r="G72" s="15" t="s">
        <v>290</v>
      </c>
      <c r="H72" s="20" t="s">
        <v>132</v>
      </c>
      <c r="I72" s="16" t="s">
        <v>296</v>
      </c>
      <c r="J72" s="72">
        <v>43430</v>
      </c>
      <c r="K72" s="30">
        <v>44253</v>
      </c>
      <c r="L72" s="31">
        <f t="shared" si="42"/>
        <v>85.000000017455704</v>
      </c>
      <c r="M72" s="37">
        <v>2</v>
      </c>
      <c r="N72" s="20" t="s">
        <v>283</v>
      </c>
      <c r="O72" s="20" t="s">
        <v>292</v>
      </c>
      <c r="P72" s="67" t="s">
        <v>39</v>
      </c>
      <c r="Q72" s="20" t="s">
        <v>293</v>
      </c>
      <c r="R72" s="73">
        <f t="shared" si="48"/>
        <v>2434734.11</v>
      </c>
      <c r="S72" s="35">
        <v>2434734.11</v>
      </c>
      <c r="T72" s="35">
        <v>0</v>
      </c>
      <c r="U72" s="33">
        <f t="shared" si="43"/>
        <v>372371.1</v>
      </c>
      <c r="V72" s="2">
        <v>372371.1</v>
      </c>
      <c r="W72" s="37">
        <v>0</v>
      </c>
      <c r="X72" s="33">
        <f t="shared" si="47"/>
        <v>57287.86</v>
      </c>
      <c r="Y72" s="74">
        <v>57287.86</v>
      </c>
      <c r="Z72" s="35">
        <v>0</v>
      </c>
      <c r="AA72" s="2">
        <f>AB72+AC72</f>
        <v>0</v>
      </c>
      <c r="AB72" s="35">
        <v>0</v>
      </c>
      <c r="AC72" s="35">
        <v>0</v>
      </c>
      <c r="AD72" s="2">
        <f t="shared" si="39"/>
        <v>2864393.07</v>
      </c>
      <c r="AE72" s="37"/>
      <c r="AF72" s="2">
        <f t="shared" si="40"/>
        <v>2864393.07</v>
      </c>
      <c r="AG72" s="39" t="s">
        <v>69</v>
      </c>
      <c r="AH72" s="39"/>
      <c r="AI72" s="35">
        <v>148644.99</v>
      </c>
      <c r="AJ72" s="36">
        <v>22733.93</v>
      </c>
      <c r="AK72" s="28">
        <f t="shared" si="44"/>
        <v>2286089.12</v>
      </c>
      <c r="AL72" s="28">
        <f t="shared" si="45"/>
        <v>349637.17</v>
      </c>
      <c r="AM72" s="29">
        <f t="shared" si="46"/>
        <v>6.1051836990939433E-2</v>
      </c>
    </row>
    <row r="73" spans="1:39" ht="192" customHeight="1" x14ac:dyDescent="0.25">
      <c r="A73" s="10">
        <v>70</v>
      </c>
      <c r="B73" s="37">
        <v>120730</v>
      </c>
      <c r="C73" s="20">
        <v>92</v>
      </c>
      <c r="D73" s="15" t="s">
        <v>31</v>
      </c>
      <c r="E73" s="14" t="s">
        <v>32</v>
      </c>
      <c r="F73" s="15" t="s">
        <v>297</v>
      </c>
      <c r="G73" s="15" t="s">
        <v>298</v>
      </c>
      <c r="H73" s="20" t="s">
        <v>35</v>
      </c>
      <c r="I73" s="16" t="s">
        <v>299</v>
      </c>
      <c r="J73" s="30">
        <v>43145</v>
      </c>
      <c r="K73" s="30">
        <v>43630</v>
      </c>
      <c r="L73" s="31">
        <f t="shared" si="42"/>
        <v>85.000000355065879</v>
      </c>
      <c r="M73" s="20">
        <v>2</v>
      </c>
      <c r="N73" s="20" t="s">
        <v>283</v>
      </c>
      <c r="O73" s="20" t="s">
        <v>300</v>
      </c>
      <c r="P73" s="32" t="s">
        <v>39</v>
      </c>
      <c r="Q73" s="20" t="s">
        <v>40</v>
      </c>
      <c r="R73" s="2">
        <f t="shared" si="48"/>
        <v>359088.29</v>
      </c>
      <c r="S73" s="2">
        <v>359088.29</v>
      </c>
      <c r="T73" s="2">
        <v>0</v>
      </c>
      <c r="U73" s="33">
        <f t="shared" si="43"/>
        <v>54919.39</v>
      </c>
      <c r="V73" s="2">
        <v>54919.39</v>
      </c>
      <c r="W73" s="2">
        <v>0</v>
      </c>
      <c r="X73" s="33">
        <f t="shared" si="47"/>
        <v>8449.1299999999992</v>
      </c>
      <c r="Y73" s="2">
        <v>8449.1299999999992</v>
      </c>
      <c r="Z73" s="2">
        <v>0</v>
      </c>
      <c r="AA73" s="2">
        <f>AB73+AC73</f>
        <v>0</v>
      </c>
      <c r="AB73" s="2">
        <v>0</v>
      </c>
      <c r="AC73" s="2">
        <v>0</v>
      </c>
      <c r="AD73" s="2">
        <f t="shared" si="39"/>
        <v>422456.81</v>
      </c>
      <c r="AE73" s="2">
        <v>66435.22</v>
      </c>
      <c r="AF73" s="2">
        <f t="shared" si="40"/>
        <v>488892.03</v>
      </c>
      <c r="AG73" s="24" t="s">
        <v>41</v>
      </c>
      <c r="AH73" s="34" t="s">
        <v>35</v>
      </c>
      <c r="AI73" s="35">
        <v>331095.73</v>
      </c>
      <c r="AJ73" s="36">
        <v>50638.16</v>
      </c>
      <c r="AK73" s="28">
        <f t="shared" si="44"/>
        <v>27992.559999999998</v>
      </c>
      <c r="AL73" s="28">
        <f t="shared" si="45"/>
        <v>4281.2299999999959</v>
      </c>
      <c r="AM73" s="29">
        <f t="shared" si="46"/>
        <v>0.92204546686832922</v>
      </c>
    </row>
    <row r="74" spans="1:39" ht="192" customHeight="1" x14ac:dyDescent="0.25">
      <c r="A74" s="10">
        <v>71</v>
      </c>
      <c r="B74" s="37">
        <v>129270</v>
      </c>
      <c r="C74" s="20">
        <v>647</v>
      </c>
      <c r="D74" s="15" t="s">
        <v>31</v>
      </c>
      <c r="E74" s="14" t="s">
        <v>79</v>
      </c>
      <c r="F74" s="40" t="s">
        <v>301</v>
      </c>
      <c r="G74" s="15" t="s">
        <v>298</v>
      </c>
      <c r="H74" s="20" t="s">
        <v>35</v>
      </c>
      <c r="I74" s="16" t="s">
        <v>302</v>
      </c>
      <c r="J74" s="30">
        <v>43656</v>
      </c>
      <c r="K74" s="30">
        <v>44206</v>
      </c>
      <c r="L74" s="31">
        <f t="shared" si="42"/>
        <v>84.999999975703545</v>
      </c>
      <c r="M74" s="20">
        <v>2</v>
      </c>
      <c r="N74" s="20" t="s">
        <v>283</v>
      </c>
      <c r="O74" s="20" t="s">
        <v>300</v>
      </c>
      <c r="P74" s="32" t="s">
        <v>39</v>
      </c>
      <c r="Q74" s="20" t="s">
        <v>40</v>
      </c>
      <c r="R74" s="2">
        <f t="shared" si="48"/>
        <v>1749225.82</v>
      </c>
      <c r="S74" s="2">
        <v>1749225.82</v>
      </c>
      <c r="T74" s="2">
        <v>0</v>
      </c>
      <c r="U74" s="33">
        <f t="shared" si="43"/>
        <v>267528.65999999997</v>
      </c>
      <c r="V74" s="2">
        <v>267528.65999999997</v>
      </c>
      <c r="W74" s="2">
        <v>0</v>
      </c>
      <c r="X74" s="33">
        <f t="shared" si="47"/>
        <v>41158.25</v>
      </c>
      <c r="Y74" s="2">
        <v>41158.25</v>
      </c>
      <c r="Z74" s="2">
        <v>0</v>
      </c>
      <c r="AA74" s="2">
        <f>AB74+AC74</f>
        <v>0</v>
      </c>
      <c r="AB74" s="2">
        <v>0</v>
      </c>
      <c r="AC74" s="2">
        <v>0</v>
      </c>
      <c r="AD74" s="2">
        <f t="shared" si="39"/>
        <v>2057912.73</v>
      </c>
      <c r="AE74" s="2">
        <v>0</v>
      </c>
      <c r="AF74" s="2">
        <f t="shared" si="40"/>
        <v>2057912.73</v>
      </c>
      <c r="AG74" s="39" t="s">
        <v>69</v>
      </c>
      <c r="AH74" s="34"/>
      <c r="AI74" s="35">
        <v>166775.70000000001</v>
      </c>
      <c r="AJ74" s="36">
        <v>25506.87</v>
      </c>
      <c r="AK74" s="28">
        <f t="shared" si="44"/>
        <v>1582450.12</v>
      </c>
      <c r="AL74" s="28">
        <f t="shared" si="45"/>
        <v>242021.78999999998</v>
      </c>
      <c r="AM74" s="29">
        <f t="shared" si="46"/>
        <v>9.5342578467084368E-2</v>
      </c>
    </row>
    <row r="75" spans="1:39" ht="192" customHeight="1" x14ac:dyDescent="0.25">
      <c r="A75" s="10">
        <v>72</v>
      </c>
      <c r="B75" s="37">
        <v>128948</v>
      </c>
      <c r="C75" s="20">
        <v>664</v>
      </c>
      <c r="D75" s="15" t="s">
        <v>31</v>
      </c>
      <c r="E75" s="14" t="s">
        <v>79</v>
      </c>
      <c r="F75" s="40" t="s">
        <v>303</v>
      </c>
      <c r="G75" s="15" t="s">
        <v>290</v>
      </c>
      <c r="H75" s="20" t="s">
        <v>35</v>
      </c>
      <c r="I75" s="16" t="s">
        <v>304</v>
      </c>
      <c r="J75" s="30">
        <v>43712</v>
      </c>
      <c r="K75" s="30">
        <v>44443</v>
      </c>
      <c r="L75" s="31">
        <f t="shared" si="42"/>
        <v>85.000000102885792</v>
      </c>
      <c r="M75" s="20">
        <v>2</v>
      </c>
      <c r="N75" s="20" t="s">
        <v>283</v>
      </c>
      <c r="O75" s="20" t="s">
        <v>292</v>
      </c>
      <c r="P75" s="32" t="s">
        <v>39</v>
      </c>
      <c r="Q75" s="20" t="s">
        <v>40</v>
      </c>
      <c r="R75" s="2">
        <f t="shared" si="48"/>
        <v>826158.81</v>
      </c>
      <c r="S75" s="2">
        <v>826158.81</v>
      </c>
      <c r="T75" s="2">
        <v>0</v>
      </c>
      <c r="U75" s="33">
        <f t="shared" si="43"/>
        <v>126353.7</v>
      </c>
      <c r="V75" s="2">
        <v>126353.7</v>
      </c>
      <c r="W75" s="2">
        <v>0</v>
      </c>
      <c r="X75" s="33">
        <f t="shared" si="47"/>
        <v>19439.03</v>
      </c>
      <c r="Y75" s="2">
        <v>19439.03</v>
      </c>
      <c r="Z75" s="2">
        <v>0</v>
      </c>
      <c r="AA75" s="2">
        <f>AB75+AC75</f>
        <v>0</v>
      </c>
      <c r="AB75" s="2">
        <v>0</v>
      </c>
      <c r="AC75" s="2">
        <v>0</v>
      </c>
      <c r="AD75" s="2">
        <f t="shared" si="39"/>
        <v>971951.54</v>
      </c>
      <c r="AE75" s="2">
        <v>0</v>
      </c>
      <c r="AF75" s="2">
        <f t="shared" si="40"/>
        <v>971951.54</v>
      </c>
      <c r="AG75" s="39" t="s">
        <v>69</v>
      </c>
      <c r="AH75" s="34"/>
      <c r="AI75" s="35">
        <v>66845.990000000005</v>
      </c>
      <c r="AJ75" s="36">
        <v>10223.5</v>
      </c>
      <c r="AK75" s="28">
        <f t="shared" si="44"/>
        <v>759312.82000000007</v>
      </c>
      <c r="AL75" s="28">
        <f t="shared" si="45"/>
        <v>116130.2</v>
      </c>
      <c r="AM75" s="29">
        <f t="shared" si="46"/>
        <v>8.0911792249724959E-2</v>
      </c>
    </row>
    <row r="76" spans="1:39" ht="192" customHeight="1" x14ac:dyDescent="0.25">
      <c r="A76" s="10">
        <v>73</v>
      </c>
      <c r="B76" s="44">
        <v>135741</v>
      </c>
      <c r="C76" s="45">
        <v>772</v>
      </c>
      <c r="D76" s="46" t="s">
        <v>31</v>
      </c>
      <c r="E76" s="14" t="s">
        <v>1826</v>
      </c>
      <c r="F76" s="40" t="s">
        <v>1832</v>
      </c>
      <c r="G76" s="15" t="s">
        <v>290</v>
      </c>
      <c r="H76" s="20" t="s">
        <v>35</v>
      </c>
      <c r="I76" s="16" t="s">
        <v>1833</v>
      </c>
      <c r="J76" s="47">
        <v>43949</v>
      </c>
      <c r="K76" s="47">
        <v>44467</v>
      </c>
      <c r="L76" s="48">
        <f t="shared" si="42"/>
        <v>85</v>
      </c>
      <c r="M76" s="45">
        <v>2</v>
      </c>
      <c r="N76" s="45" t="s">
        <v>283</v>
      </c>
      <c r="O76" s="45" t="s">
        <v>292</v>
      </c>
      <c r="P76" s="49" t="s">
        <v>39</v>
      </c>
      <c r="Q76" s="45" t="s">
        <v>40</v>
      </c>
      <c r="R76" s="50">
        <f t="shared" si="48"/>
        <v>849255.4</v>
      </c>
      <c r="S76" s="50">
        <v>849255.4</v>
      </c>
      <c r="T76" s="50">
        <v>0</v>
      </c>
      <c r="U76" s="51">
        <f t="shared" si="43"/>
        <v>129886.12</v>
      </c>
      <c r="V76" s="50">
        <v>129886.12</v>
      </c>
      <c r="W76" s="50">
        <v>0</v>
      </c>
      <c r="X76" s="51">
        <f t="shared" si="47"/>
        <v>19982.48</v>
      </c>
      <c r="Y76" s="50">
        <v>19982.48</v>
      </c>
      <c r="Z76" s="50">
        <v>0</v>
      </c>
      <c r="AA76" s="50">
        <f>AB76+AC76</f>
        <v>0</v>
      </c>
      <c r="AB76" s="50">
        <v>0</v>
      </c>
      <c r="AC76" s="50">
        <v>0</v>
      </c>
      <c r="AD76" s="50">
        <f t="shared" si="39"/>
        <v>999124</v>
      </c>
      <c r="AE76" s="50">
        <v>0</v>
      </c>
      <c r="AF76" s="50">
        <f t="shared" si="40"/>
        <v>999124</v>
      </c>
      <c r="AG76" s="39" t="s">
        <v>69</v>
      </c>
      <c r="AH76" s="34"/>
      <c r="AI76" s="35">
        <v>0</v>
      </c>
      <c r="AJ76" s="36">
        <v>0</v>
      </c>
      <c r="AK76" s="28">
        <f t="shared" si="44"/>
        <v>849255.4</v>
      </c>
      <c r="AL76" s="28">
        <f t="shared" si="45"/>
        <v>129886.12</v>
      </c>
      <c r="AM76" s="29">
        <f t="shared" si="46"/>
        <v>0</v>
      </c>
    </row>
    <row r="77" spans="1:39" ht="192" customHeight="1" x14ac:dyDescent="0.25">
      <c r="A77" s="10">
        <v>74</v>
      </c>
      <c r="B77" s="37">
        <v>118879</v>
      </c>
      <c r="C77" s="20">
        <v>452</v>
      </c>
      <c r="D77" s="15" t="s">
        <v>54</v>
      </c>
      <c r="E77" s="14" t="s">
        <v>55</v>
      </c>
      <c r="F77" s="15" t="s">
        <v>305</v>
      </c>
      <c r="G77" s="20" t="s">
        <v>306</v>
      </c>
      <c r="H77" s="20" t="s">
        <v>35</v>
      </c>
      <c r="I77" s="15" t="s">
        <v>307</v>
      </c>
      <c r="J77" s="30">
        <v>43293</v>
      </c>
      <c r="K77" s="30">
        <v>43781</v>
      </c>
      <c r="L77" s="31">
        <f t="shared" si="42"/>
        <v>85</v>
      </c>
      <c r="M77" s="20">
        <v>3</v>
      </c>
      <c r="N77" s="20" t="s">
        <v>308</v>
      </c>
      <c r="O77" s="20" t="s">
        <v>308</v>
      </c>
      <c r="P77" s="20" t="s">
        <v>39</v>
      </c>
      <c r="Q77" s="20" t="s">
        <v>40</v>
      </c>
      <c r="R77" s="35">
        <v>338205.65</v>
      </c>
      <c r="S77" s="35">
        <v>338205.65</v>
      </c>
      <c r="T77" s="35">
        <v>0</v>
      </c>
      <c r="U77" s="33">
        <f t="shared" si="43"/>
        <v>51725.57</v>
      </c>
      <c r="V77" s="35">
        <v>51725.57</v>
      </c>
      <c r="W77" s="35">
        <v>0</v>
      </c>
      <c r="X77" s="33">
        <f t="shared" si="47"/>
        <v>7957.78</v>
      </c>
      <c r="Y77" s="35">
        <v>7957.78</v>
      </c>
      <c r="Z77" s="35">
        <v>0</v>
      </c>
      <c r="AA77" s="2">
        <v>0</v>
      </c>
      <c r="AB77" s="35">
        <v>0</v>
      </c>
      <c r="AC77" s="35">
        <v>0</v>
      </c>
      <c r="AD77" s="35">
        <f t="shared" si="39"/>
        <v>397889.00000000006</v>
      </c>
      <c r="AE77" s="39">
        <v>0</v>
      </c>
      <c r="AF77" s="35">
        <f t="shared" si="40"/>
        <v>397889.00000000006</v>
      </c>
      <c r="AG77" s="24" t="s">
        <v>41</v>
      </c>
      <c r="AH77" s="70" t="s">
        <v>309</v>
      </c>
      <c r="AI77" s="35">
        <v>324878.98</v>
      </c>
      <c r="AJ77" s="36">
        <v>49687.360000000001</v>
      </c>
      <c r="AK77" s="28">
        <f t="shared" si="44"/>
        <v>13326.670000000042</v>
      </c>
      <c r="AL77" s="28">
        <f t="shared" si="45"/>
        <v>2038.2099999999991</v>
      </c>
      <c r="AM77" s="29">
        <f t="shared" si="46"/>
        <v>0.96059595692739008</v>
      </c>
    </row>
    <row r="78" spans="1:39" ht="192" customHeight="1" x14ac:dyDescent="0.25">
      <c r="A78" s="10">
        <v>75</v>
      </c>
      <c r="B78" s="37">
        <v>118774</v>
      </c>
      <c r="C78" s="20">
        <v>442</v>
      </c>
      <c r="D78" s="15" t="s">
        <v>54</v>
      </c>
      <c r="E78" s="14" t="s">
        <v>55</v>
      </c>
      <c r="F78" s="15" t="s">
        <v>310</v>
      </c>
      <c r="G78" s="20" t="s">
        <v>311</v>
      </c>
      <c r="H78" s="20"/>
      <c r="I78" s="15" t="s">
        <v>312</v>
      </c>
      <c r="J78" s="30">
        <v>43341</v>
      </c>
      <c r="K78" s="30">
        <v>43798</v>
      </c>
      <c r="L78" s="31">
        <f t="shared" si="42"/>
        <v>84.999996337824783</v>
      </c>
      <c r="M78" s="20">
        <v>3</v>
      </c>
      <c r="N78" s="20" t="s">
        <v>308</v>
      </c>
      <c r="O78" s="20" t="s">
        <v>308</v>
      </c>
      <c r="P78" s="20" t="s">
        <v>39</v>
      </c>
      <c r="Q78" s="20" t="s">
        <v>40</v>
      </c>
      <c r="R78" s="35">
        <f t="shared" ref="R78:R85" si="49">S78+T78</f>
        <v>220497.36</v>
      </c>
      <c r="S78" s="35">
        <v>220497.36</v>
      </c>
      <c r="T78" s="35">
        <v>0</v>
      </c>
      <c r="U78" s="33">
        <f t="shared" si="43"/>
        <v>33723.14</v>
      </c>
      <c r="V78" s="76">
        <v>33723.14</v>
      </c>
      <c r="W78" s="35">
        <v>0</v>
      </c>
      <c r="X78" s="33">
        <f t="shared" si="47"/>
        <v>5188.17</v>
      </c>
      <c r="Y78" s="35">
        <v>5188.17</v>
      </c>
      <c r="Z78" s="35">
        <v>0</v>
      </c>
      <c r="AA78" s="2">
        <f t="shared" ref="AA78:AA85" si="50">AB78+AC78</f>
        <v>0</v>
      </c>
      <c r="AB78" s="35">
        <v>0</v>
      </c>
      <c r="AC78" s="35">
        <v>0</v>
      </c>
      <c r="AD78" s="2">
        <f t="shared" si="39"/>
        <v>259408.67</v>
      </c>
      <c r="AE78" s="39"/>
      <c r="AF78" s="2">
        <f t="shared" si="40"/>
        <v>259408.67</v>
      </c>
      <c r="AG78" s="24" t="s">
        <v>41</v>
      </c>
      <c r="AH78" s="70" t="s">
        <v>35</v>
      </c>
      <c r="AI78" s="35">
        <v>202807.57</v>
      </c>
      <c r="AJ78" s="36">
        <v>31017.620000000003</v>
      </c>
      <c r="AK78" s="28">
        <f t="shared" si="44"/>
        <v>17689.789999999979</v>
      </c>
      <c r="AL78" s="28">
        <f t="shared" si="45"/>
        <v>2705.5199999999968</v>
      </c>
      <c r="AM78" s="29">
        <f t="shared" si="46"/>
        <v>0.91977323447319292</v>
      </c>
    </row>
    <row r="79" spans="1:39" ht="192" customHeight="1" x14ac:dyDescent="0.25">
      <c r="A79" s="10">
        <v>76</v>
      </c>
      <c r="B79" s="37">
        <v>119901</v>
      </c>
      <c r="C79" s="20">
        <v>486</v>
      </c>
      <c r="D79" s="20" t="s">
        <v>47</v>
      </c>
      <c r="E79" s="14" t="s">
        <v>48</v>
      </c>
      <c r="F79" s="15" t="s">
        <v>313</v>
      </c>
      <c r="G79" s="20" t="s">
        <v>306</v>
      </c>
      <c r="H79" s="20" t="s">
        <v>132</v>
      </c>
      <c r="I79" s="16" t="s">
        <v>314</v>
      </c>
      <c r="J79" s="30">
        <v>43377</v>
      </c>
      <c r="K79" s="30">
        <v>43925</v>
      </c>
      <c r="L79" s="31">
        <f t="shared" si="42"/>
        <v>85.000004041383775</v>
      </c>
      <c r="M79" s="20">
        <v>3</v>
      </c>
      <c r="N79" s="20" t="s">
        <v>308</v>
      </c>
      <c r="O79" s="20" t="s">
        <v>315</v>
      </c>
      <c r="P79" s="20" t="s">
        <v>39</v>
      </c>
      <c r="Q79" s="20" t="s">
        <v>293</v>
      </c>
      <c r="R79" s="35">
        <f t="shared" si="49"/>
        <v>420648.02</v>
      </c>
      <c r="S79" s="35">
        <v>420648.02</v>
      </c>
      <c r="T79" s="41">
        <v>0</v>
      </c>
      <c r="U79" s="33">
        <f t="shared" si="43"/>
        <v>64334.38</v>
      </c>
      <c r="V79" s="77">
        <v>64334.38</v>
      </c>
      <c r="W79" s="41">
        <v>0</v>
      </c>
      <c r="X79" s="33">
        <f t="shared" si="47"/>
        <v>9897.6</v>
      </c>
      <c r="Y79" s="35">
        <v>9897.6</v>
      </c>
      <c r="Z79" s="35">
        <v>0</v>
      </c>
      <c r="AA79" s="2">
        <f t="shared" si="50"/>
        <v>0</v>
      </c>
      <c r="AB79" s="41">
        <v>0</v>
      </c>
      <c r="AC79" s="41">
        <v>0</v>
      </c>
      <c r="AD79" s="2">
        <f t="shared" si="39"/>
        <v>494880</v>
      </c>
      <c r="AE79" s="39"/>
      <c r="AF79" s="2">
        <f t="shared" si="40"/>
        <v>494880</v>
      </c>
      <c r="AG79" s="39" t="s">
        <v>41</v>
      </c>
      <c r="AH79" s="39" t="s">
        <v>316</v>
      </c>
      <c r="AI79" s="35">
        <v>334831.23</v>
      </c>
      <c r="AJ79" s="36">
        <v>51209.450000000019</v>
      </c>
      <c r="AK79" s="28">
        <f t="shared" si="44"/>
        <v>85816.790000000037</v>
      </c>
      <c r="AL79" s="28">
        <f t="shared" si="45"/>
        <v>13124.929999999978</v>
      </c>
      <c r="AM79" s="29">
        <f t="shared" si="46"/>
        <v>0.79598907894538518</v>
      </c>
    </row>
    <row r="80" spans="1:39" ht="192" customHeight="1" x14ac:dyDescent="0.25">
      <c r="A80" s="10">
        <v>77</v>
      </c>
      <c r="B80" s="37">
        <v>126537</v>
      </c>
      <c r="C80" s="20">
        <v>569</v>
      </c>
      <c r="D80" s="15" t="s">
        <v>31</v>
      </c>
      <c r="E80" s="14" t="s">
        <v>65</v>
      </c>
      <c r="F80" s="15" t="s">
        <v>317</v>
      </c>
      <c r="G80" s="20" t="s">
        <v>306</v>
      </c>
      <c r="H80" s="20" t="s">
        <v>132</v>
      </c>
      <c r="I80" s="16" t="s">
        <v>318</v>
      </c>
      <c r="J80" s="30">
        <v>43567</v>
      </c>
      <c r="K80" s="30">
        <v>44451</v>
      </c>
      <c r="L80" s="31">
        <f t="shared" si="42"/>
        <v>84.999999931518204</v>
      </c>
      <c r="M80" s="20">
        <v>3</v>
      </c>
      <c r="N80" s="20" t="s">
        <v>308</v>
      </c>
      <c r="O80" s="20" t="s">
        <v>315</v>
      </c>
      <c r="P80" s="20" t="s">
        <v>39</v>
      </c>
      <c r="Q80" s="20" t="s">
        <v>293</v>
      </c>
      <c r="R80" s="35">
        <f t="shared" si="49"/>
        <v>3103013.95</v>
      </c>
      <c r="S80" s="35">
        <v>3103013.95</v>
      </c>
      <c r="T80" s="38">
        <v>0</v>
      </c>
      <c r="U80" s="33">
        <f t="shared" si="43"/>
        <v>474578.61</v>
      </c>
      <c r="V80" s="77">
        <v>474578.61</v>
      </c>
      <c r="W80" s="38">
        <v>0</v>
      </c>
      <c r="X80" s="33">
        <f t="shared" si="47"/>
        <v>73012.09</v>
      </c>
      <c r="Y80" s="35">
        <v>73012.09</v>
      </c>
      <c r="Z80" s="38">
        <v>0</v>
      </c>
      <c r="AA80" s="2">
        <f t="shared" si="50"/>
        <v>0</v>
      </c>
      <c r="AB80" s="38">
        <v>0</v>
      </c>
      <c r="AC80" s="38">
        <v>0</v>
      </c>
      <c r="AD80" s="2">
        <f t="shared" si="39"/>
        <v>3650604.65</v>
      </c>
      <c r="AE80" s="35">
        <v>0</v>
      </c>
      <c r="AF80" s="2">
        <f t="shared" si="40"/>
        <v>3650604.65</v>
      </c>
      <c r="AG80" s="39" t="s">
        <v>69</v>
      </c>
      <c r="AH80" s="39" t="s">
        <v>319</v>
      </c>
      <c r="AI80" s="35">
        <v>24615.340000000004</v>
      </c>
      <c r="AJ80" s="36">
        <v>654.30999999999995</v>
      </c>
      <c r="AK80" s="28">
        <f t="shared" si="44"/>
        <v>3078398.6100000003</v>
      </c>
      <c r="AL80" s="28">
        <f t="shared" si="45"/>
        <v>473924.3</v>
      </c>
      <c r="AM80" s="29">
        <f t="shared" si="46"/>
        <v>7.9327197352754408E-3</v>
      </c>
    </row>
    <row r="81" spans="1:39" ht="192" customHeight="1" x14ac:dyDescent="0.25">
      <c r="A81" s="10">
        <v>78</v>
      </c>
      <c r="B81" s="37">
        <v>129241</v>
      </c>
      <c r="C81" s="37">
        <v>650</v>
      </c>
      <c r="D81" s="15" t="s">
        <v>31</v>
      </c>
      <c r="E81" s="14" t="s">
        <v>79</v>
      </c>
      <c r="F81" s="40" t="s">
        <v>320</v>
      </c>
      <c r="G81" s="20" t="s">
        <v>321</v>
      </c>
      <c r="H81" s="20" t="s">
        <v>35</v>
      </c>
      <c r="I81" s="16" t="s">
        <v>322</v>
      </c>
      <c r="J81" s="30">
        <v>43608</v>
      </c>
      <c r="K81" s="30">
        <v>44462</v>
      </c>
      <c r="L81" s="31">
        <f t="shared" si="42"/>
        <v>85.000000168986716</v>
      </c>
      <c r="M81" s="20">
        <v>3</v>
      </c>
      <c r="N81" s="20" t="s">
        <v>308</v>
      </c>
      <c r="O81" s="20" t="s">
        <v>315</v>
      </c>
      <c r="P81" s="20" t="s">
        <v>39</v>
      </c>
      <c r="Q81" s="20" t="s">
        <v>293</v>
      </c>
      <c r="R81" s="35">
        <f t="shared" si="49"/>
        <v>2514990.63</v>
      </c>
      <c r="S81" s="35">
        <v>2514990.63</v>
      </c>
      <c r="T81" s="38">
        <v>0</v>
      </c>
      <c r="U81" s="33">
        <f t="shared" si="43"/>
        <v>384645.62</v>
      </c>
      <c r="V81" s="77">
        <v>384645.62</v>
      </c>
      <c r="W81" s="38">
        <v>0</v>
      </c>
      <c r="X81" s="33">
        <f t="shared" si="47"/>
        <v>59176.25</v>
      </c>
      <c r="Y81" s="35">
        <v>59176.25</v>
      </c>
      <c r="Z81" s="35">
        <v>0</v>
      </c>
      <c r="AA81" s="2">
        <f t="shared" si="50"/>
        <v>0</v>
      </c>
      <c r="AB81" s="38">
        <v>0</v>
      </c>
      <c r="AC81" s="38">
        <v>0</v>
      </c>
      <c r="AD81" s="2">
        <f t="shared" si="39"/>
        <v>2958812.5</v>
      </c>
      <c r="AE81" s="35">
        <v>0</v>
      </c>
      <c r="AF81" s="2">
        <f t="shared" si="40"/>
        <v>2958812.5</v>
      </c>
      <c r="AG81" s="39" t="s">
        <v>69</v>
      </c>
      <c r="AH81" s="39"/>
      <c r="AI81" s="35">
        <v>81663.7</v>
      </c>
      <c r="AJ81" s="36">
        <v>9110.66</v>
      </c>
      <c r="AK81" s="28">
        <f t="shared" si="44"/>
        <v>2433326.9299999997</v>
      </c>
      <c r="AL81" s="28">
        <f t="shared" si="45"/>
        <v>375534.96</v>
      </c>
      <c r="AM81" s="29">
        <f t="shared" si="46"/>
        <v>3.247077703824288E-2</v>
      </c>
    </row>
    <row r="82" spans="1:39" ht="192" customHeight="1" x14ac:dyDescent="0.25">
      <c r="A82" s="10">
        <v>79</v>
      </c>
      <c r="B82" s="37">
        <v>129152</v>
      </c>
      <c r="C82" s="37">
        <v>656</v>
      </c>
      <c r="D82" s="15" t="str">
        <f>D81</f>
        <v>AP 2/11i/2.1</v>
      </c>
      <c r="E82" s="14" t="str">
        <f>E81</f>
        <v>CP 12 less/2018</v>
      </c>
      <c r="F82" s="40" t="s">
        <v>323</v>
      </c>
      <c r="G82" s="37" t="s">
        <v>311</v>
      </c>
      <c r="H82" s="20" t="s">
        <v>35</v>
      </c>
      <c r="I82" s="16" t="s">
        <v>324</v>
      </c>
      <c r="J82" s="30">
        <v>43621</v>
      </c>
      <c r="K82" s="30">
        <v>44352</v>
      </c>
      <c r="L82" s="31">
        <f t="shared" si="42"/>
        <v>85.000000171199162</v>
      </c>
      <c r="M82" s="20">
        <f>M81</f>
        <v>3</v>
      </c>
      <c r="N82" s="20" t="str">
        <f>N81</f>
        <v>CĂLĂRAȘI</v>
      </c>
      <c r="O82" s="20" t="s">
        <v>315</v>
      </c>
      <c r="P82" s="20" t="s">
        <v>39</v>
      </c>
      <c r="Q82" s="20" t="s">
        <v>293</v>
      </c>
      <c r="R82" s="35">
        <f t="shared" si="49"/>
        <v>2482488.84</v>
      </c>
      <c r="S82" s="35">
        <v>2482488.84</v>
      </c>
      <c r="T82" s="38">
        <v>0</v>
      </c>
      <c r="U82" s="33">
        <f t="shared" si="43"/>
        <v>379674.76</v>
      </c>
      <c r="V82" s="77">
        <v>379674.76</v>
      </c>
      <c r="W82" s="38">
        <v>0</v>
      </c>
      <c r="X82" s="33">
        <f t="shared" si="47"/>
        <v>58411.5</v>
      </c>
      <c r="Y82" s="35">
        <v>58411.5</v>
      </c>
      <c r="Z82" s="35">
        <v>0</v>
      </c>
      <c r="AA82" s="2">
        <f t="shared" si="50"/>
        <v>0</v>
      </c>
      <c r="AB82" s="38">
        <v>0</v>
      </c>
      <c r="AC82" s="38">
        <v>0</v>
      </c>
      <c r="AD82" s="2">
        <f t="shared" si="39"/>
        <v>2920575.0999999996</v>
      </c>
      <c r="AE82" s="35">
        <v>11900</v>
      </c>
      <c r="AF82" s="2">
        <f t="shared" si="40"/>
        <v>2932475.0999999996</v>
      </c>
      <c r="AG82" s="39" t="s">
        <v>69</v>
      </c>
      <c r="AH82" s="39"/>
      <c r="AI82" s="35">
        <v>80009.94</v>
      </c>
      <c r="AJ82" s="36">
        <v>12236.81</v>
      </c>
      <c r="AK82" s="28">
        <f t="shared" si="44"/>
        <v>2402478.9</v>
      </c>
      <c r="AL82" s="28">
        <f t="shared" si="45"/>
        <v>367437.95</v>
      </c>
      <c r="AM82" s="29">
        <f t="shared" si="46"/>
        <v>3.2229727969290696E-2</v>
      </c>
    </row>
    <row r="83" spans="1:39" ht="192" customHeight="1" x14ac:dyDescent="0.25">
      <c r="A83" s="10">
        <v>80</v>
      </c>
      <c r="B83" s="37">
        <v>120791</v>
      </c>
      <c r="C83" s="20">
        <v>88</v>
      </c>
      <c r="D83" s="15" t="s">
        <v>31</v>
      </c>
      <c r="E83" s="14" t="s">
        <v>32</v>
      </c>
      <c r="F83" s="15" t="s">
        <v>325</v>
      </c>
      <c r="G83" s="15" t="s">
        <v>326</v>
      </c>
      <c r="H83" s="32" t="s">
        <v>51</v>
      </c>
      <c r="I83" s="61" t="s">
        <v>327</v>
      </c>
      <c r="J83" s="30">
        <v>43180</v>
      </c>
      <c r="K83" s="30">
        <v>43667</v>
      </c>
      <c r="L83" s="31">
        <f>R83/AD83*100</f>
        <v>84.174275146898083</v>
      </c>
      <c r="M83" s="20">
        <v>5</v>
      </c>
      <c r="N83" s="20" t="s">
        <v>328</v>
      </c>
      <c r="O83" s="20" t="s">
        <v>329</v>
      </c>
      <c r="P83" s="32" t="s">
        <v>39</v>
      </c>
      <c r="Q83" s="20" t="s">
        <v>40</v>
      </c>
      <c r="R83" s="33">
        <f t="shared" si="49"/>
        <v>316573.06</v>
      </c>
      <c r="S83" s="2">
        <v>316573.06</v>
      </c>
      <c r="T83" s="2">
        <v>0</v>
      </c>
      <c r="U83" s="33">
        <f t="shared" si="43"/>
        <v>51997.5</v>
      </c>
      <c r="V83" s="2">
        <v>51997.5</v>
      </c>
      <c r="W83" s="2">
        <v>0</v>
      </c>
      <c r="X83" s="33">
        <f t="shared" si="47"/>
        <v>7521.85</v>
      </c>
      <c r="Y83" s="2">
        <v>7521.85</v>
      </c>
      <c r="Z83" s="2">
        <v>0</v>
      </c>
      <c r="AA83" s="2">
        <f t="shared" si="50"/>
        <v>0</v>
      </c>
      <c r="AB83" s="2">
        <v>0</v>
      </c>
      <c r="AC83" s="2">
        <v>0</v>
      </c>
      <c r="AD83" s="2">
        <f>R83+U83+X83+AA83</f>
        <v>376092.41</v>
      </c>
      <c r="AE83" s="2">
        <v>0</v>
      </c>
      <c r="AF83" s="2">
        <f>AD83+AE83</f>
        <v>376092.41</v>
      </c>
      <c r="AG83" s="24" t="s">
        <v>41</v>
      </c>
      <c r="AH83" s="34" t="s">
        <v>35</v>
      </c>
      <c r="AI83" s="35">
        <v>249647.94000000006</v>
      </c>
      <c r="AJ83" s="36">
        <v>41012.170000000006</v>
      </c>
      <c r="AK83" s="28">
        <f t="shared" si="44"/>
        <v>66925.119999999937</v>
      </c>
      <c r="AL83" s="28">
        <f t="shared" si="45"/>
        <v>10985.329999999994</v>
      </c>
      <c r="AM83" s="29">
        <f t="shared" si="46"/>
        <v>0.78859502447870977</v>
      </c>
    </row>
    <row r="84" spans="1:39" ht="192" customHeight="1" x14ac:dyDescent="0.25">
      <c r="A84" s="10">
        <v>81</v>
      </c>
      <c r="B84" s="20">
        <v>128386</v>
      </c>
      <c r="C84" s="20">
        <v>657</v>
      </c>
      <c r="D84" s="15" t="s">
        <v>31</v>
      </c>
      <c r="E84" s="14" t="s">
        <v>79</v>
      </c>
      <c r="F84" s="15" t="s">
        <v>330</v>
      </c>
      <c r="G84" s="78" t="s">
        <v>331</v>
      </c>
      <c r="H84" s="20" t="s">
        <v>35</v>
      </c>
      <c r="I84" s="79" t="s">
        <v>332</v>
      </c>
      <c r="J84" s="30">
        <v>43613</v>
      </c>
      <c r="K84" s="30">
        <v>44436</v>
      </c>
      <c r="L84" s="31">
        <f>R84/AD84*100</f>
        <v>84.999999925635848</v>
      </c>
      <c r="M84" s="20">
        <v>5</v>
      </c>
      <c r="N84" s="20" t="s">
        <v>328</v>
      </c>
      <c r="O84" s="78" t="s">
        <v>331</v>
      </c>
      <c r="P84" s="32" t="s">
        <v>39</v>
      </c>
      <c r="Q84" s="20" t="s">
        <v>40</v>
      </c>
      <c r="R84" s="33">
        <f t="shared" si="49"/>
        <v>3429071.68</v>
      </c>
      <c r="S84" s="2">
        <v>3429071.68</v>
      </c>
      <c r="T84" s="2">
        <v>0</v>
      </c>
      <c r="U84" s="33">
        <f t="shared" si="43"/>
        <v>524446.26</v>
      </c>
      <c r="V84" s="2">
        <v>524446.26</v>
      </c>
      <c r="W84" s="2">
        <v>0</v>
      </c>
      <c r="X84" s="33">
        <f t="shared" si="47"/>
        <v>80684.039999999994</v>
      </c>
      <c r="Y84" s="2">
        <v>80684.039999999994</v>
      </c>
      <c r="Z84" s="2">
        <v>0</v>
      </c>
      <c r="AA84" s="2">
        <f t="shared" si="50"/>
        <v>0</v>
      </c>
      <c r="AB84" s="2">
        <v>0</v>
      </c>
      <c r="AC84" s="2">
        <v>0</v>
      </c>
      <c r="AD84" s="2">
        <f>R84+U84+X84+AA84</f>
        <v>4034201.9800000004</v>
      </c>
      <c r="AE84" s="2">
        <v>0</v>
      </c>
      <c r="AF84" s="2">
        <f>AD84+AE84</f>
        <v>4034201.9800000004</v>
      </c>
      <c r="AG84" s="39" t="s">
        <v>69</v>
      </c>
      <c r="AH84" s="34"/>
      <c r="AI84" s="35">
        <v>361593.44</v>
      </c>
      <c r="AJ84" s="36">
        <v>55302.51</v>
      </c>
      <c r="AK84" s="28">
        <f t="shared" si="44"/>
        <v>3067478.24</v>
      </c>
      <c r="AL84" s="28">
        <f t="shared" si="45"/>
        <v>469143.75</v>
      </c>
      <c r="AM84" s="29">
        <f t="shared" si="46"/>
        <v>0.10544936756760943</v>
      </c>
    </row>
    <row r="85" spans="1:39" ht="192" customHeight="1" x14ac:dyDescent="0.25">
      <c r="A85" s="10">
        <v>82</v>
      </c>
      <c r="B85" s="20">
        <v>128739</v>
      </c>
      <c r="C85" s="20">
        <v>630</v>
      </c>
      <c r="D85" s="15" t="s">
        <v>31</v>
      </c>
      <c r="E85" s="14" t="s">
        <v>79</v>
      </c>
      <c r="F85" s="40" t="s">
        <v>333</v>
      </c>
      <c r="G85" s="15" t="s">
        <v>326</v>
      </c>
      <c r="H85" s="20" t="s">
        <v>264</v>
      </c>
      <c r="I85" s="79" t="s">
        <v>334</v>
      </c>
      <c r="J85" s="30">
        <v>43654</v>
      </c>
      <c r="K85" s="30">
        <v>44447</v>
      </c>
      <c r="L85" s="31">
        <f>R85/AD85*100</f>
        <v>85.000000167824169</v>
      </c>
      <c r="M85" s="20">
        <v>5</v>
      </c>
      <c r="N85" s="20" t="s">
        <v>328</v>
      </c>
      <c r="O85" s="20" t="s">
        <v>329</v>
      </c>
      <c r="P85" s="32" t="s">
        <v>39</v>
      </c>
      <c r="Q85" s="20" t="s">
        <v>40</v>
      </c>
      <c r="R85" s="33">
        <f t="shared" si="49"/>
        <v>2532412.23</v>
      </c>
      <c r="S85" s="2">
        <v>2532412.23</v>
      </c>
      <c r="T85" s="2">
        <v>0</v>
      </c>
      <c r="U85" s="33">
        <f t="shared" si="43"/>
        <v>387310.1</v>
      </c>
      <c r="V85" s="2">
        <v>387310.1</v>
      </c>
      <c r="W85" s="2">
        <v>0</v>
      </c>
      <c r="X85" s="33">
        <f t="shared" si="47"/>
        <v>59586.17</v>
      </c>
      <c r="Y85" s="2">
        <v>59586.17</v>
      </c>
      <c r="Z85" s="2">
        <v>0</v>
      </c>
      <c r="AA85" s="2">
        <f t="shared" si="50"/>
        <v>0</v>
      </c>
      <c r="AB85" s="2">
        <v>0</v>
      </c>
      <c r="AC85" s="2">
        <v>0</v>
      </c>
      <c r="AD85" s="2">
        <f>R85+U85+X85+AA85</f>
        <v>2979308.5</v>
      </c>
      <c r="AE85" s="2">
        <v>0</v>
      </c>
      <c r="AF85" s="2">
        <f>AD85+AE85</f>
        <v>2979308.5</v>
      </c>
      <c r="AG85" s="39" t="s">
        <v>69</v>
      </c>
      <c r="AH85" s="34"/>
      <c r="AI85" s="35">
        <v>61209.43</v>
      </c>
      <c r="AJ85" s="36">
        <v>4447.07</v>
      </c>
      <c r="AK85" s="28">
        <f t="shared" si="44"/>
        <v>2471202.7999999998</v>
      </c>
      <c r="AL85" s="28">
        <f t="shared" si="45"/>
        <v>382863.02999999997</v>
      </c>
      <c r="AM85" s="29">
        <f t="shared" si="46"/>
        <v>2.4170405305616455E-2</v>
      </c>
    </row>
    <row r="86" spans="1:39" ht="192" customHeight="1" x14ac:dyDescent="0.25">
      <c r="A86" s="10">
        <v>83</v>
      </c>
      <c r="B86" s="37">
        <v>120583</v>
      </c>
      <c r="C86" s="20">
        <v>77</v>
      </c>
      <c r="D86" s="15" t="s">
        <v>31</v>
      </c>
      <c r="E86" s="14" t="s">
        <v>32</v>
      </c>
      <c r="F86" s="15" t="s">
        <v>335</v>
      </c>
      <c r="G86" s="15" t="s">
        <v>336</v>
      </c>
      <c r="H86" s="20" t="s">
        <v>35</v>
      </c>
      <c r="I86" s="55" t="s">
        <v>337</v>
      </c>
      <c r="J86" s="30">
        <v>43126</v>
      </c>
      <c r="K86" s="30">
        <v>43369</v>
      </c>
      <c r="L86" s="31">
        <f t="shared" ref="L86:L92" si="51">R86/AD86*100</f>
        <v>84.999999763641128</v>
      </c>
      <c r="M86" s="20">
        <v>6</v>
      </c>
      <c r="N86" s="20" t="s">
        <v>338</v>
      </c>
      <c r="O86" s="20" t="s">
        <v>339</v>
      </c>
      <c r="P86" s="32" t="s">
        <v>39</v>
      </c>
      <c r="Q86" s="20" t="s">
        <v>40</v>
      </c>
      <c r="R86" s="33">
        <f t="shared" ref="R86:R92" si="52">S86+T86</f>
        <v>359622.64</v>
      </c>
      <c r="S86" s="2">
        <v>359622.64</v>
      </c>
      <c r="T86" s="2">
        <v>0</v>
      </c>
      <c r="U86" s="33">
        <f t="shared" si="43"/>
        <v>55001.11</v>
      </c>
      <c r="V86" s="2">
        <v>55001.11</v>
      </c>
      <c r="W86" s="2">
        <v>0</v>
      </c>
      <c r="X86" s="33">
        <f t="shared" si="47"/>
        <v>8461.7099999999991</v>
      </c>
      <c r="Y86" s="2">
        <v>8461.7099999999991</v>
      </c>
      <c r="Z86" s="2">
        <v>0</v>
      </c>
      <c r="AA86" s="2">
        <f t="shared" ref="AA86:AA92" si="53">AB86+AC86</f>
        <v>0</v>
      </c>
      <c r="AB86" s="2">
        <v>0</v>
      </c>
      <c r="AC86" s="2">
        <v>0</v>
      </c>
      <c r="AD86" s="2">
        <f t="shared" ref="AD86:AD92" si="54">R86+U86+X86+AA86</f>
        <v>423085.46</v>
      </c>
      <c r="AE86" s="2">
        <v>0</v>
      </c>
      <c r="AF86" s="2">
        <f t="shared" ref="AF86:AF92" si="55">AD86+AE86</f>
        <v>423085.46</v>
      </c>
      <c r="AG86" s="24" t="s">
        <v>41</v>
      </c>
      <c r="AH86" s="34" t="s">
        <v>35</v>
      </c>
      <c r="AI86" s="35">
        <v>300081.25</v>
      </c>
      <c r="AJ86" s="36">
        <v>45894.78</v>
      </c>
      <c r="AK86" s="28">
        <f t="shared" si="44"/>
        <v>59541.390000000014</v>
      </c>
      <c r="AL86" s="28">
        <f t="shared" si="45"/>
        <v>9106.3300000000017</v>
      </c>
      <c r="AM86" s="29">
        <f t="shared" si="46"/>
        <v>0.83443369972480042</v>
      </c>
    </row>
    <row r="87" spans="1:39" ht="192" customHeight="1" x14ac:dyDescent="0.25">
      <c r="A87" s="10">
        <v>84</v>
      </c>
      <c r="B87" s="37">
        <v>110080</v>
      </c>
      <c r="C87" s="20">
        <v>118</v>
      </c>
      <c r="D87" s="15" t="s">
        <v>31</v>
      </c>
      <c r="E87" s="14" t="s">
        <v>32</v>
      </c>
      <c r="F87" s="15" t="s">
        <v>340</v>
      </c>
      <c r="G87" s="15" t="s">
        <v>341</v>
      </c>
      <c r="H87" s="20" t="s">
        <v>35</v>
      </c>
      <c r="I87" s="16" t="s">
        <v>342</v>
      </c>
      <c r="J87" s="30">
        <v>43171</v>
      </c>
      <c r="K87" s="30">
        <v>43658</v>
      </c>
      <c r="L87" s="31">
        <f t="shared" si="51"/>
        <v>84.9999996799977</v>
      </c>
      <c r="M87" s="20">
        <v>6</v>
      </c>
      <c r="N87" s="20" t="s">
        <v>338</v>
      </c>
      <c r="O87" s="20" t="s">
        <v>343</v>
      </c>
      <c r="P87" s="32" t="s">
        <v>39</v>
      </c>
      <c r="Q87" s="20" t="s">
        <v>40</v>
      </c>
      <c r="R87" s="33">
        <f t="shared" si="52"/>
        <v>531246.18999999994</v>
      </c>
      <c r="S87" s="2">
        <v>531246.18999999994</v>
      </c>
      <c r="T87" s="2">
        <v>0</v>
      </c>
      <c r="U87" s="33">
        <f t="shared" si="43"/>
        <v>81249.41</v>
      </c>
      <c r="V87" s="2">
        <v>81249.41</v>
      </c>
      <c r="W87" s="2">
        <v>0</v>
      </c>
      <c r="X87" s="33">
        <f t="shared" si="47"/>
        <v>12499.92</v>
      </c>
      <c r="Y87" s="2">
        <v>12499.92</v>
      </c>
      <c r="Z87" s="2">
        <v>0</v>
      </c>
      <c r="AA87" s="2">
        <f t="shared" si="53"/>
        <v>0</v>
      </c>
      <c r="AB87" s="2">
        <v>0</v>
      </c>
      <c r="AC87" s="2">
        <v>0</v>
      </c>
      <c r="AD87" s="2">
        <f t="shared" si="54"/>
        <v>624995.52</v>
      </c>
      <c r="AE87" s="2">
        <v>0</v>
      </c>
      <c r="AF87" s="2">
        <f t="shared" si="55"/>
        <v>624995.52</v>
      </c>
      <c r="AG87" s="24" t="s">
        <v>41</v>
      </c>
      <c r="AH87" s="34" t="s">
        <v>35</v>
      </c>
      <c r="AI87" s="35">
        <v>425198.5</v>
      </c>
      <c r="AJ87" s="36">
        <v>65030.360000000015</v>
      </c>
      <c r="AK87" s="28">
        <f t="shared" si="44"/>
        <v>106047.68999999994</v>
      </c>
      <c r="AL87" s="28">
        <f t="shared" si="45"/>
        <v>16219.049999999988</v>
      </c>
      <c r="AM87" s="29">
        <f t="shared" si="46"/>
        <v>0.80037938719146395</v>
      </c>
    </row>
    <row r="88" spans="1:39" ht="192" customHeight="1" x14ac:dyDescent="0.25">
      <c r="A88" s="10">
        <v>85</v>
      </c>
      <c r="B88" s="37">
        <v>120588</v>
      </c>
      <c r="C88" s="20">
        <v>104</v>
      </c>
      <c r="D88" s="15" t="s">
        <v>31</v>
      </c>
      <c r="E88" s="14" t="s">
        <v>32</v>
      </c>
      <c r="F88" s="15" t="s">
        <v>344</v>
      </c>
      <c r="G88" s="15" t="s">
        <v>345</v>
      </c>
      <c r="H88" s="20" t="s">
        <v>35</v>
      </c>
      <c r="I88" s="16" t="s">
        <v>346</v>
      </c>
      <c r="J88" s="30">
        <v>43201</v>
      </c>
      <c r="K88" s="30">
        <v>43749</v>
      </c>
      <c r="L88" s="31">
        <f t="shared" si="51"/>
        <v>85.000000000000014</v>
      </c>
      <c r="M88" s="20">
        <v>6</v>
      </c>
      <c r="N88" s="20" t="s">
        <v>338</v>
      </c>
      <c r="O88" s="20" t="s">
        <v>343</v>
      </c>
      <c r="P88" s="32" t="s">
        <v>39</v>
      </c>
      <c r="Q88" s="20" t="s">
        <v>40</v>
      </c>
      <c r="R88" s="33">
        <f t="shared" si="52"/>
        <v>354701.26</v>
      </c>
      <c r="S88" s="2">
        <v>354701.26</v>
      </c>
      <c r="T88" s="2">
        <v>0</v>
      </c>
      <c r="U88" s="33">
        <f t="shared" si="43"/>
        <v>54248.43</v>
      </c>
      <c r="V88" s="2">
        <v>54248.43</v>
      </c>
      <c r="W88" s="2">
        <v>0</v>
      </c>
      <c r="X88" s="33">
        <f t="shared" si="47"/>
        <v>8345.91</v>
      </c>
      <c r="Y88" s="2">
        <v>8345.91</v>
      </c>
      <c r="Z88" s="2">
        <v>0</v>
      </c>
      <c r="AA88" s="2">
        <f t="shared" si="53"/>
        <v>0</v>
      </c>
      <c r="AB88" s="2">
        <v>0</v>
      </c>
      <c r="AC88" s="2">
        <v>0</v>
      </c>
      <c r="AD88" s="2">
        <f t="shared" si="54"/>
        <v>417295.6</v>
      </c>
      <c r="AE88" s="2">
        <v>0</v>
      </c>
      <c r="AF88" s="2">
        <f t="shared" si="55"/>
        <v>417295.6</v>
      </c>
      <c r="AG88" s="24" t="s">
        <v>41</v>
      </c>
      <c r="AH88" s="34" t="s">
        <v>347</v>
      </c>
      <c r="AI88" s="35">
        <v>329554.89999999997</v>
      </c>
      <c r="AJ88" s="36">
        <v>50402.509999999987</v>
      </c>
      <c r="AK88" s="28">
        <f t="shared" si="44"/>
        <v>25146.360000000044</v>
      </c>
      <c r="AL88" s="28">
        <f t="shared" si="45"/>
        <v>3845.9200000000128</v>
      </c>
      <c r="AM88" s="29">
        <f t="shared" si="46"/>
        <v>0.929105523899182</v>
      </c>
    </row>
    <row r="89" spans="1:39" ht="192" customHeight="1" x14ac:dyDescent="0.25">
      <c r="A89" s="10">
        <v>86</v>
      </c>
      <c r="B89" s="37">
        <v>126485</v>
      </c>
      <c r="C89" s="20">
        <v>546</v>
      </c>
      <c r="D89" s="15" t="s">
        <v>31</v>
      </c>
      <c r="E89" s="14" t="s">
        <v>65</v>
      </c>
      <c r="F89" s="15" t="s">
        <v>348</v>
      </c>
      <c r="G89" s="15" t="s">
        <v>349</v>
      </c>
      <c r="H89" s="20" t="s">
        <v>35</v>
      </c>
      <c r="I89" s="16" t="s">
        <v>350</v>
      </c>
      <c r="J89" s="30">
        <v>43455</v>
      </c>
      <c r="K89" s="30">
        <v>44186</v>
      </c>
      <c r="L89" s="31">
        <f t="shared" si="51"/>
        <v>85</v>
      </c>
      <c r="M89" s="20">
        <v>6</v>
      </c>
      <c r="N89" s="20" t="s">
        <v>338</v>
      </c>
      <c r="O89" s="20" t="s">
        <v>339</v>
      </c>
      <c r="P89" s="32" t="s">
        <v>39</v>
      </c>
      <c r="Q89" s="20" t="s">
        <v>40</v>
      </c>
      <c r="R89" s="33">
        <f t="shared" si="52"/>
        <v>3257796.87</v>
      </c>
      <c r="S89" s="2">
        <v>3257796.87</v>
      </c>
      <c r="T89" s="2">
        <v>0</v>
      </c>
      <c r="U89" s="33">
        <f t="shared" si="43"/>
        <v>498251.29</v>
      </c>
      <c r="V89" s="2">
        <v>498251.29</v>
      </c>
      <c r="W89" s="2">
        <v>0</v>
      </c>
      <c r="X89" s="33">
        <f t="shared" si="47"/>
        <v>76654.039999999994</v>
      </c>
      <c r="Y89" s="2">
        <v>76654.039999999994</v>
      </c>
      <c r="Z89" s="2">
        <v>0</v>
      </c>
      <c r="AA89" s="2">
        <f t="shared" si="53"/>
        <v>0</v>
      </c>
      <c r="AB89" s="2">
        <v>0</v>
      </c>
      <c r="AC89" s="2">
        <v>0</v>
      </c>
      <c r="AD89" s="2">
        <f t="shared" si="54"/>
        <v>3832702.2</v>
      </c>
      <c r="AE89" s="2"/>
      <c r="AF89" s="2">
        <f t="shared" si="55"/>
        <v>3832702.2</v>
      </c>
      <c r="AG89" s="39" t="s">
        <v>69</v>
      </c>
      <c r="AH89" s="34" t="s">
        <v>35</v>
      </c>
      <c r="AI89" s="35">
        <v>526834.94999999995</v>
      </c>
      <c r="AJ89" s="36">
        <v>80574.740000000005</v>
      </c>
      <c r="AK89" s="28">
        <f t="shared" si="44"/>
        <v>2730961.92</v>
      </c>
      <c r="AL89" s="28">
        <f t="shared" si="45"/>
        <v>417676.55</v>
      </c>
      <c r="AM89" s="29">
        <f t="shared" si="46"/>
        <v>0.16171510104004733</v>
      </c>
    </row>
    <row r="90" spans="1:39" ht="192" customHeight="1" x14ac:dyDescent="0.25">
      <c r="A90" s="10">
        <v>87</v>
      </c>
      <c r="B90" s="37">
        <v>126214</v>
      </c>
      <c r="C90" s="20">
        <v>527</v>
      </c>
      <c r="D90" s="15" t="s">
        <v>31</v>
      </c>
      <c r="E90" s="14" t="s">
        <v>65</v>
      </c>
      <c r="F90" s="15" t="s">
        <v>351</v>
      </c>
      <c r="G90" s="15" t="s">
        <v>352</v>
      </c>
      <c r="H90" s="20" t="s">
        <v>35</v>
      </c>
      <c r="I90" s="16" t="s">
        <v>353</v>
      </c>
      <c r="J90" s="30">
        <v>43507</v>
      </c>
      <c r="K90" s="30">
        <v>44419</v>
      </c>
      <c r="L90" s="31">
        <f t="shared" si="51"/>
        <v>85.000000000000014</v>
      </c>
      <c r="M90" s="20">
        <v>6</v>
      </c>
      <c r="N90" s="20" t="s">
        <v>338</v>
      </c>
      <c r="O90" s="20" t="s">
        <v>343</v>
      </c>
      <c r="P90" s="32" t="s">
        <v>39</v>
      </c>
      <c r="Q90" s="20" t="s">
        <v>40</v>
      </c>
      <c r="R90" s="33">
        <f t="shared" si="52"/>
        <v>3316506.2</v>
      </c>
      <c r="S90" s="2">
        <v>3316506.2</v>
      </c>
      <c r="T90" s="2">
        <v>0</v>
      </c>
      <c r="U90" s="33">
        <f t="shared" si="43"/>
        <v>507230.36</v>
      </c>
      <c r="V90" s="2">
        <v>507230.36</v>
      </c>
      <c r="W90" s="2">
        <v>0</v>
      </c>
      <c r="X90" s="33">
        <f t="shared" si="47"/>
        <v>78035.44</v>
      </c>
      <c r="Y90" s="2">
        <v>78035.44</v>
      </c>
      <c r="Z90" s="2">
        <v>0</v>
      </c>
      <c r="AA90" s="2">
        <f t="shared" si="53"/>
        <v>0</v>
      </c>
      <c r="AB90" s="2">
        <v>0</v>
      </c>
      <c r="AC90" s="2">
        <v>0</v>
      </c>
      <c r="AD90" s="2">
        <f t="shared" si="54"/>
        <v>3901772</v>
      </c>
      <c r="AE90" s="2">
        <v>0</v>
      </c>
      <c r="AF90" s="2">
        <f t="shared" si="55"/>
        <v>3901772</v>
      </c>
      <c r="AG90" s="39" t="s">
        <v>69</v>
      </c>
      <c r="AH90" s="34" t="s">
        <v>354</v>
      </c>
      <c r="AI90" s="35">
        <v>369954.38</v>
      </c>
      <c r="AJ90" s="36">
        <v>56581.259999999995</v>
      </c>
      <c r="AK90" s="28">
        <f t="shared" si="44"/>
        <v>2946551.8200000003</v>
      </c>
      <c r="AL90" s="28">
        <f t="shared" si="45"/>
        <v>450649.1</v>
      </c>
      <c r="AM90" s="29">
        <f t="shared" si="46"/>
        <v>0.11154943114534205</v>
      </c>
    </row>
    <row r="91" spans="1:39" ht="192" customHeight="1" x14ac:dyDescent="0.25">
      <c r="A91" s="10">
        <v>88</v>
      </c>
      <c r="B91" s="20">
        <v>128473</v>
      </c>
      <c r="C91" s="20">
        <v>629</v>
      </c>
      <c r="D91" s="15" t="str">
        <f>$D$201</f>
        <v>AP2/11i /2.1</v>
      </c>
      <c r="E91" s="14" t="s">
        <v>79</v>
      </c>
      <c r="F91" s="15" t="s">
        <v>355</v>
      </c>
      <c r="G91" s="15" t="s">
        <v>356</v>
      </c>
      <c r="H91" s="20" t="s">
        <v>132</v>
      </c>
      <c r="I91" s="16" t="s">
        <v>357</v>
      </c>
      <c r="J91" s="30">
        <v>43640</v>
      </c>
      <c r="K91" s="30">
        <v>44554</v>
      </c>
      <c r="L91" s="31">
        <f t="shared" si="51"/>
        <v>85</v>
      </c>
      <c r="M91" s="20">
        <v>6</v>
      </c>
      <c r="N91" s="20" t="s">
        <v>338</v>
      </c>
      <c r="O91" s="20" t="s">
        <v>343</v>
      </c>
      <c r="P91" s="32" t="s">
        <v>39</v>
      </c>
      <c r="Q91" s="20" t="s">
        <v>40</v>
      </c>
      <c r="R91" s="33">
        <f t="shared" si="52"/>
        <v>2773068.05</v>
      </c>
      <c r="S91" s="2">
        <v>2773068.05</v>
      </c>
      <c r="T91" s="2">
        <v>0</v>
      </c>
      <c r="U91" s="33">
        <f t="shared" si="43"/>
        <v>424116.29</v>
      </c>
      <c r="V91" s="2">
        <v>424116.29</v>
      </c>
      <c r="W91" s="2">
        <v>0</v>
      </c>
      <c r="X91" s="33">
        <f t="shared" si="47"/>
        <v>65248.66</v>
      </c>
      <c r="Y91" s="2">
        <v>65248.66</v>
      </c>
      <c r="Z91" s="2">
        <v>0</v>
      </c>
      <c r="AA91" s="2">
        <f t="shared" si="53"/>
        <v>0</v>
      </c>
      <c r="AB91" s="2">
        <v>0</v>
      </c>
      <c r="AC91" s="2">
        <v>0</v>
      </c>
      <c r="AD91" s="2">
        <f t="shared" si="54"/>
        <v>3262433</v>
      </c>
      <c r="AE91" s="2">
        <v>102340</v>
      </c>
      <c r="AF91" s="2">
        <f t="shared" si="55"/>
        <v>3364773</v>
      </c>
      <c r="AG91" s="39" t="s">
        <v>69</v>
      </c>
      <c r="AH91" s="34"/>
      <c r="AI91" s="35">
        <v>147591.18</v>
      </c>
      <c r="AJ91" s="36">
        <f>3183.31+19389.45</f>
        <v>22572.760000000002</v>
      </c>
      <c r="AK91" s="28">
        <f t="shared" si="44"/>
        <v>2625476.8699999996</v>
      </c>
      <c r="AL91" s="28">
        <f t="shared" si="45"/>
        <v>401543.52999999997</v>
      </c>
      <c r="AM91" s="29">
        <f t="shared" si="46"/>
        <v>5.3223064612496616E-2</v>
      </c>
    </row>
    <row r="92" spans="1:39" ht="192" customHeight="1" x14ac:dyDescent="0.25">
      <c r="A92" s="10">
        <v>89</v>
      </c>
      <c r="B92" s="20">
        <v>129268</v>
      </c>
      <c r="C92" s="80">
        <v>655</v>
      </c>
      <c r="D92" s="15" t="str">
        <f>$D$201</f>
        <v>AP2/11i /2.1</v>
      </c>
      <c r="E92" s="14" t="s">
        <v>79</v>
      </c>
      <c r="F92" s="15" t="s">
        <v>358</v>
      </c>
      <c r="G92" s="15" t="s">
        <v>359</v>
      </c>
      <c r="H92" s="20" t="s">
        <v>35</v>
      </c>
      <c r="I92" s="16" t="s">
        <v>360</v>
      </c>
      <c r="J92" s="30">
        <v>43634</v>
      </c>
      <c r="K92" s="30">
        <v>44214</v>
      </c>
      <c r="L92" s="31">
        <f t="shared" si="51"/>
        <v>84.999999999999986</v>
      </c>
      <c r="M92" s="20">
        <v>5</v>
      </c>
      <c r="N92" s="20" t="s">
        <v>338</v>
      </c>
      <c r="O92" s="20" t="s">
        <v>361</v>
      </c>
      <c r="P92" s="32" t="str">
        <f>P90</f>
        <v>APL</v>
      </c>
      <c r="Q92" s="20" t="str">
        <f>Q90</f>
        <v>119 - Investiții în capacitatea instituțională și în eficiența administrațiilor și a serviciilor publice la nivel național, regional și local, în perspectiva realizării de reforme, a unei mai bune legiferări și a bunei guvernanțe</v>
      </c>
      <c r="R92" s="33">
        <f t="shared" si="52"/>
        <v>1962765.6</v>
      </c>
      <c r="S92" s="2">
        <v>1962765.6</v>
      </c>
      <c r="T92" s="2">
        <v>0</v>
      </c>
      <c r="U92" s="33">
        <f t="shared" si="43"/>
        <v>300187.68</v>
      </c>
      <c r="V92" s="2">
        <v>300187.68</v>
      </c>
      <c r="W92" s="2">
        <v>0</v>
      </c>
      <c r="X92" s="33">
        <f t="shared" si="47"/>
        <v>46182.720000000001</v>
      </c>
      <c r="Y92" s="2">
        <v>46182.720000000001</v>
      </c>
      <c r="Z92" s="2">
        <v>0</v>
      </c>
      <c r="AA92" s="2">
        <f t="shared" si="53"/>
        <v>0</v>
      </c>
      <c r="AB92" s="2">
        <v>0</v>
      </c>
      <c r="AC92" s="2">
        <v>0</v>
      </c>
      <c r="AD92" s="2">
        <f t="shared" si="54"/>
        <v>2309136.0000000005</v>
      </c>
      <c r="AE92" s="2">
        <v>0</v>
      </c>
      <c r="AF92" s="2">
        <f t="shared" si="55"/>
        <v>2309136.0000000005</v>
      </c>
      <c r="AG92" s="39" t="s">
        <v>69</v>
      </c>
      <c r="AH92" s="34" t="s">
        <v>35</v>
      </c>
      <c r="AI92" s="35">
        <v>72304.61</v>
      </c>
      <c r="AJ92" s="36">
        <f>3424.24+3817.06+3817.06</f>
        <v>11058.359999999999</v>
      </c>
      <c r="AK92" s="28">
        <f t="shared" si="44"/>
        <v>1890460.99</v>
      </c>
      <c r="AL92" s="28">
        <f t="shared" si="45"/>
        <v>289129.32</v>
      </c>
      <c r="AM92" s="29">
        <f t="shared" si="46"/>
        <v>3.6838127792743057E-2</v>
      </c>
    </row>
    <row r="93" spans="1:39" ht="192" customHeight="1" x14ac:dyDescent="0.25">
      <c r="A93" s="10">
        <v>90</v>
      </c>
      <c r="B93" s="20">
        <v>120642</v>
      </c>
      <c r="C93" s="20">
        <v>84</v>
      </c>
      <c r="D93" s="15" t="s">
        <v>31</v>
      </c>
      <c r="E93" s="14" t="s">
        <v>32</v>
      </c>
      <c r="F93" s="15" t="s">
        <v>362</v>
      </c>
      <c r="G93" s="20" t="s">
        <v>363</v>
      </c>
      <c r="H93" s="20" t="s">
        <v>35</v>
      </c>
      <c r="I93" s="61" t="s">
        <v>364</v>
      </c>
      <c r="J93" s="30">
        <v>43175</v>
      </c>
      <c r="K93" s="30">
        <v>43662</v>
      </c>
      <c r="L93" s="31">
        <f t="shared" ref="L93:L101" si="56">R93/AD93*100</f>
        <v>84.999998716744599</v>
      </c>
      <c r="M93" s="20">
        <v>2</v>
      </c>
      <c r="N93" s="20" t="s">
        <v>365</v>
      </c>
      <c r="O93" s="20" t="s">
        <v>366</v>
      </c>
      <c r="P93" s="32" t="s">
        <v>39</v>
      </c>
      <c r="Q93" s="20" t="s">
        <v>40</v>
      </c>
      <c r="R93" s="33">
        <f t="shared" ref="R93:R101" si="57">S93+T93</f>
        <v>264951.15000000002</v>
      </c>
      <c r="S93" s="2">
        <v>264951.15000000002</v>
      </c>
      <c r="T93" s="2">
        <v>0</v>
      </c>
      <c r="U93" s="33">
        <f t="shared" si="43"/>
        <v>40521.949999999997</v>
      </c>
      <c r="V93" s="2">
        <v>40521.949999999997</v>
      </c>
      <c r="W93" s="2">
        <v>0</v>
      </c>
      <c r="X93" s="33">
        <f t="shared" si="47"/>
        <v>6234.14</v>
      </c>
      <c r="Y93" s="2">
        <v>6234.14</v>
      </c>
      <c r="Z93" s="2">
        <v>0</v>
      </c>
      <c r="AA93" s="2">
        <f t="shared" ref="AA93:AA106" si="58">AB93+AC93</f>
        <v>0</v>
      </c>
      <c r="AB93" s="2">
        <v>0</v>
      </c>
      <c r="AC93" s="2">
        <v>0</v>
      </c>
      <c r="AD93" s="2">
        <f t="shared" ref="AD93:AD101" si="59">R93+U93+X93+AA93</f>
        <v>311707.24000000005</v>
      </c>
      <c r="AE93" s="2">
        <v>0</v>
      </c>
      <c r="AF93" s="2">
        <f t="shared" ref="AF93:AF101" si="60">AD93+AE93</f>
        <v>311707.24000000005</v>
      </c>
      <c r="AG93" s="24" t="s">
        <v>41</v>
      </c>
      <c r="AH93" s="34" t="s">
        <v>35</v>
      </c>
      <c r="AI93" s="35">
        <v>161700.98000000001</v>
      </c>
      <c r="AJ93" s="36">
        <v>24730.730000000003</v>
      </c>
      <c r="AK93" s="28">
        <f t="shared" si="44"/>
        <v>103250.17000000001</v>
      </c>
      <c r="AL93" s="28">
        <f t="shared" si="45"/>
        <v>15791.219999999994</v>
      </c>
      <c r="AM93" s="29">
        <f t="shared" si="46"/>
        <v>0.61030488072990052</v>
      </c>
    </row>
    <row r="94" spans="1:39" ht="192" customHeight="1" x14ac:dyDescent="0.25">
      <c r="A94" s="10">
        <v>91</v>
      </c>
      <c r="B94" s="37">
        <v>116521</v>
      </c>
      <c r="C94" s="20">
        <v>405</v>
      </c>
      <c r="D94" s="15" t="s">
        <v>54</v>
      </c>
      <c r="E94" s="14" t="s">
        <v>55</v>
      </c>
      <c r="F94" s="15" t="s">
        <v>367</v>
      </c>
      <c r="G94" s="15" t="s">
        <v>368</v>
      </c>
      <c r="H94" s="20" t="s">
        <v>35</v>
      </c>
      <c r="I94" s="15" t="s">
        <v>369</v>
      </c>
      <c r="J94" s="30">
        <v>43304</v>
      </c>
      <c r="K94" s="30">
        <v>43792</v>
      </c>
      <c r="L94" s="31">
        <f t="shared" si="56"/>
        <v>85.000001706742694</v>
      </c>
      <c r="M94" s="20">
        <v>2</v>
      </c>
      <c r="N94" s="20" t="s">
        <v>365</v>
      </c>
      <c r="O94" s="20" t="s">
        <v>365</v>
      </c>
      <c r="P94" s="20" t="s">
        <v>39</v>
      </c>
      <c r="Q94" s="20" t="s">
        <v>40</v>
      </c>
      <c r="R94" s="33">
        <f t="shared" si="57"/>
        <v>249012.35</v>
      </c>
      <c r="S94" s="35">
        <v>249012.35</v>
      </c>
      <c r="T94" s="35">
        <v>0</v>
      </c>
      <c r="U94" s="33">
        <f t="shared" si="43"/>
        <v>38084.239999999998</v>
      </c>
      <c r="V94" s="35">
        <v>38084.239999999998</v>
      </c>
      <c r="W94" s="35">
        <v>0</v>
      </c>
      <c r="X94" s="33">
        <f t="shared" si="47"/>
        <v>5859.11</v>
      </c>
      <c r="Y94" s="35">
        <v>5859.11</v>
      </c>
      <c r="Z94" s="35">
        <v>0</v>
      </c>
      <c r="AA94" s="2">
        <f t="shared" si="58"/>
        <v>0</v>
      </c>
      <c r="AB94" s="35">
        <v>0</v>
      </c>
      <c r="AC94" s="35">
        <v>0</v>
      </c>
      <c r="AD94" s="2">
        <f t="shared" si="59"/>
        <v>292955.7</v>
      </c>
      <c r="AE94" s="39">
        <v>0</v>
      </c>
      <c r="AF94" s="2">
        <f t="shared" si="60"/>
        <v>292955.7</v>
      </c>
      <c r="AG94" s="24" t="s">
        <v>41</v>
      </c>
      <c r="AH94" s="39"/>
      <c r="AI94" s="35">
        <v>201942.88</v>
      </c>
      <c r="AJ94" s="36">
        <f>9579.42+5275.29+1268.05+14762.58</f>
        <v>30885.339999999997</v>
      </c>
      <c r="AK94" s="28">
        <f t="shared" si="44"/>
        <v>47069.47</v>
      </c>
      <c r="AL94" s="28">
        <f t="shared" si="45"/>
        <v>7198.9000000000015</v>
      </c>
      <c r="AM94" s="29">
        <f t="shared" si="46"/>
        <v>0.81097535925426989</v>
      </c>
    </row>
    <row r="95" spans="1:39" ht="192" customHeight="1" x14ac:dyDescent="0.25">
      <c r="A95" s="10">
        <v>92</v>
      </c>
      <c r="B95" s="37">
        <v>126409</v>
      </c>
      <c r="C95" s="20">
        <v>551</v>
      </c>
      <c r="D95" s="15" t="s">
        <v>31</v>
      </c>
      <c r="E95" s="14" t="s">
        <v>65</v>
      </c>
      <c r="F95" s="15" t="s">
        <v>370</v>
      </c>
      <c r="G95" s="15" t="s">
        <v>368</v>
      </c>
      <c r="H95" s="20" t="s">
        <v>35</v>
      </c>
      <c r="I95" s="15" t="s">
        <v>371</v>
      </c>
      <c r="J95" s="30">
        <v>43439</v>
      </c>
      <c r="K95" s="30">
        <v>44321</v>
      </c>
      <c r="L95" s="31">
        <f t="shared" si="56"/>
        <v>85.000000331630361</v>
      </c>
      <c r="M95" s="20">
        <v>2</v>
      </c>
      <c r="N95" s="20" t="s">
        <v>365</v>
      </c>
      <c r="O95" s="20" t="s">
        <v>365</v>
      </c>
      <c r="P95" s="20" t="s">
        <v>39</v>
      </c>
      <c r="Q95" s="20" t="s">
        <v>40</v>
      </c>
      <c r="R95" s="33">
        <f t="shared" si="57"/>
        <v>3075713.52</v>
      </c>
      <c r="S95" s="35">
        <v>3075713.52</v>
      </c>
      <c r="T95" s="35">
        <v>0</v>
      </c>
      <c r="U95" s="33">
        <f t="shared" si="43"/>
        <v>470403.23</v>
      </c>
      <c r="V95" s="35">
        <v>470403.23</v>
      </c>
      <c r="W95" s="35">
        <v>0</v>
      </c>
      <c r="X95" s="33">
        <f t="shared" si="47"/>
        <v>72369.73000000001</v>
      </c>
      <c r="Y95" s="35">
        <v>72369.73000000001</v>
      </c>
      <c r="Z95" s="35">
        <v>0</v>
      </c>
      <c r="AA95" s="2">
        <f t="shared" si="58"/>
        <v>0</v>
      </c>
      <c r="AB95" s="35">
        <v>0</v>
      </c>
      <c r="AC95" s="35">
        <v>0</v>
      </c>
      <c r="AD95" s="2">
        <f t="shared" si="59"/>
        <v>3618486.48</v>
      </c>
      <c r="AE95" s="39">
        <v>0</v>
      </c>
      <c r="AF95" s="2">
        <f t="shared" si="60"/>
        <v>3618486.48</v>
      </c>
      <c r="AG95" s="39" t="s">
        <v>69</v>
      </c>
      <c r="AH95" s="39"/>
      <c r="AI95" s="35">
        <v>183107.25</v>
      </c>
      <c r="AJ95" s="36">
        <v>28004.63</v>
      </c>
      <c r="AK95" s="28">
        <f t="shared" si="44"/>
        <v>2892606.27</v>
      </c>
      <c r="AL95" s="28">
        <f t="shared" si="45"/>
        <v>442398.6</v>
      </c>
      <c r="AM95" s="29">
        <f t="shared" si="46"/>
        <v>5.9533259131364091E-2</v>
      </c>
    </row>
    <row r="96" spans="1:39" ht="192" customHeight="1" x14ac:dyDescent="0.25">
      <c r="A96" s="10">
        <v>93</v>
      </c>
      <c r="B96" s="37">
        <v>125754</v>
      </c>
      <c r="C96" s="20">
        <v>531</v>
      </c>
      <c r="D96" s="15" t="s">
        <v>31</v>
      </c>
      <c r="E96" s="14" t="s">
        <v>65</v>
      </c>
      <c r="F96" s="15" t="s">
        <v>372</v>
      </c>
      <c r="G96" s="15" t="s">
        <v>373</v>
      </c>
      <c r="H96" s="20" t="s">
        <v>35</v>
      </c>
      <c r="I96" s="15" t="s">
        <v>374</v>
      </c>
      <c r="J96" s="30">
        <v>43550</v>
      </c>
      <c r="K96" s="30">
        <v>44465</v>
      </c>
      <c r="L96" s="31">
        <f t="shared" si="56"/>
        <v>85</v>
      </c>
      <c r="M96" s="20">
        <v>2</v>
      </c>
      <c r="N96" s="20" t="s">
        <v>365</v>
      </c>
      <c r="O96" s="20" t="s">
        <v>365</v>
      </c>
      <c r="P96" s="20" t="s">
        <v>39</v>
      </c>
      <c r="Q96" s="20" t="s">
        <v>40</v>
      </c>
      <c r="R96" s="33">
        <f t="shared" si="57"/>
        <v>1983050</v>
      </c>
      <c r="S96" s="35">
        <v>1983050</v>
      </c>
      <c r="T96" s="35">
        <v>0</v>
      </c>
      <c r="U96" s="33">
        <f t="shared" si="43"/>
        <v>303290</v>
      </c>
      <c r="V96" s="35">
        <v>303290</v>
      </c>
      <c r="W96" s="35">
        <v>0</v>
      </c>
      <c r="X96" s="33">
        <f t="shared" si="47"/>
        <v>46660</v>
      </c>
      <c r="Y96" s="35">
        <v>46660</v>
      </c>
      <c r="Z96" s="35">
        <v>0</v>
      </c>
      <c r="AA96" s="2">
        <f t="shared" si="58"/>
        <v>0</v>
      </c>
      <c r="AB96" s="35">
        <v>0</v>
      </c>
      <c r="AC96" s="35">
        <v>0</v>
      </c>
      <c r="AD96" s="2">
        <f t="shared" si="59"/>
        <v>2333000</v>
      </c>
      <c r="AE96" s="39">
        <v>0</v>
      </c>
      <c r="AF96" s="2">
        <f t="shared" si="60"/>
        <v>2333000</v>
      </c>
      <c r="AG96" s="39" t="s">
        <v>69</v>
      </c>
      <c r="AH96" s="39"/>
      <c r="AI96" s="35">
        <v>1517.25</v>
      </c>
      <c r="AJ96" s="36">
        <v>232.05</v>
      </c>
      <c r="AK96" s="28">
        <f t="shared" si="44"/>
        <v>1981532.75</v>
      </c>
      <c r="AL96" s="28">
        <f t="shared" si="45"/>
        <v>303057.95</v>
      </c>
      <c r="AM96" s="29">
        <f t="shared" si="46"/>
        <v>7.6510930132876124E-4</v>
      </c>
    </row>
    <row r="97" spans="1:39" ht="192" customHeight="1" x14ac:dyDescent="0.25">
      <c r="A97" s="10">
        <v>94</v>
      </c>
      <c r="B97" s="37">
        <v>109686</v>
      </c>
      <c r="C97" s="37">
        <v>122</v>
      </c>
      <c r="D97" s="15" t="s">
        <v>31</v>
      </c>
      <c r="E97" s="14" t="s">
        <v>32</v>
      </c>
      <c r="F97" s="15" t="s">
        <v>375</v>
      </c>
      <c r="G97" s="15" t="s">
        <v>368</v>
      </c>
      <c r="H97" s="20" t="s">
        <v>132</v>
      </c>
      <c r="I97" s="16" t="s">
        <v>376</v>
      </c>
      <c r="J97" s="30">
        <v>43276</v>
      </c>
      <c r="K97" s="30">
        <v>43763</v>
      </c>
      <c r="L97" s="31">
        <f t="shared" si="56"/>
        <v>85.000000118226325</v>
      </c>
      <c r="M97" s="20">
        <v>2</v>
      </c>
      <c r="N97" s="20" t="s">
        <v>377</v>
      </c>
      <c r="O97" s="20" t="s">
        <v>377</v>
      </c>
      <c r="P97" s="32" t="s">
        <v>39</v>
      </c>
      <c r="Q97" s="20" t="s">
        <v>40</v>
      </c>
      <c r="R97" s="2">
        <f t="shared" si="57"/>
        <v>359480.02</v>
      </c>
      <c r="S97" s="2">
        <v>359480.02</v>
      </c>
      <c r="T97" s="2">
        <v>0</v>
      </c>
      <c r="U97" s="33">
        <f t="shared" si="43"/>
        <v>54979.3</v>
      </c>
      <c r="V97" s="2">
        <v>54979.3</v>
      </c>
      <c r="W97" s="2">
        <v>0</v>
      </c>
      <c r="X97" s="33">
        <f t="shared" si="47"/>
        <v>8458.35</v>
      </c>
      <c r="Y97" s="2">
        <v>8458.35</v>
      </c>
      <c r="Z97" s="2">
        <v>0</v>
      </c>
      <c r="AA97" s="2">
        <f t="shared" si="58"/>
        <v>0</v>
      </c>
      <c r="AB97" s="2">
        <v>0</v>
      </c>
      <c r="AC97" s="2">
        <v>0</v>
      </c>
      <c r="AD97" s="2">
        <f t="shared" si="59"/>
        <v>422917.67</v>
      </c>
      <c r="AE97" s="2">
        <v>0</v>
      </c>
      <c r="AF97" s="2">
        <f t="shared" si="60"/>
        <v>422917.67</v>
      </c>
      <c r="AG97" s="24" t="s">
        <v>41</v>
      </c>
      <c r="AH97" s="34" t="s">
        <v>35</v>
      </c>
      <c r="AI97" s="35">
        <v>258837.34</v>
      </c>
      <c r="AJ97" s="36">
        <v>39586.89</v>
      </c>
      <c r="AK97" s="28">
        <f t="shared" si="44"/>
        <v>100642.68000000002</v>
      </c>
      <c r="AL97" s="28">
        <f t="shared" si="45"/>
        <v>15392.410000000003</v>
      </c>
      <c r="AM97" s="29">
        <f t="shared" si="46"/>
        <v>0.72003261822451214</v>
      </c>
    </row>
    <row r="98" spans="1:39" ht="192" customHeight="1" x14ac:dyDescent="0.25">
      <c r="A98" s="10">
        <v>95</v>
      </c>
      <c r="B98" s="37">
        <v>126515</v>
      </c>
      <c r="C98" s="20">
        <v>547</v>
      </c>
      <c r="D98" s="15" t="s">
        <v>31</v>
      </c>
      <c r="E98" s="14" t="s">
        <v>65</v>
      </c>
      <c r="F98" s="81" t="s">
        <v>378</v>
      </c>
      <c r="G98" s="15" t="s">
        <v>379</v>
      </c>
      <c r="H98" s="20" t="s">
        <v>35</v>
      </c>
      <c r="I98" s="15" t="s">
        <v>380</v>
      </c>
      <c r="J98" s="30">
        <v>43521</v>
      </c>
      <c r="K98" s="30">
        <v>44433</v>
      </c>
      <c r="L98" s="31">
        <f t="shared" si="56"/>
        <v>84.999999929518182</v>
      </c>
      <c r="M98" s="20">
        <v>7</v>
      </c>
      <c r="N98" s="20" t="s">
        <v>381</v>
      </c>
      <c r="O98" s="20" t="s">
        <v>382</v>
      </c>
      <c r="P98" s="20" t="s">
        <v>39</v>
      </c>
      <c r="Q98" s="20" t="s">
        <v>40</v>
      </c>
      <c r="R98" s="33">
        <f t="shared" si="57"/>
        <v>2411970.2999999998</v>
      </c>
      <c r="S98" s="35">
        <v>2411970.2999999998</v>
      </c>
      <c r="T98" s="35">
        <v>0</v>
      </c>
      <c r="U98" s="33">
        <f t="shared" si="43"/>
        <v>368889.58</v>
      </c>
      <c r="V98" s="35">
        <v>368889.58</v>
      </c>
      <c r="W98" s="35">
        <v>0</v>
      </c>
      <c r="X98" s="33">
        <f t="shared" si="47"/>
        <v>56752.24</v>
      </c>
      <c r="Y98" s="35">
        <v>56752.24</v>
      </c>
      <c r="Z98" s="35">
        <v>0</v>
      </c>
      <c r="AA98" s="33">
        <f t="shared" si="58"/>
        <v>0</v>
      </c>
      <c r="AB98" s="35">
        <v>0</v>
      </c>
      <c r="AC98" s="35">
        <v>0</v>
      </c>
      <c r="AD98" s="2">
        <f t="shared" si="59"/>
        <v>2837612.12</v>
      </c>
      <c r="AE98" s="35">
        <v>72392.72</v>
      </c>
      <c r="AF98" s="2">
        <f t="shared" si="60"/>
        <v>2910004.8400000003</v>
      </c>
      <c r="AG98" s="39" t="s">
        <v>69</v>
      </c>
      <c r="AH98" s="39"/>
      <c r="AI98" s="35">
        <v>41642.35</v>
      </c>
      <c r="AJ98" s="36">
        <v>6368.83</v>
      </c>
      <c r="AK98" s="28">
        <f t="shared" si="44"/>
        <v>2370327.9499999997</v>
      </c>
      <c r="AL98" s="28">
        <f t="shared" si="45"/>
        <v>362520.75</v>
      </c>
      <c r="AM98" s="29">
        <f t="shared" si="46"/>
        <v>1.7264868477028926E-2</v>
      </c>
    </row>
    <row r="99" spans="1:39" ht="192" customHeight="1" x14ac:dyDescent="0.25">
      <c r="A99" s="10">
        <v>96</v>
      </c>
      <c r="B99" s="37">
        <v>120631</v>
      </c>
      <c r="C99" s="20">
        <v>81</v>
      </c>
      <c r="D99" s="15" t="s">
        <v>31</v>
      </c>
      <c r="E99" s="14" t="s">
        <v>32</v>
      </c>
      <c r="F99" s="62" t="s">
        <v>383</v>
      </c>
      <c r="G99" s="32" t="s">
        <v>384</v>
      </c>
      <c r="H99" s="20" t="s">
        <v>35</v>
      </c>
      <c r="I99" s="15" t="s">
        <v>385</v>
      </c>
      <c r="J99" s="30">
        <v>43129</v>
      </c>
      <c r="K99" s="30">
        <v>43614</v>
      </c>
      <c r="L99" s="31">
        <f t="shared" si="56"/>
        <v>84.999999195969949</v>
      </c>
      <c r="M99" s="20">
        <v>3</v>
      </c>
      <c r="N99" s="20" t="s">
        <v>386</v>
      </c>
      <c r="O99" s="20" t="s">
        <v>387</v>
      </c>
      <c r="P99" s="32" t="s">
        <v>39</v>
      </c>
      <c r="Q99" s="20" t="s">
        <v>40</v>
      </c>
      <c r="R99" s="2">
        <f t="shared" si="57"/>
        <v>528587.19999999995</v>
      </c>
      <c r="S99" s="64">
        <v>528587.19999999995</v>
      </c>
      <c r="T99" s="35">
        <v>0</v>
      </c>
      <c r="U99" s="33">
        <f t="shared" si="43"/>
        <v>80842.75</v>
      </c>
      <c r="V99" s="64">
        <v>80842.75</v>
      </c>
      <c r="W99" s="35">
        <v>0</v>
      </c>
      <c r="X99" s="33">
        <f t="shared" si="47"/>
        <v>12437.35</v>
      </c>
      <c r="Y99" s="64">
        <v>12437.35</v>
      </c>
      <c r="Z99" s="2">
        <v>0</v>
      </c>
      <c r="AA99" s="2">
        <f t="shared" si="58"/>
        <v>0</v>
      </c>
      <c r="AB99" s="2">
        <v>0</v>
      </c>
      <c r="AC99" s="2">
        <v>0</v>
      </c>
      <c r="AD99" s="2">
        <f t="shared" si="59"/>
        <v>621867.29999999993</v>
      </c>
      <c r="AE99" s="2">
        <v>0</v>
      </c>
      <c r="AF99" s="2">
        <f t="shared" si="60"/>
        <v>621867.29999999993</v>
      </c>
      <c r="AG99" s="24" t="s">
        <v>41</v>
      </c>
      <c r="AH99" s="34" t="s">
        <v>35</v>
      </c>
      <c r="AI99" s="35">
        <v>445145.72000000009</v>
      </c>
      <c r="AJ99" s="36">
        <v>68081.099999999919</v>
      </c>
      <c r="AK99" s="28">
        <f t="shared" si="44"/>
        <v>83441.479999999865</v>
      </c>
      <c r="AL99" s="28">
        <f t="shared" si="45"/>
        <v>12761.650000000081</v>
      </c>
      <c r="AM99" s="29">
        <f t="shared" si="46"/>
        <v>0.84214245066849924</v>
      </c>
    </row>
    <row r="100" spans="1:39" ht="192" customHeight="1" x14ac:dyDescent="0.25">
      <c r="A100" s="10">
        <v>97</v>
      </c>
      <c r="B100" s="37">
        <v>118772</v>
      </c>
      <c r="C100" s="37">
        <v>441</v>
      </c>
      <c r="D100" s="15" t="s">
        <v>54</v>
      </c>
      <c r="E100" s="14" t="s">
        <v>55</v>
      </c>
      <c r="F100" s="62" t="s">
        <v>388</v>
      </c>
      <c r="G100" s="32" t="s">
        <v>389</v>
      </c>
      <c r="H100" s="20" t="s">
        <v>35</v>
      </c>
      <c r="I100" s="15" t="s">
        <v>390</v>
      </c>
      <c r="J100" s="30">
        <v>43313</v>
      </c>
      <c r="K100" s="30">
        <v>43678</v>
      </c>
      <c r="L100" s="31">
        <f t="shared" si="56"/>
        <v>85</v>
      </c>
      <c r="M100" s="20">
        <v>3</v>
      </c>
      <c r="N100" s="20" t="s">
        <v>386</v>
      </c>
      <c r="O100" s="20" t="s">
        <v>391</v>
      </c>
      <c r="P100" s="32" t="s">
        <v>39</v>
      </c>
      <c r="Q100" s="20" t="s">
        <v>40</v>
      </c>
      <c r="R100" s="2">
        <f t="shared" si="57"/>
        <v>232055.1</v>
      </c>
      <c r="S100" s="35">
        <v>232055.1</v>
      </c>
      <c r="T100" s="35">
        <v>0</v>
      </c>
      <c r="U100" s="33">
        <f t="shared" si="43"/>
        <v>35490.78</v>
      </c>
      <c r="V100" s="35">
        <v>35490.78</v>
      </c>
      <c r="W100" s="35">
        <v>0</v>
      </c>
      <c r="X100" s="33">
        <f t="shared" si="47"/>
        <v>5460.12</v>
      </c>
      <c r="Y100" s="35">
        <v>5460.12</v>
      </c>
      <c r="Z100" s="35">
        <v>0</v>
      </c>
      <c r="AA100" s="2">
        <f t="shared" si="58"/>
        <v>0</v>
      </c>
      <c r="AB100" s="35">
        <v>0</v>
      </c>
      <c r="AC100" s="35">
        <v>0</v>
      </c>
      <c r="AD100" s="2">
        <f t="shared" si="59"/>
        <v>273006</v>
      </c>
      <c r="AE100" s="39">
        <v>0</v>
      </c>
      <c r="AF100" s="2">
        <f t="shared" si="60"/>
        <v>273006</v>
      </c>
      <c r="AG100" s="24" t="s">
        <v>41</v>
      </c>
      <c r="AH100" s="34" t="s">
        <v>35</v>
      </c>
      <c r="AI100" s="35">
        <v>226177.33000000002</v>
      </c>
      <c r="AJ100" s="36">
        <v>34591.82</v>
      </c>
      <c r="AK100" s="28">
        <f t="shared" si="44"/>
        <v>5877.7699999999895</v>
      </c>
      <c r="AL100" s="28">
        <f t="shared" si="45"/>
        <v>898.95999999999913</v>
      </c>
      <c r="AM100" s="29">
        <f t="shared" si="46"/>
        <v>0.97467080016771879</v>
      </c>
    </row>
    <row r="101" spans="1:39" ht="192" customHeight="1" x14ac:dyDescent="0.25">
      <c r="A101" s="10">
        <v>98</v>
      </c>
      <c r="B101" s="37">
        <v>129704</v>
      </c>
      <c r="C101" s="37">
        <v>671</v>
      </c>
      <c r="D101" s="82" t="s">
        <v>31</v>
      </c>
      <c r="E101" s="14" t="s">
        <v>79</v>
      </c>
      <c r="F101" s="83" t="s">
        <v>392</v>
      </c>
      <c r="G101" s="32" t="str">
        <f>$G$100</f>
        <v>Municipiul Moreni</v>
      </c>
      <c r="H101" s="20" t="s">
        <v>35</v>
      </c>
      <c r="I101" s="15" t="s">
        <v>393</v>
      </c>
      <c r="J101" s="30">
        <v>43706</v>
      </c>
      <c r="K101" s="30">
        <v>44194</v>
      </c>
      <c r="L101" s="31">
        <f t="shared" si="56"/>
        <v>84.999999926251363</v>
      </c>
      <c r="M101" s="20">
        <f>M100</f>
        <v>3</v>
      </c>
      <c r="N101" s="20" t="str">
        <f>N100</f>
        <v>Dâmbovița</v>
      </c>
      <c r="O101" s="20" t="str">
        <f>O100</f>
        <v>Moreni</v>
      </c>
      <c r="P101" s="32" t="str">
        <f>P100</f>
        <v>APL</v>
      </c>
      <c r="Q101" s="20" t="str">
        <f>Q100</f>
        <v>119 - Investiții în capacitatea instituțională și în eficiența administrațiilor și a serviciilor publice la nivel național, regional și local, în perspectiva realizării de reforme, a unei mai bune legiferări și a bunei guvernanțe</v>
      </c>
      <c r="R101" s="2">
        <f t="shared" si="57"/>
        <v>1152563.67</v>
      </c>
      <c r="S101" s="35">
        <v>1152563.67</v>
      </c>
      <c r="T101" s="35">
        <v>0</v>
      </c>
      <c r="U101" s="33">
        <f t="shared" si="43"/>
        <v>176274.44</v>
      </c>
      <c r="V101" s="35">
        <v>176274.44</v>
      </c>
      <c r="W101" s="35">
        <v>0</v>
      </c>
      <c r="X101" s="33">
        <f t="shared" si="47"/>
        <v>27119.15</v>
      </c>
      <c r="Y101" s="35">
        <v>27119.15</v>
      </c>
      <c r="Z101" s="35">
        <v>0</v>
      </c>
      <c r="AA101" s="2">
        <f t="shared" si="58"/>
        <v>0</v>
      </c>
      <c r="AB101" s="35">
        <v>0</v>
      </c>
      <c r="AC101" s="35">
        <v>0</v>
      </c>
      <c r="AD101" s="2">
        <f t="shared" si="59"/>
        <v>1355957.2599999998</v>
      </c>
      <c r="AE101" s="39">
        <v>0</v>
      </c>
      <c r="AF101" s="2">
        <f t="shared" si="60"/>
        <v>1355957.2599999998</v>
      </c>
      <c r="AG101" s="39" t="s">
        <v>69</v>
      </c>
      <c r="AH101" s="34" t="s">
        <v>35</v>
      </c>
      <c r="AI101" s="35">
        <v>122408.7</v>
      </c>
      <c r="AJ101" s="36">
        <v>13187.02</v>
      </c>
      <c r="AK101" s="28">
        <f t="shared" si="44"/>
        <v>1030154.97</v>
      </c>
      <c r="AL101" s="28">
        <f t="shared" si="45"/>
        <v>163087.42000000001</v>
      </c>
      <c r="AM101" s="29">
        <f t="shared" si="46"/>
        <v>0.10620558602198524</v>
      </c>
    </row>
    <row r="102" spans="1:39" ht="192" customHeight="1" x14ac:dyDescent="0.25">
      <c r="A102" s="10">
        <v>99</v>
      </c>
      <c r="B102" s="37">
        <v>120693</v>
      </c>
      <c r="C102" s="20">
        <v>114</v>
      </c>
      <c r="D102" s="15" t="s">
        <v>31</v>
      </c>
      <c r="E102" s="14" t="s">
        <v>32</v>
      </c>
      <c r="F102" s="63" t="s">
        <v>394</v>
      </c>
      <c r="G102" s="15" t="s">
        <v>395</v>
      </c>
      <c r="H102" s="20" t="s">
        <v>35</v>
      </c>
      <c r="I102" s="16" t="s">
        <v>396</v>
      </c>
      <c r="J102" s="30">
        <v>43145</v>
      </c>
      <c r="K102" s="30">
        <v>43630</v>
      </c>
      <c r="L102" s="31">
        <f t="shared" ref="L102:L116" si="61">R102/AD102*100</f>
        <v>85.000000594539443</v>
      </c>
      <c r="M102" s="20">
        <v>4</v>
      </c>
      <c r="N102" s="20" t="s">
        <v>397</v>
      </c>
      <c r="O102" s="20" t="s">
        <v>398</v>
      </c>
      <c r="P102" s="32" t="s">
        <v>39</v>
      </c>
      <c r="Q102" s="20" t="s">
        <v>40</v>
      </c>
      <c r="R102" s="2">
        <f t="shared" ref="R102:R116" si="62">S102+T102</f>
        <v>357419.52000000002</v>
      </c>
      <c r="S102" s="2">
        <v>357419.52000000002</v>
      </c>
      <c r="T102" s="35">
        <v>0</v>
      </c>
      <c r="U102" s="33">
        <f t="shared" si="43"/>
        <v>54664.160000000003</v>
      </c>
      <c r="V102" s="64">
        <v>54664.160000000003</v>
      </c>
      <c r="W102" s="35">
        <v>0</v>
      </c>
      <c r="X102" s="33">
        <f t="shared" si="47"/>
        <v>8409.8700000000008</v>
      </c>
      <c r="Y102" s="64">
        <v>8409.8700000000008</v>
      </c>
      <c r="Z102" s="84">
        <v>0</v>
      </c>
      <c r="AA102" s="2">
        <f t="shared" si="58"/>
        <v>0</v>
      </c>
      <c r="AB102" s="2">
        <v>0</v>
      </c>
      <c r="AC102" s="2">
        <v>0</v>
      </c>
      <c r="AD102" s="2">
        <f t="shared" ref="AD102:AD116" si="63">R102+U102+X102+AA102</f>
        <v>420493.55000000005</v>
      </c>
      <c r="AE102" s="2">
        <v>0</v>
      </c>
      <c r="AF102" s="2">
        <f t="shared" ref="AF102:AF116" si="64">AD102+AE102</f>
        <v>420493.55000000005</v>
      </c>
      <c r="AG102" s="24" t="s">
        <v>41</v>
      </c>
      <c r="AH102" s="34" t="s">
        <v>35</v>
      </c>
      <c r="AI102" s="35">
        <v>278082.99</v>
      </c>
      <c r="AJ102" s="36">
        <v>42530.380000000005</v>
      </c>
      <c r="AK102" s="28">
        <f t="shared" si="44"/>
        <v>79336.530000000028</v>
      </c>
      <c r="AL102" s="28">
        <f t="shared" si="45"/>
        <v>12133.779999999999</v>
      </c>
      <c r="AM102" s="29">
        <f t="shared" si="46"/>
        <v>0.77802966665055107</v>
      </c>
    </row>
    <row r="103" spans="1:39" ht="192" customHeight="1" x14ac:dyDescent="0.25">
      <c r="A103" s="10">
        <v>100</v>
      </c>
      <c r="B103" s="20">
        <v>119288</v>
      </c>
      <c r="C103" s="20">
        <v>487</v>
      </c>
      <c r="D103" s="20" t="s">
        <v>47</v>
      </c>
      <c r="E103" s="14" t="s">
        <v>48</v>
      </c>
      <c r="F103" s="63" t="s">
        <v>399</v>
      </c>
      <c r="G103" s="15" t="s">
        <v>400</v>
      </c>
      <c r="H103" s="20" t="s">
        <v>35</v>
      </c>
      <c r="I103" s="15" t="s">
        <v>1855</v>
      </c>
      <c r="J103" s="30">
        <v>43272</v>
      </c>
      <c r="K103" s="30">
        <v>43667</v>
      </c>
      <c r="L103" s="31">
        <f t="shared" si="61"/>
        <v>85</v>
      </c>
      <c r="M103" s="20">
        <v>4</v>
      </c>
      <c r="N103" s="20" t="s">
        <v>397</v>
      </c>
      <c r="O103" s="20" t="s">
        <v>401</v>
      </c>
      <c r="P103" s="32" t="s">
        <v>39</v>
      </c>
      <c r="Q103" s="20" t="s">
        <v>40</v>
      </c>
      <c r="R103" s="2">
        <f t="shared" si="62"/>
        <v>360400</v>
      </c>
      <c r="S103" s="35">
        <v>360400</v>
      </c>
      <c r="T103" s="35">
        <v>0</v>
      </c>
      <c r="U103" s="33">
        <f t="shared" si="43"/>
        <v>55120</v>
      </c>
      <c r="V103" s="2">
        <v>55120</v>
      </c>
      <c r="W103" s="37">
        <v>0</v>
      </c>
      <c r="X103" s="33">
        <f t="shared" si="47"/>
        <v>8480</v>
      </c>
      <c r="Y103" s="32">
        <v>8480</v>
      </c>
      <c r="Z103" s="35">
        <v>0</v>
      </c>
      <c r="AA103" s="2">
        <f t="shared" si="58"/>
        <v>0</v>
      </c>
      <c r="AB103" s="32">
        <v>0</v>
      </c>
      <c r="AC103" s="32">
        <v>0</v>
      </c>
      <c r="AD103" s="2">
        <f t="shared" si="63"/>
        <v>424000</v>
      </c>
      <c r="AE103" s="39"/>
      <c r="AF103" s="2">
        <f t="shared" si="64"/>
        <v>424000</v>
      </c>
      <c r="AG103" s="24" t="s">
        <v>41</v>
      </c>
      <c r="AH103" s="34" t="s">
        <v>402</v>
      </c>
      <c r="AI103" s="2">
        <v>305948.81</v>
      </c>
      <c r="AJ103" s="85">
        <v>46792.149999999994</v>
      </c>
      <c r="AK103" s="28">
        <f t="shared" si="44"/>
        <v>54451.19</v>
      </c>
      <c r="AL103" s="28">
        <f t="shared" si="45"/>
        <v>8327.8500000000058</v>
      </c>
      <c r="AM103" s="29">
        <f t="shared" si="46"/>
        <v>0.84891456714761371</v>
      </c>
    </row>
    <row r="104" spans="1:39" ht="192" customHeight="1" x14ac:dyDescent="0.25">
      <c r="A104" s="10">
        <v>101</v>
      </c>
      <c r="B104" s="86">
        <v>118780</v>
      </c>
      <c r="C104" s="87">
        <v>443</v>
      </c>
      <c r="D104" s="88" t="s">
        <v>54</v>
      </c>
      <c r="E104" s="14" t="s">
        <v>55</v>
      </c>
      <c r="F104" s="4" t="s">
        <v>403</v>
      </c>
      <c r="G104" s="88" t="s">
        <v>395</v>
      </c>
      <c r="H104" s="20" t="s">
        <v>404</v>
      </c>
      <c r="I104" s="15" t="s">
        <v>405</v>
      </c>
      <c r="J104" s="30">
        <v>43312</v>
      </c>
      <c r="K104" s="30">
        <v>43677</v>
      </c>
      <c r="L104" s="31">
        <f t="shared" si="61"/>
        <v>84.150233941460755</v>
      </c>
      <c r="M104" s="20">
        <v>4</v>
      </c>
      <c r="N104" s="20" t="s">
        <v>406</v>
      </c>
      <c r="O104" s="20" t="s">
        <v>407</v>
      </c>
      <c r="P104" s="32" t="s">
        <v>39</v>
      </c>
      <c r="Q104" s="20" t="s">
        <v>40</v>
      </c>
      <c r="R104" s="2">
        <f t="shared" si="62"/>
        <v>230233.66</v>
      </c>
      <c r="S104" s="35">
        <v>230233.66</v>
      </c>
      <c r="T104" s="35">
        <v>0</v>
      </c>
      <c r="U104" s="33">
        <f t="shared" si="43"/>
        <v>37892.730000000003</v>
      </c>
      <c r="V104" s="35">
        <v>37892.730000000003</v>
      </c>
      <c r="W104" s="35">
        <v>0</v>
      </c>
      <c r="X104" s="33">
        <f t="shared" si="47"/>
        <v>2736.73</v>
      </c>
      <c r="Y104" s="35">
        <v>2736.73</v>
      </c>
      <c r="Z104" s="35">
        <v>0</v>
      </c>
      <c r="AA104" s="2">
        <f t="shared" si="58"/>
        <v>2735.24</v>
      </c>
      <c r="AB104" s="35">
        <v>2735.24</v>
      </c>
      <c r="AC104" s="41">
        <v>0</v>
      </c>
      <c r="AD104" s="2">
        <f t="shared" si="63"/>
        <v>273598.36</v>
      </c>
      <c r="AE104" s="39">
        <v>0</v>
      </c>
      <c r="AF104" s="2">
        <f t="shared" si="64"/>
        <v>273598.36</v>
      </c>
      <c r="AG104" s="24" t="s">
        <v>41</v>
      </c>
      <c r="AH104" s="34" t="s">
        <v>35</v>
      </c>
      <c r="AI104" s="35">
        <v>165046.26</v>
      </c>
      <c r="AJ104" s="36">
        <v>27286.14</v>
      </c>
      <c r="AK104" s="28">
        <f t="shared" si="44"/>
        <v>65187.399999999994</v>
      </c>
      <c r="AL104" s="28">
        <f t="shared" si="45"/>
        <v>10606.590000000004</v>
      </c>
      <c r="AM104" s="29">
        <f t="shared" si="46"/>
        <v>0.71686416312888401</v>
      </c>
    </row>
    <row r="105" spans="1:39" ht="192" customHeight="1" x14ac:dyDescent="0.25">
      <c r="A105" s="10">
        <v>102</v>
      </c>
      <c r="B105" s="37">
        <v>119830</v>
      </c>
      <c r="C105" s="20">
        <v>474</v>
      </c>
      <c r="D105" s="20" t="s">
        <v>47</v>
      </c>
      <c r="E105" s="14" t="s">
        <v>48</v>
      </c>
      <c r="F105" s="63" t="s">
        <v>408</v>
      </c>
      <c r="G105" s="20" t="s">
        <v>409</v>
      </c>
      <c r="H105" s="20" t="s">
        <v>35</v>
      </c>
      <c r="I105" s="15" t="s">
        <v>410</v>
      </c>
      <c r="J105" s="30">
        <v>43322</v>
      </c>
      <c r="K105" s="30">
        <v>43992</v>
      </c>
      <c r="L105" s="31">
        <f t="shared" si="61"/>
        <v>84.999997553055863</v>
      </c>
      <c r="M105" s="20">
        <v>4</v>
      </c>
      <c r="N105" s="20" t="s">
        <v>406</v>
      </c>
      <c r="O105" s="20" t="s">
        <v>411</v>
      </c>
      <c r="P105" s="32" t="s">
        <v>39</v>
      </c>
      <c r="Q105" s="20" t="s">
        <v>40</v>
      </c>
      <c r="R105" s="2">
        <f t="shared" si="62"/>
        <v>347372.04</v>
      </c>
      <c r="S105" s="35">
        <v>347372.04</v>
      </c>
      <c r="T105" s="35">
        <v>0</v>
      </c>
      <c r="U105" s="33">
        <f t="shared" si="43"/>
        <v>53127.519999999997</v>
      </c>
      <c r="V105" s="41">
        <v>53127.519999999997</v>
      </c>
      <c r="W105" s="41">
        <v>0</v>
      </c>
      <c r="X105" s="33">
        <f t="shared" si="47"/>
        <v>8173.4400000000005</v>
      </c>
      <c r="Y105" s="35">
        <v>8173.4400000000005</v>
      </c>
      <c r="Z105" s="35">
        <v>0</v>
      </c>
      <c r="AA105" s="2">
        <f t="shared" si="58"/>
        <v>0</v>
      </c>
      <c r="AB105" s="64">
        <v>0</v>
      </c>
      <c r="AC105" s="64">
        <v>0</v>
      </c>
      <c r="AD105" s="2">
        <f t="shared" si="63"/>
        <v>408673</v>
      </c>
      <c r="AE105" s="2">
        <v>0</v>
      </c>
      <c r="AF105" s="2">
        <f t="shared" si="64"/>
        <v>408673</v>
      </c>
      <c r="AG105" s="39" t="s">
        <v>69</v>
      </c>
      <c r="AH105" s="34" t="s">
        <v>412</v>
      </c>
      <c r="AI105" s="35">
        <v>312673.95</v>
      </c>
      <c r="AJ105" s="36">
        <v>47820.720000000008</v>
      </c>
      <c r="AK105" s="28">
        <f t="shared" si="44"/>
        <v>34698.089999999967</v>
      </c>
      <c r="AL105" s="28">
        <f t="shared" si="45"/>
        <v>5306.7999999999884</v>
      </c>
      <c r="AM105" s="29">
        <f t="shared" si="46"/>
        <v>0.90011259973600644</v>
      </c>
    </row>
    <row r="106" spans="1:39" ht="192" customHeight="1" x14ac:dyDescent="0.25">
      <c r="A106" s="10">
        <v>103</v>
      </c>
      <c r="B106" s="37">
        <v>118793</v>
      </c>
      <c r="C106" s="20">
        <v>446</v>
      </c>
      <c r="D106" s="15" t="s">
        <v>54</v>
      </c>
      <c r="E106" s="14" t="s">
        <v>55</v>
      </c>
      <c r="F106" s="15" t="s">
        <v>413</v>
      </c>
      <c r="G106" s="20" t="s">
        <v>409</v>
      </c>
      <c r="H106" s="20"/>
      <c r="I106" s="43" t="s">
        <v>414</v>
      </c>
      <c r="J106" s="30">
        <v>43322</v>
      </c>
      <c r="K106" s="30">
        <v>43779</v>
      </c>
      <c r="L106" s="31">
        <f t="shared" si="61"/>
        <v>85.000000000000014</v>
      </c>
      <c r="M106" s="20">
        <v>4</v>
      </c>
      <c r="N106" s="20" t="s">
        <v>406</v>
      </c>
      <c r="O106" s="20" t="s">
        <v>411</v>
      </c>
      <c r="P106" s="20" t="s">
        <v>39</v>
      </c>
      <c r="Q106" s="20" t="s">
        <v>40</v>
      </c>
      <c r="R106" s="2">
        <f t="shared" si="62"/>
        <v>239897.2</v>
      </c>
      <c r="S106" s="89">
        <v>239897.2</v>
      </c>
      <c r="T106" s="41">
        <v>0</v>
      </c>
      <c r="U106" s="33">
        <f t="shared" si="43"/>
        <v>36690.160000000003</v>
      </c>
      <c r="V106" s="41">
        <v>36690.160000000003</v>
      </c>
      <c r="W106" s="41">
        <v>0</v>
      </c>
      <c r="X106" s="33">
        <f t="shared" si="47"/>
        <v>5644.6399999999994</v>
      </c>
      <c r="Y106" s="35">
        <v>5644.6399999999994</v>
      </c>
      <c r="Z106" s="35">
        <v>0</v>
      </c>
      <c r="AA106" s="2">
        <f t="shared" si="58"/>
        <v>0</v>
      </c>
      <c r="AB106" s="2">
        <v>0</v>
      </c>
      <c r="AC106" s="2">
        <v>0</v>
      </c>
      <c r="AD106" s="2">
        <f t="shared" si="63"/>
        <v>282232</v>
      </c>
      <c r="AE106" s="39"/>
      <c r="AF106" s="2">
        <f t="shared" si="64"/>
        <v>282232</v>
      </c>
      <c r="AG106" s="24" t="s">
        <v>41</v>
      </c>
      <c r="AH106" s="39" t="s">
        <v>415</v>
      </c>
      <c r="AI106" s="35">
        <v>214650.99</v>
      </c>
      <c r="AJ106" s="36">
        <v>32828.959999999999</v>
      </c>
      <c r="AK106" s="28">
        <f t="shared" si="44"/>
        <v>25246.210000000021</v>
      </c>
      <c r="AL106" s="28">
        <f t="shared" si="45"/>
        <v>3861.2000000000044</v>
      </c>
      <c r="AM106" s="29">
        <f t="shared" si="46"/>
        <v>0.89476238155343202</v>
      </c>
    </row>
    <row r="107" spans="1:39" ht="192" customHeight="1" x14ac:dyDescent="0.25">
      <c r="A107" s="10">
        <v>104</v>
      </c>
      <c r="B107" s="90">
        <v>126292</v>
      </c>
      <c r="C107" s="91">
        <v>514</v>
      </c>
      <c r="D107" s="82" t="s">
        <v>31</v>
      </c>
      <c r="E107" s="14" t="s">
        <v>65</v>
      </c>
      <c r="F107" s="82" t="s">
        <v>416</v>
      </c>
      <c r="G107" s="92" t="s">
        <v>417</v>
      </c>
      <c r="H107" s="92" t="s">
        <v>35</v>
      </c>
      <c r="I107" s="93" t="s">
        <v>418</v>
      </c>
      <c r="J107" s="30">
        <v>43439</v>
      </c>
      <c r="K107" s="30">
        <v>43926</v>
      </c>
      <c r="L107" s="31">
        <f t="shared" si="61"/>
        <v>84.999999635678833</v>
      </c>
      <c r="M107" s="91">
        <v>4</v>
      </c>
      <c r="N107" s="92" t="s">
        <v>406</v>
      </c>
      <c r="O107" s="92" t="s">
        <v>401</v>
      </c>
      <c r="P107" s="92" t="s">
        <v>39</v>
      </c>
      <c r="Q107" s="20" t="s">
        <v>40</v>
      </c>
      <c r="R107" s="2">
        <f t="shared" si="62"/>
        <v>2333106.34</v>
      </c>
      <c r="S107" s="35">
        <v>2333106.34</v>
      </c>
      <c r="T107" s="35">
        <v>0</v>
      </c>
      <c r="U107" s="33">
        <f t="shared" si="43"/>
        <v>356828.04</v>
      </c>
      <c r="V107" s="35">
        <v>356828.04</v>
      </c>
      <c r="W107" s="35">
        <v>0</v>
      </c>
      <c r="X107" s="33">
        <f t="shared" si="47"/>
        <v>54896.62</v>
      </c>
      <c r="Y107" s="35">
        <v>54896.62</v>
      </c>
      <c r="Z107" s="35">
        <v>0</v>
      </c>
      <c r="AA107" s="33">
        <v>0</v>
      </c>
      <c r="AB107" s="35">
        <v>0</v>
      </c>
      <c r="AC107" s="35">
        <v>0</v>
      </c>
      <c r="AD107" s="2">
        <f t="shared" si="63"/>
        <v>2744831</v>
      </c>
      <c r="AE107" s="35"/>
      <c r="AF107" s="2">
        <f t="shared" si="64"/>
        <v>2744831</v>
      </c>
      <c r="AG107" s="39" t="s">
        <v>41</v>
      </c>
      <c r="AH107" s="35"/>
      <c r="AI107" s="35">
        <v>142930.13</v>
      </c>
      <c r="AJ107" s="36">
        <v>21859.91</v>
      </c>
      <c r="AK107" s="28">
        <f t="shared" si="44"/>
        <v>2190176.21</v>
      </c>
      <c r="AL107" s="28">
        <f t="shared" si="45"/>
        <v>334968.13</v>
      </c>
      <c r="AM107" s="29">
        <f t="shared" si="46"/>
        <v>6.1261729716100305E-2</v>
      </c>
    </row>
    <row r="108" spans="1:39" ht="192" customHeight="1" x14ac:dyDescent="0.25">
      <c r="A108" s="10">
        <v>105</v>
      </c>
      <c r="B108" s="37">
        <v>126320</v>
      </c>
      <c r="C108" s="91">
        <v>515</v>
      </c>
      <c r="D108" s="92" t="s">
        <v>31</v>
      </c>
      <c r="E108" s="14" t="s">
        <v>65</v>
      </c>
      <c r="F108" s="81" t="s">
        <v>419</v>
      </c>
      <c r="G108" s="87" t="s">
        <v>395</v>
      </c>
      <c r="H108" s="92" t="s">
        <v>420</v>
      </c>
      <c r="I108" s="82" t="s">
        <v>421</v>
      </c>
      <c r="J108" s="30">
        <v>43531</v>
      </c>
      <c r="K108" s="30">
        <v>44446</v>
      </c>
      <c r="L108" s="31">
        <f t="shared" si="61"/>
        <v>84.263733041248912</v>
      </c>
      <c r="M108" s="91">
        <v>4</v>
      </c>
      <c r="N108" s="92" t="s">
        <v>406</v>
      </c>
      <c r="O108" s="92" t="s">
        <v>407</v>
      </c>
      <c r="P108" s="92" t="s">
        <v>39</v>
      </c>
      <c r="Q108" s="20" t="s">
        <v>40</v>
      </c>
      <c r="R108" s="57">
        <f t="shared" si="62"/>
        <v>2765436.54</v>
      </c>
      <c r="S108" s="92">
        <v>2765436.54</v>
      </c>
      <c r="T108" s="92">
        <v>0</v>
      </c>
      <c r="U108" s="33">
        <f t="shared" si="43"/>
        <v>450808.12</v>
      </c>
      <c r="V108" s="92">
        <v>450808.12</v>
      </c>
      <c r="W108" s="92">
        <v>0</v>
      </c>
      <c r="X108" s="33">
        <f t="shared" si="47"/>
        <v>28427.56</v>
      </c>
      <c r="Y108" s="92">
        <v>28427.56</v>
      </c>
      <c r="Z108" s="92">
        <v>0</v>
      </c>
      <c r="AA108" s="57">
        <f>AB108+AC108</f>
        <v>37210.080000000002</v>
      </c>
      <c r="AB108" s="92">
        <v>37210.080000000002</v>
      </c>
      <c r="AC108" s="92">
        <v>0</v>
      </c>
      <c r="AD108" s="57">
        <f t="shared" si="63"/>
        <v>3281882.3000000003</v>
      </c>
      <c r="AE108" s="92">
        <v>0</v>
      </c>
      <c r="AF108" s="57">
        <f t="shared" si="64"/>
        <v>3281882.3000000003</v>
      </c>
      <c r="AG108" s="39" t="s">
        <v>69</v>
      </c>
      <c r="AH108" s="92"/>
      <c r="AI108" s="35">
        <v>266429.75999999995</v>
      </c>
      <c r="AJ108" s="36">
        <v>29705.22</v>
      </c>
      <c r="AK108" s="28">
        <f t="shared" si="44"/>
        <v>2499006.7800000003</v>
      </c>
      <c r="AL108" s="28">
        <f t="shared" si="45"/>
        <v>421102.9</v>
      </c>
      <c r="AM108" s="29">
        <f t="shared" si="46"/>
        <v>9.634274956097888E-2</v>
      </c>
    </row>
    <row r="109" spans="1:39" ht="192" customHeight="1" x14ac:dyDescent="0.25">
      <c r="A109" s="10">
        <v>106</v>
      </c>
      <c r="B109" s="90">
        <v>128004</v>
      </c>
      <c r="C109" s="91">
        <v>635</v>
      </c>
      <c r="D109" s="82" t="s">
        <v>31</v>
      </c>
      <c r="E109" s="14" t="s">
        <v>79</v>
      </c>
      <c r="F109" s="82" t="s">
        <v>422</v>
      </c>
      <c r="G109" s="92" t="s">
        <v>423</v>
      </c>
      <c r="H109" s="92" t="s">
        <v>35</v>
      </c>
      <c r="I109" s="93" t="s">
        <v>424</v>
      </c>
      <c r="J109" s="30">
        <v>43620</v>
      </c>
      <c r="K109" s="30">
        <v>44351</v>
      </c>
      <c r="L109" s="31">
        <f t="shared" si="61"/>
        <v>85</v>
      </c>
      <c r="M109" s="91">
        <v>4</v>
      </c>
      <c r="N109" s="92" t="s">
        <v>406</v>
      </c>
      <c r="O109" s="92" t="s">
        <v>401</v>
      </c>
      <c r="P109" s="92" t="s">
        <v>39</v>
      </c>
      <c r="Q109" s="92" t="s">
        <v>40</v>
      </c>
      <c r="R109" s="2">
        <f t="shared" si="62"/>
        <v>1919118.95</v>
      </c>
      <c r="S109" s="35">
        <v>1919118.95</v>
      </c>
      <c r="T109" s="35">
        <v>0</v>
      </c>
      <c r="U109" s="33">
        <f t="shared" si="43"/>
        <v>293512.31</v>
      </c>
      <c r="V109" s="35">
        <v>293512.31</v>
      </c>
      <c r="W109" s="35">
        <v>0</v>
      </c>
      <c r="X109" s="33">
        <f t="shared" si="47"/>
        <v>45155.74</v>
      </c>
      <c r="Y109" s="35">
        <v>45155.74</v>
      </c>
      <c r="Z109" s="35">
        <v>0</v>
      </c>
      <c r="AA109" s="33">
        <v>0</v>
      </c>
      <c r="AB109" s="35">
        <v>0</v>
      </c>
      <c r="AC109" s="35">
        <v>0</v>
      </c>
      <c r="AD109" s="2">
        <f t="shared" si="63"/>
        <v>2257787</v>
      </c>
      <c r="AE109" s="35">
        <v>0</v>
      </c>
      <c r="AF109" s="2">
        <f t="shared" si="64"/>
        <v>2257787</v>
      </c>
      <c r="AG109" s="39" t="s">
        <v>69</v>
      </c>
      <c r="AH109" s="35"/>
      <c r="AI109" s="35">
        <v>23213.93</v>
      </c>
      <c r="AJ109" s="36">
        <f>3550.36</f>
        <v>3550.36</v>
      </c>
      <c r="AK109" s="28">
        <f t="shared" si="44"/>
        <v>1895905.02</v>
      </c>
      <c r="AL109" s="28">
        <f t="shared" si="45"/>
        <v>289961.95</v>
      </c>
      <c r="AM109" s="29">
        <f t="shared" si="46"/>
        <v>1.2096139220552223E-2</v>
      </c>
    </row>
    <row r="110" spans="1:39" ht="192" customHeight="1" x14ac:dyDescent="0.25">
      <c r="A110" s="10">
        <v>107</v>
      </c>
      <c r="B110" s="94">
        <v>126500</v>
      </c>
      <c r="C110" s="91">
        <v>501</v>
      </c>
      <c r="D110" s="82" t="s">
        <v>425</v>
      </c>
      <c r="E110" s="14" t="s">
        <v>426</v>
      </c>
      <c r="F110" s="95" t="s">
        <v>427</v>
      </c>
      <c r="G110" s="92" t="s">
        <v>404</v>
      </c>
      <c r="H110" s="92" t="s">
        <v>428</v>
      </c>
      <c r="I110" s="93" t="s">
        <v>429</v>
      </c>
      <c r="J110" s="30">
        <v>43626</v>
      </c>
      <c r="K110" s="30">
        <v>44357</v>
      </c>
      <c r="L110" s="31">
        <f t="shared" si="61"/>
        <v>83.560067781888534</v>
      </c>
      <c r="M110" s="91">
        <v>4</v>
      </c>
      <c r="N110" s="92" t="s">
        <v>406</v>
      </c>
      <c r="O110" s="92" t="s">
        <v>401</v>
      </c>
      <c r="P110" s="92" t="s">
        <v>39</v>
      </c>
      <c r="Q110" s="92" t="s">
        <v>40</v>
      </c>
      <c r="R110" s="2">
        <f t="shared" si="62"/>
        <v>1824019.35</v>
      </c>
      <c r="S110" s="35">
        <v>1824019.35</v>
      </c>
      <c r="T110" s="35">
        <v>0</v>
      </c>
      <c r="U110" s="33">
        <f t="shared" si="43"/>
        <v>315206.96999999997</v>
      </c>
      <c r="V110" s="35">
        <v>315206.96999999997</v>
      </c>
      <c r="W110" s="35">
        <v>0</v>
      </c>
      <c r="X110" s="33">
        <f t="shared" si="47"/>
        <v>6678.79</v>
      </c>
      <c r="Y110" s="35">
        <v>6678.79</v>
      </c>
      <c r="Z110" s="35">
        <v>0</v>
      </c>
      <c r="AA110" s="33">
        <f>AB110+AC110</f>
        <v>36978.89</v>
      </c>
      <c r="AB110" s="35">
        <v>36978.89</v>
      </c>
      <c r="AC110" s="35">
        <v>0</v>
      </c>
      <c r="AD110" s="2">
        <f t="shared" si="63"/>
        <v>2182884.0000000005</v>
      </c>
      <c r="AE110" s="35">
        <v>0</v>
      </c>
      <c r="AF110" s="2">
        <f t="shared" si="64"/>
        <v>2182884.0000000005</v>
      </c>
      <c r="AG110" s="39" t="s">
        <v>69</v>
      </c>
      <c r="AH110" s="35" t="s">
        <v>46</v>
      </c>
      <c r="AI110" s="35">
        <v>198612.8</v>
      </c>
      <c r="AJ110" s="36">
        <v>19674.2</v>
      </c>
      <c r="AK110" s="28">
        <f t="shared" si="44"/>
        <v>1625406.55</v>
      </c>
      <c r="AL110" s="28">
        <f t="shared" si="45"/>
        <v>295532.76999999996</v>
      </c>
      <c r="AM110" s="29">
        <f t="shared" si="46"/>
        <v>0.10888744135307554</v>
      </c>
    </row>
    <row r="111" spans="1:39" ht="192" customHeight="1" x14ac:dyDescent="0.25">
      <c r="A111" s="10">
        <v>108</v>
      </c>
      <c r="B111" s="37">
        <v>120590</v>
      </c>
      <c r="C111" s="20">
        <v>69</v>
      </c>
      <c r="D111" s="15" t="s">
        <v>31</v>
      </c>
      <c r="E111" s="14" t="s">
        <v>32</v>
      </c>
      <c r="F111" s="15" t="s">
        <v>430</v>
      </c>
      <c r="G111" s="15" t="s">
        <v>431</v>
      </c>
      <c r="H111" s="20" t="s">
        <v>35</v>
      </c>
      <c r="I111" s="55" t="s">
        <v>432</v>
      </c>
      <c r="J111" s="30">
        <v>43129</v>
      </c>
      <c r="K111" s="30">
        <v>43553</v>
      </c>
      <c r="L111" s="31">
        <f t="shared" si="61"/>
        <v>85</v>
      </c>
      <c r="M111" s="20">
        <v>2</v>
      </c>
      <c r="N111" s="20" t="s">
        <v>433</v>
      </c>
      <c r="O111" s="20" t="s">
        <v>434</v>
      </c>
      <c r="P111" s="32" t="s">
        <v>39</v>
      </c>
      <c r="Q111" s="20" t="s">
        <v>40</v>
      </c>
      <c r="R111" s="2">
        <f t="shared" si="62"/>
        <v>312939.57</v>
      </c>
      <c r="S111" s="2">
        <v>312939.57</v>
      </c>
      <c r="T111" s="2">
        <v>0</v>
      </c>
      <c r="U111" s="33">
        <f t="shared" si="43"/>
        <v>47861.35</v>
      </c>
      <c r="V111" s="2">
        <v>47861.35</v>
      </c>
      <c r="W111" s="2">
        <v>0</v>
      </c>
      <c r="X111" s="33">
        <f t="shared" si="47"/>
        <v>7363.28</v>
      </c>
      <c r="Y111" s="2">
        <v>7363.28</v>
      </c>
      <c r="Z111" s="2">
        <v>0</v>
      </c>
      <c r="AA111" s="2">
        <f t="shared" ref="AA111:AA116" si="65">AB111+AC111</f>
        <v>0</v>
      </c>
      <c r="AB111" s="2">
        <v>0</v>
      </c>
      <c r="AC111" s="2">
        <v>0</v>
      </c>
      <c r="AD111" s="2">
        <f t="shared" si="63"/>
        <v>368164.2</v>
      </c>
      <c r="AE111" s="2">
        <v>0</v>
      </c>
      <c r="AF111" s="2">
        <f t="shared" si="64"/>
        <v>368164.2</v>
      </c>
      <c r="AG111" s="24" t="s">
        <v>41</v>
      </c>
      <c r="AH111" s="34" t="s">
        <v>35</v>
      </c>
      <c r="AI111" s="35">
        <v>269997.55</v>
      </c>
      <c r="AJ111" s="36">
        <v>41293.74</v>
      </c>
      <c r="AK111" s="28">
        <f t="shared" si="44"/>
        <v>42942.020000000019</v>
      </c>
      <c r="AL111" s="28">
        <f t="shared" si="45"/>
        <v>6567.6100000000006</v>
      </c>
      <c r="AM111" s="29">
        <f t="shared" si="46"/>
        <v>0.86277855497788269</v>
      </c>
    </row>
    <row r="112" spans="1:39" ht="192" customHeight="1" x14ac:dyDescent="0.25">
      <c r="A112" s="10">
        <v>109</v>
      </c>
      <c r="B112" s="37">
        <v>118013</v>
      </c>
      <c r="C112" s="20">
        <v>419</v>
      </c>
      <c r="D112" s="15" t="s">
        <v>54</v>
      </c>
      <c r="E112" s="14" t="s">
        <v>55</v>
      </c>
      <c r="F112" s="15" t="s">
        <v>435</v>
      </c>
      <c r="G112" s="15" t="s">
        <v>436</v>
      </c>
      <c r="H112" s="20" t="s">
        <v>35</v>
      </c>
      <c r="I112" s="15" t="s">
        <v>437</v>
      </c>
      <c r="J112" s="30">
        <v>43336</v>
      </c>
      <c r="K112" s="30">
        <v>43762</v>
      </c>
      <c r="L112" s="31">
        <f t="shared" si="61"/>
        <v>84.999998597642829</v>
      </c>
      <c r="M112" s="20">
        <v>2</v>
      </c>
      <c r="N112" s="20" t="s">
        <v>433</v>
      </c>
      <c r="O112" s="20" t="s">
        <v>434</v>
      </c>
      <c r="P112" s="32" t="s">
        <v>39</v>
      </c>
      <c r="Q112" s="20" t="s">
        <v>40</v>
      </c>
      <c r="R112" s="2">
        <f t="shared" si="62"/>
        <v>242448.93</v>
      </c>
      <c r="S112" s="35">
        <v>242448.93</v>
      </c>
      <c r="T112" s="35">
        <v>0</v>
      </c>
      <c r="U112" s="33">
        <f t="shared" si="43"/>
        <v>37080.43</v>
      </c>
      <c r="V112" s="35">
        <v>37080.43</v>
      </c>
      <c r="W112" s="41">
        <v>0</v>
      </c>
      <c r="X112" s="33">
        <f t="shared" si="47"/>
        <v>5704.68</v>
      </c>
      <c r="Y112" s="35">
        <v>5704.68</v>
      </c>
      <c r="Z112" s="35">
        <v>0</v>
      </c>
      <c r="AA112" s="2">
        <f t="shared" si="65"/>
        <v>0</v>
      </c>
      <c r="AB112" s="35">
        <v>0</v>
      </c>
      <c r="AC112" s="35">
        <v>0</v>
      </c>
      <c r="AD112" s="2">
        <f t="shared" si="63"/>
        <v>285234.03999999998</v>
      </c>
      <c r="AE112" s="39">
        <v>0</v>
      </c>
      <c r="AF112" s="2">
        <f t="shared" si="64"/>
        <v>285234.03999999998</v>
      </c>
      <c r="AG112" s="24" t="s">
        <v>41</v>
      </c>
      <c r="AH112" s="34" t="s">
        <v>35</v>
      </c>
      <c r="AI112" s="35">
        <v>220919.96</v>
      </c>
      <c r="AJ112" s="36">
        <v>33787.72</v>
      </c>
      <c r="AK112" s="28">
        <f t="shared" si="44"/>
        <v>21528.97</v>
      </c>
      <c r="AL112" s="28">
        <f t="shared" si="45"/>
        <v>3292.7099999999991</v>
      </c>
      <c r="AM112" s="29">
        <f t="shared" si="46"/>
        <v>0.91120204160109097</v>
      </c>
    </row>
    <row r="113" spans="1:39" ht="192" customHeight="1" x14ac:dyDescent="0.25">
      <c r="A113" s="10">
        <v>110</v>
      </c>
      <c r="B113" s="37">
        <v>126419</v>
      </c>
      <c r="C113" s="37">
        <v>561</v>
      </c>
      <c r="D113" s="20" t="s">
        <v>31</v>
      </c>
      <c r="E113" s="14" t="s">
        <v>65</v>
      </c>
      <c r="F113" s="15" t="s">
        <v>438</v>
      </c>
      <c r="G113" s="15" t="s">
        <v>436</v>
      </c>
      <c r="H113" s="20" t="s">
        <v>35</v>
      </c>
      <c r="I113" s="16" t="s">
        <v>439</v>
      </c>
      <c r="J113" s="30">
        <v>43432</v>
      </c>
      <c r="K113" s="30">
        <v>44283</v>
      </c>
      <c r="L113" s="31">
        <f t="shared" si="61"/>
        <v>85</v>
      </c>
      <c r="M113" s="37">
        <v>2</v>
      </c>
      <c r="N113" s="20" t="s">
        <v>433</v>
      </c>
      <c r="O113" s="20" t="s">
        <v>434</v>
      </c>
      <c r="P113" s="67" t="s">
        <v>39</v>
      </c>
      <c r="Q113" s="20" t="s">
        <v>40</v>
      </c>
      <c r="R113" s="73">
        <f t="shared" si="62"/>
        <v>2627225.9</v>
      </c>
      <c r="S113" s="35">
        <v>2627225.9</v>
      </c>
      <c r="T113" s="35">
        <v>0</v>
      </c>
      <c r="U113" s="33">
        <f t="shared" si="43"/>
        <v>401811.02</v>
      </c>
      <c r="V113" s="2">
        <v>401811.02</v>
      </c>
      <c r="W113" s="35">
        <v>0</v>
      </c>
      <c r="X113" s="33">
        <f t="shared" si="47"/>
        <v>61817.079999999994</v>
      </c>
      <c r="Y113" s="74">
        <v>61817.079999999994</v>
      </c>
      <c r="Z113" s="35">
        <v>0</v>
      </c>
      <c r="AA113" s="2">
        <f t="shared" si="65"/>
        <v>0</v>
      </c>
      <c r="AB113" s="35">
        <v>0</v>
      </c>
      <c r="AC113" s="35">
        <v>0</v>
      </c>
      <c r="AD113" s="2">
        <f t="shared" si="63"/>
        <v>3090854</v>
      </c>
      <c r="AE113" s="37">
        <v>0</v>
      </c>
      <c r="AF113" s="2">
        <f t="shared" si="64"/>
        <v>3090854</v>
      </c>
      <c r="AG113" s="39" t="s">
        <v>69</v>
      </c>
      <c r="AH113" s="39" t="s">
        <v>35</v>
      </c>
      <c r="AI113" s="35">
        <v>316850.48</v>
      </c>
      <c r="AJ113" s="36">
        <v>1187.6600000000001</v>
      </c>
      <c r="AK113" s="28">
        <f t="shared" si="44"/>
        <v>2310375.42</v>
      </c>
      <c r="AL113" s="28">
        <f t="shared" si="45"/>
        <v>400623.36000000004</v>
      </c>
      <c r="AM113" s="29">
        <f t="shared" si="46"/>
        <v>0.12060267828510673</v>
      </c>
    </row>
    <row r="114" spans="1:39" ht="192" customHeight="1" x14ac:dyDescent="0.25">
      <c r="A114" s="10">
        <v>111</v>
      </c>
      <c r="B114" s="37">
        <v>125256</v>
      </c>
      <c r="C114" s="37">
        <v>562</v>
      </c>
      <c r="D114" s="20" t="s">
        <v>31</v>
      </c>
      <c r="E114" s="14" t="s">
        <v>65</v>
      </c>
      <c r="F114" s="15" t="s">
        <v>440</v>
      </c>
      <c r="G114" s="15" t="s">
        <v>1856</v>
      </c>
      <c r="H114" s="20" t="s">
        <v>35</v>
      </c>
      <c r="I114" s="16" t="s">
        <v>441</v>
      </c>
      <c r="J114" s="30">
        <v>43444</v>
      </c>
      <c r="K114" s="30">
        <v>43931</v>
      </c>
      <c r="L114" s="31">
        <f t="shared" si="61"/>
        <v>84.999999921204406</v>
      </c>
      <c r="M114" s="37">
        <v>2</v>
      </c>
      <c r="N114" s="20" t="s">
        <v>433</v>
      </c>
      <c r="O114" s="20" t="s">
        <v>433</v>
      </c>
      <c r="P114" s="67" t="s">
        <v>39</v>
      </c>
      <c r="Q114" s="20" t="s">
        <v>40</v>
      </c>
      <c r="R114" s="73">
        <f t="shared" si="62"/>
        <v>3236221.13</v>
      </c>
      <c r="S114" s="35">
        <v>3236221.13</v>
      </c>
      <c r="T114" s="35">
        <v>0</v>
      </c>
      <c r="U114" s="33">
        <f t="shared" si="43"/>
        <v>494951.47</v>
      </c>
      <c r="V114" s="2">
        <v>494951.47</v>
      </c>
      <c r="W114" s="35">
        <v>0</v>
      </c>
      <c r="X114" s="33">
        <f t="shared" si="47"/>
        <v>76146.38</v>
      </c>
      <c r="Y114" s="74">
        <v>76146.38</v>
      </c>
      <c r="Z114" s="35">
        <v>0</v>
      </c>
      <c r="AA114" s="2">
        <f t="shared" si="65"/>
        <v>0</v>
      </c>
      <c r="AB114" s="35">
        <v>0</v>
      </c>
      <c r="AC114" s="35">
        <v>0</v>
      </c>
      <c r="AD114" s="2">
        <f t="shared" si="63"/>
        <v>3807318.9799999995</v>
      </c>
      <c r="AE114" s="37">
        <v>630578.23</v>
      </c>
      <c r="AF114" s="2">
        <f t="shared" si="64"/>
        <v>4437897.209999999</v>
      </c>
      <c r="AG114" s="39" t="s">
        <v>41</v>
      </c>
      <c r="AH114" s="39" t="s">
        <v>442</v>
      </c>
      <c r="AI114" s="35">
        <v>2329475.1</v>
      </c>
      <c r="AJ114" s="36">
        <v>356272.66000000009</v>
      </c>
      <c r="AK114" s="28">
        <f t="shared" si="44"/>
        <v>906746.0299999998</v>
      </c>
      <c r="AL114" s="28">
        <f t="shared" si="45"/>
        <v>138678.80999999988</v>
      </c>
      <c r="AM114" s="29">
        <f t="shared" si="46"/>
        <v>0.71981332746566673</v>
      </c>
    </row>
    <row r="115" spans="1:39" ht="192" customHeight="1" x14ac:dyDescent="0.25">
      <c r="A115" s="10">
        <v>112</v>
      </c>
      <c r="B115" s="37">
        <v>126291</v>
      </c>
      <c r="C115" s="37">
        <v>535</v>
      </c>
      <c r="D115" s="20" t="s">
        <v>31</v>
      </c>
      <c r="E115" s="14" t="s">
        <v>65</v>
      </c>
      <c r="F115" s="15" t="s">
        <v>443</v>
      </c>
      <c r="G115" s="15" t="s">
        <v>444</v>
      </c>
      <c r="H115" s="20" t="s">
        <v>132</v>
      </c>
      <c r="I115" s="16" t="s">
        <v>445</v>
      </c>
      <c r="J115" s="30">
        <v>43493</v>
      </c>
      <c r="K115" s="30">
        <v>44344</v>
      </c>
      <c r="L115" s="31">
        <f t="shared" si="61"/>
        <v>85</v>
      </c>
      <c r="M115" s="37">
        <v>2</v>
      </c>
      <c r="N115" s="20" t="s">
        <v>433</v>
      </c>
      <c r="O115" s="20" t="s">
        <v>433</v>
      </c>
      <c r="P115" s="67" t="s">
        <v>39</v>
      </c>
      <c r="Q115" s="20" t="s">
        <v>40</v>
      </c>
      <c r="R115" s="73">
        <f t="shared" si="62"/>
        <v>1421225.5</v>
      </c>
      <c r="S115" s="35">
        <v>1421225.5</v>
      </c>
      <c r="T115" s="35">
        <v>0</v>
      </c>
      <c r="U115" s="33">
        <f t="shared" si="43"/>
        <v>217363.9</v>
      </c>
      <c r="V115" s="2">
        <v>217363.9</v>
      </c>
      <c r="W115" s="37">
        <v>0</v>
      </c>
      <c r="X115" s="33">
        <f t="shared" si="47"/>
        <v>33440.6</v>
      </c>
      <c r="Y115" s="74">
        <v>33440.6</v>
      </c>
      <c r="Z115" s="35">
        <v>0</v>
      </c>
      <c r="AA115" s="2">
        <f t="shared" si="65"/>
        <v>0</v>
      </c>
      <c r="AB115" s="2">
        <v>0</v>
      </c>
      <c r="AC115" s="2">
        <v>0</v>
      </c>
      <c r="AD115" s="2">
        <f t="shared" si="63"/>
        <v>1672030</v>
      </c>
      <c r="AE115" s="37"/>
      <c r="AF115" s="2">
        <f t="shared" si="64"/>
        <v>1672030</v>
      </c>
      <c r="AG115" s="39" t="s">
        <v>69</v>
      </c>
      <c r="AH115" s="39"/>
      <c r="AI115" s="35">
        <v>355563.46</v>
      </c>
      <c r="AJ115" s="36">
        <v>54380.3</v>
      </c>
      <c r="AK115" s="28">
        <f t="shared" si="44"/>
        <v>1065662.04</v>
      </c>
      <c r="AL115" s="28">
        <f t="shared" si="45"/>
        <v>162983.59999999998</v>
      </c>
      <c r="AM115" s="29">
        <f t="shared" si="46"/>
        <v>0.25018088966177432</v>
      </c>
    </row>
    <row r="116" spans="1:39" ht="192" customHeight="1" x14ac:dyDescent="0.25">
      <c r="A116" s="10">
        <v>113</v>
      </c>
      <c r="B116" s="37">
        <v>128555</v>
      </c>
      <c r="C116" s="37">
        <v>679</v>
      </c>
      <c r="D116" s="20" t="s">
        <v>31</v>
      </c>
      <c r="E116" s="14" t="s">
        <v>79</v>
      </c>
      <c r="F116" s="15" t="s">
        <v>446</v>
      </c>
      <c r="G116" s="15" t="s">
        <v>444</v>
      </c>
      <c r="H116" s="96" t="s">
        <v>1857</v>
      </c>
      <c r="I116" s="16" t="s">
        <v>447</v>
      </c>
      <c r="J116" s="30">
        <v>43690</v>
      </c>
      <c r="K116" s="30">
        <v>44056</v>
      </c>
      <c r="L116" s="31">
        <f t="shared" si="61"/>
        <v>84.288170125844573</v>
      </c>
      <c r="M116" s="37">
        <v>2</v>
      </c>
      <c r="N116" s="20" t="s">
        <v>433</v>
      </c>
      <c r="O116" s="20" t="s">
        <v>433</v>
      </c>
      <c r="P116" s="67" t="s">
        <v>39</v>
      </c>
      <c r="Q116" s="20" t="s">
        <v>40</v>
      </c>
      <c r="R116" s="73">
        <f t="shared" si="62"/>
        <v>338596.52</v>
      </c>
      <c r="S116" s="35">
        <v>338596.52</v>
      </c>
      <c r="T116" s="35">
        <v>0</v>
      </c>
      <c r="U116" s="33">
        <f t="shared" si="43"/>
        <v>55082.2</v>
      </c>
      <c r="V116" s="2">
        <v>55082.2</v>
      </c>
      <c r="W116" s="37">
        <v>0</v>
      </c>
      <c r="X116" s="33">
        <f t="shared" si="47"/>
        <v>4670.12</v>
      </c>
      <c r="Y116" s="74">
        <v>4670.12</v>
      </c>
      <c r="Z116" s="35">
        <v>0</v>
      </c>
      <c r="AA116" s="2">
        <f t="shared" si="65"/>
        <v>3364.14</v>
      </c>
      <c r="AB116" s="20">
        <v>3364.14</v>
      </c>
      <c r="AC116" s="35">
        <v>0</v>
      </c>
      <c r="AD116" s="2">
        <f t="shared" si="63"/>
        <v>401712.98000000004</v>
      </c>
      <c r="AE116" s="37"/>
      <c r="AF116" s="2">
        <f t="shared" si="64"/>
        <v>401712.98000000004</v>
      </c>
      <c r="AG116" s="39" t="s">
        <v>69</v>
      </c>
      <c r="AH116" s="39"/>
      <c r="AI116" s="35">
        <v>185469.97</v>
      </c>
      <c r="AJ116" s="36">
        <f>4005.59+20340.83</f>
        <v>24346.420000000002</v>
      </c>
      <c r="AK116" s="28">
        <f t="shared" si="44"/>
        <v>153126.55000000002</v>
      </c>
      <c r="AL116" s="28">
        <f t="shared" si="45"/>
        <v>30735.779999999995</v>
      </c>
      <c r="AM116" s="29">
        <f t="shared" si="46"/>
        <v>0.54776100474984202</v>
      </c>
    </row>
    <row r="117" spans="1:39" ht="192" customHeight="1" x14ac:dyDescent="0.25">
      <c r="A117" s="10">
        <v>114</v>
      </c>
      <c r="B117" s="20">
        <v>111029</v>
      </c>
      <c r="C117" s="20">
        <v>126</v>
      </c>
      <c r="D117" s="15" t="s">
        <v>31</v>
      </c>
      <c r="E117" s="14" t="s">
        <v>32</v>
      </c>
      <c r="F117" s="15" t="s">
        <v>448</v>
      </c>
      <c r="G117" s="15" t="s">
        <v>449</v>
      </c>
      <c r="H117" s="20" t="s">
        <v>35</v>
      </c>
      <c r="I117" s="16" t="s">
        <v>450</v>
      </c>
      <c r="J117" s="30">
        <v>43208</v>
      </c>
      <c r="K117" s="30">
        <v>43695</v>
      </c>
      <c r="L117" s="31">
        <f>R117/AD117*100</f>
        <v>85.000001177275294</v>
      </c>
      <c r="M117" s="20">
        <v>3</v>
      </c>
      <c r="N117" s="20" t="s">
        <v>451</v>
      </c>
      <c r="O117" s="20" t="s">
        <v>451</v>
      </c>
      <c r="P117" s="32" t="s">
        <v>39</v>
      </c>
      <c r="Q117" s="20" t="s">
        <v>40</v>
      </c>
      <c r="R117" s="33">
        <f>S117+T117</f>
        <v>361003.08</v>
      </c>
      <c r="S117" s="2">
        <v>361003.08</v>
      </c>
      <c r="T117" s="2">
        <v>0</v>
      </c>
      <c r="U117" s="33">
        <f>V117+W117</f>
        <v>55212.23</v>
      </c>
      <c r="V117" s="2">
        <v>55212.23</v>
      </c>
      <c r="W117" s="2"/>
      <c r="X117" s="33">
        <f>Y117+Z117</f>
        <v>8494.19</v>
      </c>
      <c r="Y117" s="2">
        <v>8494.19</v>
      </c>
      <c r="Z117" s="2">
        <v>0</v>
      </c>
      <c r="AA117" s="2">
        <f>AB117+AC117</f>
        <v>0</v>
      </c>
      <c r="AB117" s="2">
        <v>0</v>
      </c>
      <c r="AC117" s="2">
        <v>0</v>
      </c>
      <c r="AD117" s="2">
        <f t="shared" ref="AD117:AD124" si="66">R117+U117+X117+AA117</f>
        <v>424709.5</v>
      </c>
      <c r="AE117" s="2">
        <v>0</v>
      </c>
      <c r="AF117" s="2">
        <f>AD117+AE117</f>
        <v>424709.5</v>
      </c>
      <c r="AG117" s="24" t="s">
        <v>41</v>
      </c>
      <c r="AH117" s="34" t="s">
        <v>35</v>
      </c>
      <c r="AI117" s="35">
        <v>306350.18</v>
      </c>
      <c r="AJ117" s="36">
        <v>46853.56</v>
      </c>
      <c r="AK117" s="28">
        <f t="shared" si="44"/>
        <v>54652.900000000023</v>
      </c>
      <c r="AL117" s="28">
        <f t="shared" si="45"/>
        <v>8358.6700000000055</v>
      </c>
      <c r="AM117" s="29">
        <f t="shared" si="46"/>
        <v>0.84860821686064281</v>
      </c>
    </row>
    <row r="118" spans="1:39" ht="192" customHeight="1" x14ac:dyDescent="0.25">
      <c r="A118" s="10">
        <v>115</v>
      </c>
      <c r="B118" s="20">
        <v>116685</v>
      </c>
      <c r="C118" s="20">
        <v>407</v>
      </c>
      <c r="D118" s="15" t="s">
        <v>54</v>
      </c>
      <c r="E118" s="14" t="s">
        <v>55</v>
      </c>
      <c r="F118" s="63" t="s">
        <v>452</v>
      </c>
      <c r="G118" s="15" t="s">
        <v>453</v>
      </c>
      <c r="H118" s="20" t="s">
        <v>454</v>
      </c>
      <c r="I118" s="16" t="s">
        <v>455</v>
      </c>
      <c r="J118" s="30">
        <v>43298</v>
      </c>
      <c r="K118" s="30">
        <v>43907</v>
      </c>
      <c r="L118" s="31">
        <f>R118/AD118*100</f>
        <v>84.519132769277391</v>
      </c>
      <c r="M118" s="20">
        <v>3</v>
      </c>
      <c r="N118" s="20" t="s">
        <v>451</v>
      </c>
      <c r="O118" s="20" t="s">
        <v>451</v>
      </c>
      <c r="P118" s="32" t="s">
        <v>39</v>
      </c>
      <c r="Q118" s="20" t="s">
        <v>40</v>
      </c>
      <c r="R118" s="33">
        <f>S118+T118</f>
        <v>335058.15000000002</v>
      </c>
      <c r="S118" s="2">
        <v>335058.15000000002</v>
      </c>
      <c r="T118" s="2">
        <v>0</v>
      </c>
      <c r="U118" s="33">
        <f>V118+W118</f>
        <v>53442.06</v>
      </c>
      <c r="V118" s="2">
        <v>53442.06</v>
      </c>
      <c r="W118" s="2">
        <v>0</v>
      </c>
      <c r="X118" s="33">
        <f>Y118+Z118</f>
        <v>0</v>
      </c>
      <c r="Y118" s="2">
        <v>0</v>
      </c>
      <c r="Z118" s="2">
        <v>0</v>
      </c>
      <c r="AA118" s="2">
        <f>AB118+AC118</f>
        <v>7928.55</v>
      </c>
      <c r="AB118" s="2">
        <v>7928.55</v>
      </c>
      <c r="AC118" s="2">
        <v>0</v>
      </c>
      <c r="AD118" s="2">
        <f t="shared" si="66"/>
        <v>396428.76</v>
      </c>
      <c r="AE118" s="2">
        <v>0</v>
      </c>
      <c r="AF118" s="2">
        <f>AD118+AE118</f>
        <v>396428.76</v>
      </c>
      <c r="AG118" s="39" t="s">
        <v>41</v>
      </c>
      <c r="AH118" s="34" t="s">
        <v>456</v>
      </c>
      <c r="AI118" s="35">
        <v>314745.92</v>
      </c>
      <c r="AJ118" s="36">
        <f>21832.13+15683.52+12657.51</f>
        <v>50173.16</v>
      </c>
      <c r="AK118" s="28">
        <f t="shared" si="44"/>
        <v>20312.23000000004</v>
      </c>
      <c r="AL118" s="28">
        <f t="shared" si="45"/>
        <v>3268.8999999999942</v>
      </c>
      <c r="AM118" s="29">
        <f t="shared" si="46"/>
        <v>0.93937700067883723</v>
      </c>
    </row>
    <row r="119" spans="1:39" ht="192" customHeight="1" x14ac:dyDescent="0.25">
      <c r="A119" s="10">
        <v>116</v>
      </c>
      <c r="B119" s="20">
        <v>118751</v>
      </c>
      <c r="C119" s="20">
        <v>437</v>
      </c>
      <c r="D119" s="15" t="s">
        <v>54</v>
      </c>
      <c r="E119" s="14" t="s">
        <v>55</v>
      </c>
      <c r="F119" s="15" t="s">
        <v>457</v>
      </c>
      <c r="G119" s="15" t="s">
        <v>449</v>
      </c>
      <c r="H119" s="20" t="s">
        <v>35</v>
      </c>
      <c r="I119" s="16" t="s">
        <v>1859</v>
      </c>
      <c r="J119" s="30">
        <v>43340</v>
      </c>
      <c r="K119" s="30">
        <v>43644</v>
      </c>
      <c r="L119" s="31">
        <f>R119/AD119*100</f>
        <v>85.000001668371198</v>
      </c>
      <c r="M119" s="20">
        <v>3</v>
      </c>
      <c r="N119" s="20" t="s">
        <v>451</v>
      </c>
      <c r="O119" s="20" t="s">
        <v>451</v>
      </c>
      <c r="P119" s="32" t="s">
        <v>39</v>
      </c>
      <c r="Q119" s="20" t="s">
        <v>40</v>
      </c>
      <c r="R119" s="33">
        <v>254739.48</v>
      </c>
      <c r="S119" s="35">
        <v>254739.48</v>
      </c>
      <c r="T119" s="2">
        <v>0</v>
      </c>
      <c r="U119" s="33">
        <f>V119+W119</f>
        <v>38960.15</v>
      </c>
      <c r="V119" s="2">
        <v>38960.15</v>
      </c>
      <c r="W119" s="2">
        <v>0</v>
      </c>
      <c r="X119" s="33">
        <f>Y119+Z119</f>
        <v>5993.87</v>
      </c>
      <c r="Y119" s="2">
        <v>5993.87</v>
      </c>
      <c r="Z119" s="2">
        <v>0</v>
      </c>
      <c r="AA119" s="2">
        <f>AB119+AC119</f>
        <v>0</v>
      </c>
      <c r="AB119" s="2">
        <v>0</v>
      </c>
      <c r="AC119" s="2">
        <v>0</v>
      </c>
      <c r="AD119" s="2">
        <f t="shared" si="66"/>
        <v>299693.5</v>
      </c>
      <c r="AE119" s="2">
        <v>0</v>
      </c>
      <c r="AF119" s="2">
        <f>AD119+AE119</f>
        <v>299693.5</v>
      </c>
      <c r="AG119" s="24" t="s">
        <v>41</v>
      </c>
      <c r="AH119" s="34" t="s">
        <v>35</v>
      </c>
      <c r="AI119" s="35">
        <v>248993.41</v>
      </c>
      <c r="AJ119" s="36">
        <v>38081.339999999997</v>
      </c>
      <c r="AK119" s="28">
        <f t="shared" si="44"/>
        <v>5746.070000000007</v>
      </c>
      <c r="AL119" s="28">
        <f t="shared" si="45"/>
        <v>878.81000000000495</v>
      </c>
      <c r="AM119" s="29">
        <f t="shared" si="46"/>
        <v>0.97744334721889203</v>
      </c>
    </row>
    <row r="120" spans="1:39" ht="192" customHeight="1" x14ac:dyDescent="0.25">
      <c r="A120" s="10">
        <v>117</v>
      </c>
      <c r="B120" s="37">
        <v>126535</v>
      </c>
      <c r="C120" s="20">
        <v>564</v>
      </c>
      <c r="D120" s="15" t="s">
        <v>31</v>
      </c>
      <c r="E120" s="14" t="s">
        <v>65</v>
      </c>
      <c r="F120" s="37" t="s">
        <v>458</v>
      </c>
      <c r="G120" s="20" t="s">
        <v>449</v>
      </c>
      <c r="H120" s="20" t="s">
        <v>35</v>
      </c>
      <c r="I120" s="15" t="s">
        <v>459</v>
      </c>
      <c r="J120" s="30">
        <v>43447</v>
      </c>
      <c r="K120" s="30">
        <v>44178</v>
      </c>
      <c r="L120" s="31">
        <f>R120/AD120*100</f>
        <v>85</v>
      </c>
      <c r="M120" s="20">
        <v>3</v>
      </c>
      <c r="N120" s="20" t="s">
        <v>451</v>
      </c>
      <c r="O120" s="20" t="s">
        <v>451</v>
      </c>
      <c r="P120" s="32" t="s">
        <v>39</v>
      </c>
      <c r="Q120" s="20" t="s">
        <v>40</v>
      </c>
      <c r="R120" s="33">
        <f>S120+T120</f>
        <v>3199377.9</v>
      </c>
      <c r="S120" s="35">
        <v>3199377.9</v>
      </c>
      <c r="T120" s="35">
        <v>0</v>
      </c>
      <c r="U120" s="33">
        <f>V120+W120</f>
        <v>489316.62</v>
      </c>
      <c r="V120" s="35">
        <v>489316.62</v>
      </c>
      <c r="W120" s="35">
        <v>0</v>
      </c>
      <c r="X120" s="33">
        <f>Y120+Z120</f>
        <v>75279.48</v>
      </c>
      <c r="Y120" s="2">
        <v>75279.48</v>
      </c>
      <c r="Z120" s="2">
        <v>0</v>
      </c>
      <c r="AA120" s="2">
        <f>AB120+AC120</f>
        <v>0</v>
      </c>
      <c r="AB120" s="35">
        <v>0</v>
      </c>
      <c r="AC120" s="35">
        <v>0</v>
      </c>
      <c r="AD120" s="2">
        <f t="shared" si="66"/>
        <v>3763974</v>
      </c>
      <c r="AE120" s="39"/>
      <c r="AF120" s="2">
        <f>AD120+AE120</f>
        <v>3763974</v>
      </c>
      <c r="AG120" s="39" t="s">
        <v>69</v>
      </c>
      <c r="AH120" s="34"/>
      <c r="AI120" s="35">
        <v>455141.07</v>
      </c>
      <c r="AJ120" s="36">
        <v>31374.51</v>
      </c>
      <c r="AK120" s="28">
        <f t="shared" si="44"/>
        <v>2744236.83</v>
      </c>
      <c r="AL120" s="28">
        <f t="shared" si="45"/>
        <v>457942.11</v>
      </c>
      <c r="AM120" s="29">
        <f t="shared" si="46"/>
        <v>0.14225924046046579</v>
      </c>
    </row>
    <row r="121" spans="1:39" ht="192" customHeight="1" x14ac:dyDescent="0.25">
      <c r="A121" s="10">
        <v>118</v>
      </c>
      <c r="B121" s="20">
        <v>120638</v>
      </c>
      <c r="C121" s="20">
        <v>97</v>
      </c>
      <c r="D121" s="15" t="s">
        <v>31</v>
      </c>
      <c r="E121" s="14" t="s">
        <v>32</v>
      </c>
      <c r="F121" s="15" t="s">
        <v>460</v>
      </c>
      <c r="G121" s="20" t="s">
        <v>461</v>
      </c>
      <c r="H121" s="20" t="s">
        <v>35</v>
      </c>
      <c r="I121" s="55" t="s">
        <v>462</v>
      </c>
      <c r="J121" s="30">
        <v>43145</v>
      </c>
      <c r="K121" s="30">
        <v>43630</v>
      </c>
      <c r="L121" s="31">
        <f t="shared" ref="L121:L127" si="67">R121/AD121*100</f>
        <v>84.999998641808133</v>
      </c>
      <c r="M121" s="20">
        <v>4</v>
      </c>
      <c r="N121" s="20" t="s">
        <v>463</v>
      </c>
      <c r="O121" s="20" t="s">
        <v>464</v>
      </c>
      <c r="P121" s="32" t="s">
        <v>39</v>
      </c>
      <c r="Q121" s="20" t="s">
        <v>40</v>
      </c>
      <c r="R121" s="2">
        <f t="shared" ref="R121:R127" si="68">S121+T121</f>
        <v>312916.02</v>
      </c>
      <c r="S121" s="52">
        <v>312916.02</v>
      </c>
      <c r="T121" s="59">
        <v>0</v>
      </c>
      <c r="U121" s="33">
        <f t="shared" ref="U121:U157" si="69">V121+W121</f>
        <v>47857.75</v>
      </c>
      <c r="V121" s="2">
        <v>47857.75</v>
      </c>
      <c r="W121" s="2">
        <v>0</v>
      </c>
      <c r="X121" s="33">
        <f t="shared" ref="X121:X157" si="70">Y121+Z121</f>
        <v>7362.73</v>
      </c>
      <c r="Y121" s="2">
        <v>7362.73</v>
      </c>
      <c r="Z121" s="2">
        <v>0</v>
      </c>
      <c r="AA121" s="2">
        <f t="shared" ref="AA121:AA127" si="71">AB121+AC121</f>
        <v>0</v>
      </c>
      <c r="AB121" s="2">
        <v>0</v>
      </c>
      <c r="AC121" s="2">
        <v>0</v>
      </c>
      <c r="AD121" s="2">
        <f t="shared" si="66"/>
        <v>368136.5</v>
      </c>
      <c r="AE121" s="2">
        <v>0</v>
      </c>
      <c r="AF121" s="2">
        <f t="shared" ref="AF121:AF127" si="72">AD121+AE121</f>
        <v>368136.5</v>
      </c>
      <c r="AG121" s="24" t="s">
        <v>41</v>
      </c>
      <c r="AH121" s="34" t="s">
        <v>46</v>
      </c>
      <c r="AI121" s="35">
        <v>237555.28999999998</v>
      </c>
      <c r="AJ121" s="36">
        <v>36331.979999999996</v>
      </c>
      <c r="AK121" s="28">
        <f t="shared" si="44"/>
        <v>75360.73000000004</v>
      </c>
      <c r="AL121" s="28">
        <f t="shared" si="45"/>
        <v>11525.770000000004</v>
      </c>
      <c r="AM121" s="29">
        <f t="shared" si="46"/>
        <v>0.75916627726506292</v>
      </c>
    </row>
    <row r="122" spans="1:39" ht="192" customHeight="1" x14ac:dyDescent="0.25">
      <c r="A122" s="10">
        <v>119</v>
      </c>
      <c r="B122" s="37">
        <v>120714</v>
      </c>
      <c r="C122" s="20">
        <v>111</v>
      </c>
      <c r="D122" s="15" t="s">
        <v>31</v>
      </c>
      <c r="E122" s="14" t="s">
        <v>32</v>
      </c>
      <c r="F122" s="15" t="s">
        <v>465</v>
      </c>
      <c r="G122" s="20" t="s">
        <v>466</v>
      </c>
      <c r="H122" s="20" t="s">
        <v>467</v>
      </c>
      <c r="I122" s="16" t="s">
        <v>468</v>
      </c>
      <c r="J122" s="30">
        <v>43166</v>
      </c>
      <c r="K122" s="30">
        <v>43653</v>
      </c>
      <c r="L122" s="31">
        <f t="shared" si="67"/>
        <v>85</v>
      </c>
      <c r="M122" s="20">
        <v>4</v>
      </c>
      <c r="N122" s="20" t="s">
        <v>463</v>
      </c>
      <c r="O122" s="20" t="s">
        <v>464</v>
      </c>
      <c r="P122" s="32" t="s">
        <v>39</v>
      </c>
      <c r="Q122" s="20" t="s">
        <v>40</v>
      </c>
      <c r="R122" s="2">
        <f t="shared" si="68"/>
        <v>355906.39</v>
      </c>
      <c r="S122" s="64">
        <v>355906.39</v>
      </c>
      <c r="T122" s="64">
        <v>0</v>
      </c>
      <c r="U122" s="33">
        <f t="shared" si="69"/>
        <v>54432.74</v>
      </c>
      <c r="V122" s="2">
        <v>54432.74</v>
      </c>
      <c r="W122" s="2">
        <v>0</v>
      </c>
      <c r="X122" s="33">
        <f t="shared" si="70"/>
        <v>8374.27</v>
      </c>
      <c r="Y122" s="2">
        <v>8374.27</v>
      </c>
      <c r="Z122" s="2">
        <v>0</v>
      </c>
      <c r="AA122" s="2">
        <f t="shared" si="71"/>
        <v>0</v>
      </c>
      <c r="AB122" s="2">
        <v>0</v>
      </c>
      <c r="AC122" s="2">
        <v>0</v>
      </c>
      <c r="AD122" s="2">
        <f t="shared" si="66"/>
        <v>418713.4</v>
      </c>
      <c r="AE122" s="2">
        <v>0</v>
      </c>
      <c r="AF122" s="2">
        <f t="shared" si="72"/>
        <v>418713.4</v>
      </c>
      <c r="AG122" s="24" t="s">
        <v>41</v>
      </c>
      <c r="AH122" s="34" t="s">
        <v>35</v>
      </c>
      <c r="AI122" s="35">
        <v>292880.73</v>
      </c>
      <c r="AJ122" s="36">
        <v>44793.507300000012</v>
      </c>
      <c r="AK122" s="28">
        <f t="shared" si="44"/>
        <v>63025.660000000033</v>
      </c>
      <c r="AL122" s="28">
        <f t="shared" si="45"/>
        <v>9639.2326999999859</v>
      </c>
      <c r="AM122" s="29">
        <f t="shared" si="46"/>
        <v>0.8229150648292658</v>
      </c>
    </row>
    <row r="123" spans="1:39" ht="192" customHeight="1" x14ac:dyDescent="0.25">
      <c r="A123" s="10">
        <v>120</v>
      </c>
      <c r="B123" s="37">
        <v>119758</v>
      </c>
      <c r="C123" s="20">
        <v>460</v>
      </c>
      <c r="D123" s="20" t="s">
        <v>47</v>
      </c>
      <c r="E123" s="14" t="s">
        <v>48</v>
      </c>
      <c r="F123" s="97" t="s">
        <v>469</v>
      </c>
      <c r="G123" s="15" t="s">
        <v>470</v>
      </c>
      <c r="H123" s="20" t="s">
        <v>35</v>
      </c>
      <c r="I123" s="16" t="s">
        <v>471</v>
      </c>
      <c r="J123" s="30">
        <v>43264</v>
      </c>
      <c r="K123" s="30">
        <v>43751</v>
      </c>
      <c r="L123" s="31">
        <f t="shared" si="67"/>
        <v>85</v>
      </c>
      <c r="M123" s="20">
        <v>4</v>
      </c>
      <c r="N123" s="20" t="s">
        <v>463</v>
      </c>
      <c r="O123" s="20" t="s">
        <v>472</v>
      </c>
      <c r="P123" s="32" t="s">
        <v>39</v>
      </c>
      <c r="Q123" s="20" t="s">
        <v>40</v>
      </c>
      <c r="R123" s="2">
        <f t="shared" si="68"/>
        <v>356536.75</v>
      </c>
      <c r="S123" s="64">
        <v>356536.75</v>
      </c>
      <c r="T123" s="64">
        <v>0</v>
      </c>
      <c r="U123" s="33">
        <f t="shared" si="69"/>
        <v>54529.15</v>
      </c>
      <c r="V123" s="2">
        <v>54529.15</v>
      </c>
      <c r="W123" s="2"/>
      <c r="X123" s="33">
        <f t="shared" si="70"/>
        <v>8389.1</v>
      </c>
      <c r="Y123" s="2">
        <v>8389.1</v>
      </c>
      <c r="Z123" s="2">
        <v>0</v>
      </c>
      <c r="AA123" s="2">
        <f t="shared" si="71"/>
        <v>0</v>
      </c>
      <c r="AB123" s="2">
        <v>0</v>
      </c>
      <c r="AC123" s="2">
        <v>0</v>
      </c>
      <c r="AD123" s="2">
        <f t="shared" si="66"/>
        <v>419455</v>
      </c>
      <c r="AE123" s="2"/>
      <c r="AF123" s="2">
        <f t="shared" si="72"/>
        <v>419455</v>
      </c>
      <c r="AG123" s="24" t="s">
        <v>41</v>
      </c>
      <c r="AH123" s="34"/>
      <c r="AI123" s="35">
        <v>294297.16000000003</v>
      </c>
      <c r="AJ123" s="36">
        <v>45010.169999999991</v>
      </c>
      <c r="AK123" s="28">
        <f t="shared" si="44"/>
        <v>62239.589999999967</v>
      </c>
      <c r="AL123" s="28">
        <f t="shared" si="45"/>
        <v>9518.9800000000105</v>
      </c>
      <c r="AM123" s="29">
        <f t="shared" si="46"/>
        <v>0.82543289015788701</v>
      </c>
    </row>
    <row r="124" spans="1:39" ht="192" customHeight="1" x14ac:dyDescent="0.25">
      <c r="A124" s="10">
        <v>121</v>
      </c>
      <c r="B124" s="37">
        <v>116766</v>
      </c>
      <c r="C124" s="20">
        <v>409</v>
      </c>
      <c r="D124" s="15" t="s">
        <v>54</v>
      </c>
      <c r="E124" s="14" t="s">
        <v>55</v>
      </c>
      <c r="F124" s="15" t="s">
        <v>473</v>
      </c>
      <c r="G124" s="15" t="s">
        <v>467</v>
      </c>
      <c r="H124" s="20" t="s">
        <v>35</v>
      </c>
      <c r="I124" s="15" t="s">
        <v>474</v>
      </c>
      <c r="J124" s="30">
        <v>43278</v>
      </c>
      <c r="K124" s="30">
        <v>43826</v>
      </c>
      <c r="L124" s="31">
        <f t="shared" si="67"/>
        <v>85.000000275422053</v>
      </c>
      <c r="M124" s="20">
        <v>4</v>
      </c>
      <c r="N124" s="20" t="s">
        <v>463</v>
      </c>
      <c r="O124" s="20" t="s">
        <v>475</v>
      </c>
      <c r="P124" s="20" t="s">
        <v>39</v>
      </c>
      <c r="Q124" s="20" t="s">
        <v>40</v>
      </c>
      <c r="R124" s="2">
        <f t="shared" si="68"/>
        <v>308617.27</v>
      </c>
      <c r="S124" s="64">
        <v>308617.27</v>
      </c>
      <c r="T124" s="64">
        <v>0</v>
      </c>
      <c r="U124" s="33">
        <f t="shared" si="69"/>
        <v>47200.29</v>
      </c>
      <c r="V124" s="2">
        <v>47200.29</v>
      </c>
      <c r="W124" s="2">
        <v>0</v>
      </c>
      <c r="X124" s="33">
        <f t="shared" si="70"/>
        <v>7261.58</v>
      </c>
      <c r="Y124" s="2">
        <v>7261.58</v>
      </c>
      <c r="Z124" s="33">
        <v>0</v>
      </c>
      <c r="AA124" s="2">
        <f t="shared" si="71"/>
        <v>0</v>
      </c>
      <c r="AB124" s="33">
        <v>0</v>
      </c>
      <c r="AC124" s="33">
        <v>0</v>
      </c>
      <c r="AD124" s="2">
        <f t="shared" si="66"/>
        <v>363079.14</v>
      </c>
      <c r="AE124" s="98">
        <v>0</v>
      </c>
      <c r="AF124" s="2">
        <f t="shared" si="72"/>
        <v>363079.14</v>
      </c>
      <c r="AG124" s="39" t="s">
        <v>41</v>
      </c>
      <c r="AH124" s="70" t="s">
        <v>476</v>
      </c>
      <c r="AI124" s="35">
        <v>225079</v>
      </c>
      <c r="AJ124" s="36">
        <v>34423.869999999995</v>
      </c>
      <c r="AK124" s="28">
        <f t="shared" si="44"/>
        <v>83538.270000000019</v>
      </c>
      <c r="AL124" s="28">
        <f t="shared" si="45"/>
        <v>12776.420000000006</v>
      </c>
      <c r="AM124" s="29">
        <f t="shared" si="46"/>
        <v>0.72931433811205704</v>
      </c>
    </row>
    <row r="125" spans="1:39" ht="192" customHeight="1" x14ac:dyDescent="0.25">
      <c r="A125" s="10">
        <v>122</v>
      </c>
      <c r="B125" s="37">
        <v>126293</v>
      </c>
      <c r="C125" s="20">
        <v>523</v>
      </c>
      <c r="D125" s="15" t="s">
        <v>31</v>
      </c>
      <c r="E125" s="14" t="s">
        <v>65</v>
      </c>
      <c r="F125" s="15" t="s">
        <v>477</v>
      </c>
      <c r="G125" s="15" t="s">
        <v>478</v>
      </c>
      <c r="H125" s="20" t="s">
        <v>35</v>
      </c>
      <c r="I125" s="15" t="s">
        <v>479</v>
      </c>
      <c r="J125" s="30">
        <v>43437</v>
      </c>
      <c r="K125" s="30">
        <v>44289</v>
      </c>
      <c r="L125" s="31">
        <f t="shared" si="67"/>
        <v>85.000000538702352</v>
      </c>
      <c r="M125" s="20">
        <v>4</v>
      </c>
      <c r="N125" s="20" t="s">
        <v>463</v>
      </c>
      <c r="O125" s="20" t="s">
        <v>475</v>
      </c>
      <c r="P125" s="20" t="s">
        <v>39</v>
      </c>
      <c r="Q125" s="20" t="s">
        <v>40</v>
      </c>
      <c r="R125" s="2">
        <f t="shared" si="68"/>
        <v>2366798.75</v>
      </c>
      <c r="S125" s="64">
        <v>2366798.75</v>
      </c>
      <c r="T125" s="64">
        <v>0</v>
      </c>
      <c r="U125" s="33">
        <f t="shared" si="69"/>
        <v>361980.97</v>
      </c>
      <c r="V125" s="2">
        <v>361980.97</v>
      </c>
      <c r="W125" s="2">
        <v>0</v>
      </c>
      <c r="X125" s="33">
        <f t="shared" si="70"/>
        <v>55689.38</v>
      </c>
      <c r="Y125" s="2">
        <v>55689.38</v>
      </c>
      <c r="Z125" s="35">
        <v>0</v>
      </c>
      <c r="AA125" s="2">
        <f t="shared" si="71"/>
        <v>0</v>
      </c>
      <c r="AB125" s="35">
        <v>0</v>
      </c>
      <c r="AC125" s="35">
        <v>0</v>
      </c>
      <c r="AD125" s="2">
        <f>R125+U125+X125</f>
        <v>2784469.0999999996</v>
      </c>
      <c r="AE125" s="2">
        <v>129948</v>
      </c>
      <c r="AF125" s="2">
        <f t="shared" si="72"/>
        <v>2914417.0999999996</v>
      </c>
      <c r="AG125" s="39" t="s">
        <v>69</v>
      </c>
      <c r="AH125" s="70" t="s">
        <v>35</v>
      </c>
      <c r="AI125" s="35">
        <v>3500.5</v>
      </c>
      <c r="AJ125" s="36">
        <v>535.38</v>
      </c>
      <c r="AK125" s="28">
        <f t="shared" si="44"/>
        <v>2363298.25</v>
      </c>
      <c r="AL125" s="28">
        <f t="shared" si="45"/>
        <v>361445.58999999997</v>
      </c>
      <c r="AM125" s="29">
        <f t="shared" si="46"/>
        <v>1.4790019641509444E-3</v>
      </c>
    </row>
    <row r="126" spans="1:39" ht="192" customHeight="1" x14ac:dyDescent="0.25">
      <c r="A126" s="10">
        <v>123</v>
      </c>
      <c r="B126" s="37">
        <v>126212</v>
      </c>
      <c r="C126" s="20">
        <v>516</v>
      </c>
      <c r="D126" s="15" t="s">
        <v>31</v>
      </c>
      <c r="E126" s="14" t="s">
        <v>65</v>
      </c>
      <c r="F126" s="15" t="s">
        <v>480</v>
      </c>
      <c r="G126" s="15" t="s">
        <v>470</v>
      </c>
      <c r="H126" s="20" t="s">
        <v>35</v>
      </c>
      <c r="I126" s="15" t="s">
        <v>481</v>
      </c>
      <c r="J126" s="30">
        <v>43445</v>
      </c>
      <c r="K126" s="30">
        <v>43993</v>
      </c>
      <c r="L126" s="31">
        <f t="shared" si="67"/>
        <v>85.000000138721092</v>
      </c>
      <c r="M126" s="20">
        <v>4</v>
      </c>
      <c r="N126" s="20" t="s">
        <v>463</v>
      </c>
      <c r="O126" s="20" t="s">
        <v>472</v>
      </c>
      <c r="P126" s="20" t="s">
        <v>39</v>
      </c>
      <c r="Q126" s="20" t="s">
        <v>40</v>
      </c>
      <c r="R126" s="2">
        <f t="shared" si="68"/>
        <v>3063701.5</v>
      </c>
      <c r="S126" s="64">
        <v>3063701.5</v>
      </c>
      <c r="T126" s="64">
        <v>0</v>
      </c>
      <c r="U126" s="33">
        <f t="shared" si="69"/>
        <v>468566.11</v>
      </c>
      <c r="V126" s="2">
        <v>468566.11</v>
      </c>
      <c r="W126" s="2">
        <v>0</v>
      </c>
      <c r="X126" s="33">
        <f t="shared" si="70"/>
        <v>72087.09</v>
      </c>
      <c r="Y126" s="2">
        <v>72087.09</v>
      </c>
      <c r="Z126" s="35">
        <v>0</v>
      </c>
      <c r="AA126" s="2">
        <f t="shared" si="71"/>
        <v>0</v>
      </c>
      <c r="AB126" s="35">
        <v>0</v>
      </c>
      <c r="AC126" s="35">
        <v>0</v>
      </c>
      <c r="AD126" s="2">
        <f>R126+U126+X126</f>
        <v>3604354.6999999997</v>
      </c>
      <c r="AE126" s="39">
        <v>0</v>
      </c>
      <c r="AF126" s="2">
        <f t="shared" si="72"/>
        <v>3604354.6999999997</v>
      </c>
      <c r="AG126" s="39" t="s">
        <v>69</v>
      </c>
      <c r="AH126" s="70" t="s">
        <v>35</v>
      </c>
      <c r="AI126" s="35">
        <v>672056.19</v>
      </c>
      <c r="AJ126" s="36">
        <v>54608.579999999973</v>
      </c>
      <c r="AK126" s="28">
        <f t="shared" si="44"/>
        <v>2391645.31</v>
      </c>
      <c r="AL126" s="28">
        <f t="shared" si="45"/>
        <v>413957.53</v>
      </c>
      <c r="AM126" s="29">
        <f t="shared" si="46"/>
        <v>0.21936085809926323</v>
      </c>
    </row>
    <row r="127" spans="1:39" ht="192" customHeight="1" x14ac:dyDescent="0.25">
      <c r="A127" s="10">
        <v>124</v>
      </c>
      <c r="B127" s="37">
        <v>125603</v>
      </c>
      <c r="C127" s="20">
        <v>528</v>
      </c>
      <c r="D127" s="15" t="s">
        <v>31</v>
      </c>
      <c r="E127" s="14" t="s">
        <v>65</v>
      </c>
      <c r="F127" s="15" t="s">
        <v>482</v>
      </c>
      <c r="G127" s="15" t="s">
        <v>461</v>
      </c>
      <c r="H127" s="20" t="s">
        <v>35</v>
      </c>
      <c r="I127" s="15" t="s">
        <v>483</v>
      </c>
      <c r="J127" s="30">
        <v>43486</v>
      </c>
      <c r="K127" s="30">
        <v>44398</v>
      </c>
      <c r="L127" s="31">
        <f t="shared" si="67"/>
        <v>85.000000127543871</v>
      </c>
      <c r="M127" s="20">
        <v>4</v>
      </c>
      <c r="N127" s="20" t="s">
        <v>463</v>
      </c>
      <c r="O127" s="20" t="s">
        <v>475</v>
      </c>
      <c r="P127" s="20" t="s">
        <v>39</v>
      </c>
      <c r="Q127" s="20" t="s">
        <v>40</v>
      </c>
      <c r="R127" s="2">
        <f t="shared" si="68"/>
        <v>2998968.16</v>
      </c>
      <c r="S127" s="64">
        <v>2998968.16</v>
      </c>
      <c r="T127" s="64">
        <v>0</v>
      </c>
      <c r="U127" s="33">
        <f t="shared" si="69"/>
        <v>458665.73</v>
      </c>
      <c r="V127" s="2">
        <v>458665.73</v>
      </c>
      <c r="W127" s="2">
        <v>0</v>
      </c>
      <c r="X127" s="33">
        <f t="shared" si="70"/>
        <v>70563.94</v>
      </c>
      <c r="Y127" s="2">
        <v>70563.94</v>
      </c>
      <c r="Z127" s="35">
        <v>0</v>
      </c>
      <c r="AA127" s="2">
        <f t="shared" si="71"/>
        <v>0</v>
      </c>
      <c r="AB127" s="35">
        <v>0</v>
      </c>
      <c r="AC127" s="35">
        <v>0</v>
      </c>
      <c r="AD127" s="2">
        <f>R127+U127+X127</f>
        <v>3528197.83</v>
      </c>
      <c r="AE127" s="39">
        <v>0</v>
      </c>
      <c r="AF127" s="2">
        <f t="shared" si="72"/>
        <v>3528197.83</v>
      </c>
      <c r="AG127" s="39" t="s">
        <v>69</v>
      </c>
      <c r="AH127" s="70"/>
      <c r="AI127" s="35">
        <v>222039.75</v>
      </c>
      <c r="AJ127" s="36">
        <v>33959.019999999997</v>
      </c>
      <c r="AK127" s="28">
        <f t="shared" si="44"/>
        <v>2776928.41</v>
      </c>
      <c r="AL127" s="28">
        <f t="shared" si="45"/>
        <v>424706.70999999996</v>
      </c>
      <c r="AM127" s="29">
        <f t="shared" si="46"/>
        <v>7.4038715369355565E-2</v>
      </c>
    </row>
    <row r="128" spans="1:39" ht="192" customHeight="1" x14ac:dyDescent="0.25">
      <c r="A128" s="10">
        <v>125</v>
      </c>
      <c r="B128" s="37">
        <v>111237</v>
      </c>
      <c r="C128" s="20">
        <v>124</v>
      </c>
      <c r="D128" s="15" t="s">
        <v>31</v>
      </c>
      <c r="E128" s="14" t="s">
        <v>32</v>
      </c>
      <c r="F128" s="15" t="s">
        <v>484</v>
      </c>
      <c r="G128" s="15" t="s">
        <v>485</v>
      </c>
      <c r="H128" s="20" t="s">
        <v>35</v>
      </c>
      <c r="I128" s="16" t="s">
        <v>486</v>
      </c>
      <c r="J128" s="30">
        <v>43145</v>
      </c>
      <c r="K128" s="30">
        <v>43783</v>
      </c>
      <c r="L128" s="31">
        <f>R128/AD128*100</f>
        <v>85.000000000000014</v>
      </c>
      <c r="M128" s="20">
        <v>7</v>
      </c>
      <c r="N128" s="19" t="s">
        <v>487</v>
      </c>
      <c r="O128" s="20" t="s">
        <v>488</v>
      </c>
      <c r="P128" s="32" t="s">
        <v>39</v>
      </c>
      <c r="Q128" s="20" t="s">
        <v>40</v>
      </c>
      <c r="R128" s="85">
        <f t="shared" ref="R128:R133" si="73">S128+T128</f>
        <v>306686.8</v>
      </c>
      <c r="S128" s="64">
        <v>306686.8</v>
      </c>
      <c r="T128" s="99">
        <v>0</v>
      </c>
      <c r="U128" s="33">
        <f t="shared" si="69"/>
        <v>46905.04</v>
      </c>
      <c r="V128" s="2">
        <v>46905.04</v>
      </c>
      <c r="W128" s="2">
        <v>0</v>
      </c>
      <c r="X128" s="33">
        <f t="shared" si="70"/>
        <v>7216.16</v>
      </c>
      <c r="Y128" s="2">
        <v>7216.16</v>
      </c>
      <c r="Z128" s="2">
        <v>0</v>
      </c>
      <c r="AA128" s="2">
        <f>AB128+AC128</f>
        <v>0</v>
      </c>
      <c r="AB128" s="2">
        <v>0</v>
      </c>
      <c r="AC128" s="2">
        <v>0</v>
      </c>
      <c r="AD128" s="2">
        <f>R128+U128+X128+AA128</f>
        <v>360807.99999999994</v>
      </c>
      <c r="AE128" s="2">
        <v>0</v>
      </c>
      <c r="AF128" s="2">
        <f>AD128+AE128</f>
        <v>360807.99999999994</v>
      </c>
      <c r="AG128" s="24" t="s">
        <v>41</v>
      </c>
      <c r="AH128" s="34" t="s">
        <v>489</v>
      </c>
      <c r="AI128" s="35">
        <v>194851.21</v>
      </c>
      <c r="AJ128" s="36">
        <v>29800.81</v>
      </c>
      <c r="AK128" s="28">
        <f t="shared" si="44"/>
        <v>111835.59</v>
      </c>
      <c r="AL128" s="28">
        <f t="shared" si="45"/>
        <v>17104.23</v>
      </c>
      <c r="AM128" s="29">
        <f t="shared" si="46"/>
        <v>0.63534266880739565</v>
      </c>
    </row>
    <row r="129" spans="1:39" ht="192" customHeight="1" x14ac:dyDescent="0.25">
      <c r="A129" s="10">
        <v>126</v>
      </c>
      <c r="B129" s="37">
        <v>122784</v>
      </c>
      <c r="C129" s="20">
        <v>94</v>
      </c>
      <c r="D129" s="15" t="s">
        <v>31</v>
      </c>
      <c r="E129" s="14" t="s">
        <v>32</v>
      </c>
      <c r="F129" s="15" t="s">
        <v>1834</v>
      </c>
      <c r="G129" s="15" t="s">
        <v>494</v>
      </c>
      <c r="H129" s="15" t="s">
        <v>35</v>
      </c>
      <c r="I129" s="16" t="s">
        <v>1835</v>
      </c>
      <c r="J129" s="30">
        <v>43264</v>
      </c>
      <c r="K129" s="30">
        <v>43751</v>
      </c>
      <c r="L129" s="31">
        <f>R129/AD129*100</f>
        <v>85.000002941982572</v>
      </c>
      <c r="M129" s="20">
        <v>7</v>
      </c>
      <c r="N129" s="19" t="s">
        <v>487</v>
      </c>
      <c r="O129" s="20" t="s">
        <v>1836</v>
      </c>
      <c r="P129" s="32" t="s">
        <v>39</v>
      </c>
      <c r="Q129" s="20" t="s">
        <v>40</v>
      </c>
      <c r="R129" s="85">
        <f t="shared" si="73"/>
        <v>361151.03</v>
      </c>
      <c r="S129" s="35">
        <v>361151.03</v>
      </c>
      <c r="T129" s="41">
        <v>0</v>
      </c>
      <c r="U129" s="33">
        <f t="shared" si="69"/>
        <v>55234.85</v>
      </c>
      <c r="V129" s="41">
        <v>55234.85</v>
      </c>
      <c r="W129" s="41">
        <v>0</v>
      </c>
      <c r="X129" s="33">
        <f t="shared" si="70"/>
        <v>8497.67</v>
      </c>
      <c r="Y129" s="35">
        <v>8497.67</v>
      </c>
      <c r="Z129" s="35">
        <v>0</v>
      </c>
      <c r="AA129" s="2">
        <f>AB129+AC129</f>
        <v>0</v>
      </c>
      <c r="AB129" s="2">
        <v>0</v>
      </c>
      <c r="AC129" s="2">
        <v>0</v>
      </c>
      <c r="AD129" s="2">
        <f>R129+U129+X129+AA129</f>
        <v>424883.55</v>
      </c>
      <c r="AE129" s="2">
        <v>0</v>
      </c>
      <c r="AF129" s="2">
        <f>AD129+AE129</f>
        <v>424883.55</v>
      </c>
      <c r="AG129" s="39" t="s">
        <v>1837</v>
      </c>
      <c r="AH129" s="39"/>
      <c r="AI129" s="35">
        <v>0</v>
      </c>
      <c r="AJ129" s="36">
        <v>0</v>
      </c>
      <c r="AK129" s="28">
        <f t="shared" si="44"/>
        <v>361151.03</v>
      </c>
      <c r="AL129" s="28">
        <f t="shared" si="45"/>
        <v>55234.85</v>
      </c>
      <c r="AM129" s="29">
        <f t="shared" si="46"/>
        <v>0</v>
      </c>
    </row>
    <row r="130" spans="1:39" ht="192" customHeight="1" x14ac:dyDescent="0.25">
      <c r="A130" s="10">
        <v>127</v>
      </c>
      <c r="B130" s="37">
        <v>126548</v>
      </c>
      <c r="C130" s="20">
        <v>533</v>
      </c>
      <c r="D130" s="15" t="s">
        <v>31</v>
      </c>
      <c r="E130" s="14" t="s">
        <v>65</v>
      </c>
      <c r="F130" s="15" t="s">
        <v>490</v>
      </c>
      <c r="G130" s="15" t="s">
        <v>491</v>
      </c>
      <c r="H130" s="15" t="s">
        <v>35</v>
      </c>
      <c r="I130" s="16" t="s">
        <v>492</v>
      </c>
      <c r="J130" s="30">
        <v>43598</v>
      </c>
      <c r="K130" s="30">
        <v>44087</v>
      </c>
      <c r="L130" s="31">
        <f>R130/AD130*100</f>
        <v>85.000009423673518</v>
      </c>
      <c r="M130" s="20">
        <v>7</v>
      </c>
      <c r="N130" s="19" t="s">
        <v>487</v>
      </c>
      <c r="O130" s="19" t="s">
        <v>487</v>
      </c>
      <c r="P130" s="32" t="s">
        <v>39</v>
      </c>
      <c r="Q130" s="20" t="s">
        <v>40</v>
      </c>
      <c r="R130" s="85">
        <f t="shared" si="73"/>
        <v>518640.69</v>
      </c>
      <c r="S130" s="35">
        <v>518640.69</v>
      </c>
      <c r="T130" s="41">
        <v>0</v>
      </c>
      <c r="U130" s="33">
        <f t="shared" si="69"/>
        <v>79321.45</v>
      </c>
      <c r="V130" s="41">
        <v>79321.45</v>
      </c>
      <c r="W130" s="41">
        <v>0</v>
      </c>
      <c r="X130" s="33">
        <f t="shared" si="70"/>
        <v>12203.31</v>
      </c>
      <c r="Y130" s="35">
        <v>12203.31</v>
      </c>
      <c r="Z130" s="35">
        <v>0</v>
      </c>
      <c r="AA130" s="2">
        <f>AB130+AC130</f>
        <v>0</v>
      </c>
      <c r="AB130" s="2">
        <v>0</v>
      </c>
      <c r="AC130" s="2">
        <v>0</v>
      </c>
      <c r="AD130" s="2">
        <f>R130+U130+X130+AA130</f>
        <v>610165.45000000007</v>
      </c>
      <c r="AE130" s="2"/>
      <c r="AF130" s="2">
        <f>AD130+AE130</f>
        <v>610165.45000000007</v>
      </c>
      <c r="AG130" s="39" t="s">
        <v>69</v>
      </c>
      <c r="AH130" s="39"/>
      <c r="AI130" s="35">
        <v>86309.8</v>
      </c>
      <c r="AJ130" s="36">
        <v>13200.3</v>
      </c>
      <c r="AK130" s="28">
        <f t="shared" si="44"/>
        <v>432330.89</v>
      </c>
      <c r="AL130" s="28">
        <f t="shared" si="45"/>
        <v>66121.149999999994</v>
      </c>
      <c r="AM130" s="29">
        <f t="shared" si="46"/>
        <v>0.1664154040825451</v>
      </c>
    </row>
    <row r="131" spans="1:39" ht="192" customHeight="1" x14ac:dyDescent="0.25">
      <c r="A131" s="10">
        <v>128</v>
      </c>
      <c r="B131" s="37">
        <v>128765</v>
      </c>
      <c r="C131" s="20">
        <v>633</v>
      </c>
      <c r="D131" s="15" t="s">
        <v>31</v>
      </c>
      <c r="E131" s="14" t="s">
        <v>79</v>
      </c>
      <c r="F131" s="15" t="s">
        <v>493</v>
      </c>
      <c r="G131" s="15" t="s">
        <v>494</v>
      </c>
      <c r="H131" s="15" t="s">
        <v>132</v>
      </c>
      <c r="I131" s="16" t="s">
        <v>495</v>
      </c>
      <c r="J131" s="30">
        <v>43647</v>
      </c>
      <c r="K131" s="30">
        <v>44501</v>
      </c>
      <c r="L131" s="31">
        <f>R131/AD131*100</f>
        <v>85.000000191241938</v>
      </c>
      <c r="M131" s="20">
        <v>7</v>
      </c>
      <c r="N131" s="19" t="s">
        <v>487</v>
      </c>
      <c r="O131" s="19" t="s">
        <v>496</v>
      </c>
      <c r="P131" s="32" t="s">
        <v>39</v>
      </c>
      <c r="Q131" s="20" t="s">
        <v>40</v>
      </c>
      <c r="R131" s="85">
        <f t="shared" si="73"/>
        <v>2222316.08</v>
      </c>
      <c r="S131" s="35">
        <v>2222316.08</v>
      </c>
      <c r="T131" s="41">
        <v>0</v>
      </c>
      <c r="U131" s="33">
        <f t="shared" si="69"/>
        <v>339883.63</v>
      </c>
      <c r="V131" s="41">
        <v>339883.63</v>
      </c>
      <c r="W131" s="41">
        <v>0</v>
      </c>
      <c r="X131" s="33">
        <f t="shared" si="70"/>
        <v>52289.79</v>
      </c>
      <c r="Y131" s="35">
        <v>52289.79</v>
      </c>
      <c r="Z131" s="35">
        <v>0</v>
      </c>
      <c r="AA131" s="2">
        <f>AB131+AC131</f>
        <v>0</v>
      </c>
      <c r="AB131" s="41">
        <v>0</v>
      </c>
      <c r="AC131" s="41">
        <v>0</v>
      </c>
      <c r="AD131" s="2">
        <f>R131+U131+X131+AA131</f>
        <v>2614489.5</v>
      </c>
      <c r="AE131" s="2">
        <v>0</v>
      </c>
      <c r="AF131" s="2">
        <f>AD131+AE131</f>
        <v>2614489.5</v>
      </c>
      <c r="AG131" s="39" t="s">
        <v>69</v>
      </c>
      <c r="AH131" s="39"/>
      <c r="AI131" s="35">
        <v>57017.37</v>
      </c>
      <c r="AJ131" s="36">
        <f>8135.13</f>
        <v>8135.13</v>
      </c>
      <c r="AK131" s="28">
        <f t="shared" si="44"/>
        <v>2165298.71</v>
      </c>
      <c r="AL131" s="28">
        <f t="shared" si="45"/>
        <v>331748.5</v>
      </c>
      <c r="AM131" s="29">
        <f t="shared" si="46"/>
        <v>2.565673286223083E-2</v>
      </c>
    </row>
    <row r="132" spans="1:39" ht="192" customHeight="1" x14ac:dyDescent="0.25">
      <c r="A132" s="10">
        <v>129</v>
      </c>
      <c r="B132" s="37">
        <v>129281</v>
      </c>
      <c r="C132" s="20">
        <v>658</v>
      </c>
      <c r="D132" s="15" t="s">
        <v>31</v>
      </c>
      <c r="E132" s="14" t="s">
        <v>79</v>
      </c>
      <c r="F132" s="15" t="s">
        <v>497</v>
      </c>
      <c r="G132" s="15" t="s">
        <v>498</v>
      </c>
      <c r="H132" s="15" t="s">
        <v>132</v>
      </c>
      <c r="I132" s="16" t="s">
        <v>499</v>
      </c>
      <c r="J132" s="30">
        <v>43710</v>
      </c>
      <c r="K132" s="30">
        <v>44532</v>
      </c>
      <c r="L132" s="31">
        <f>R132/AD132*100</f>
        <v>85.000000187352825</v>
      </c>
      <c r="M132" s="20">
        <v>7</v>
      </c>
      <c r="N132" s="19" t="s">
        <v>487</v>
      </c>
      <c r="O132" s="19" t="s">
        <v>488</v>
      </c>
      <c r="P132" s="32" t="s">
        <v>39</v>
      </c>
      <c r="Q132" s="20" t="s">
        <v>40</v>
      </c>
      <c r="R132" s="85">
        <f t="shared" si="73"/>
        <v>2495291.94</v>
      </c>
      <c r="S132" s="35">
        <v>2495291.94</v>
      </c>
      <c r="T132" s="41">
        <v>0</v>
      </c>
      <c r="U132" s="33">
        <f t="shared" si="69"/>
        <v>381632.89</v>
      </c>
      <c r="V132" s="41">
        <v>381632.89</v>
      </c>
      <c r="W132" s="41">
        <v>0</v>
      </c>
      <c r="X132" s="33">
        <f t="shared" si="70"/>
        <v>58712.74</v>
      </c>
      <c r="Y132" s="35">
        <v>58712.74</v>
      </c>
      <c r="Z132" s="35">
        <v>0</v>
      </c>
      <c r="AA132" s="2">
        <f>AB132+AC132</f>
        <v>0</v>
      </c>
      <c r="AB132" s="41">
        <v>0</v>
      </c>
      <c r="AC132" s="41">
        <v>0</v>
      </c>
      <c r="AD132" s="2">
        <f>R132+U132+X132+AA132</f>
        <v>2935637.5700000003</v>
      </c>
      <c r="AE132" s="2">
        <v>0</v>
      </c>
      <c r="AF132" s="2">
        <f>AD132+AE132</f>
        <v>2935637.5700000003</v>
      </c>
      <c r="AG132" s="39" t="s">
        <v>69</v>
      </c>
      <c r="AH132" s="39"/>
      <c r="AI132" s="35">
        <v>505.75</v>
      </c>
      <c r="AJ132" s="36">
        <v>77.349999999999994</v>
      </c>
      <c r="AK132" s="28">
        <f t="shared" si="44"/>
        <v>2494786.19</v>
      </c>
      <c r="AL132" s="28">
        <f t="shared" si="45"/>
        <v>381555.54000000004</v>
      </c>
      <c r="AM132" s="29">
        <f t="shared" si="46"/>
        <v>2.0268169503244579E-4</v>
      </c>
    </row>
    <row r="133" spans="1:39" ht="192" customHeight="1" x14ac:dyDescent="0.25">
      <c r="A133" s="10">
        <v>130</v>
      </c>
      <c r="B133" s="37">
        <v>120617</v>
      </c>
      <c r="C133" s="20">
        <v>79</v>
      </c>
      <c r="D133" s="15" t="s">
        <v>31</v>
      </c>
      <c r="E133" s="14" t="s">
        <v>32</v>
      </c>
      <c r="F133" s="63" t="s">
        <v>500</v>
      </c>
      <c r="G133" s="40" t="s">
        <v>501</v>
      </c>
      <c r="H133" s="20" t="s">
        <v>35</v>
      </c>
      <c r="I133" s="16" t="s">
        <v>502</v>
      </c>
      <c r="J133" s="30">
        <v>43145</v>
      </c>
      <c r="K133" s="30">
        <v>43630</v>
      </c>
      <c r="L133" s="31">
        <f t="shared" ref="L133:L150" si="74">R133/AD133*100</f>
        <v>84.999999644441075</v>
      </c>
      <c r="M133" s="20">
        <v>5</v>
      </c>
      <c r="N133" s="20" t="s">
        <v>503</v>
      </c>
      <c r="O133" s="20" t="s">
        <v>504</v>
      </c>
      <c r="P133" s="32" t="s">
        <v>39</v>
      </c>
      <c r="Q133" s="20" t="s">
        <v>40</v>
      </c>
      <c r="R133" s="2">
        <f t="shared" si="73"/>
        <v>358590.34</v>
      </c>
      <c r="S133" s="64">
        <v>358590.34</v>
      </c>
      <c r="T133" s="2">
        <v>0</v>
      </c>
      <c r="U133" s="33">
        <f t="shared" si="69"/>
        <v>54843.23</v>
      </c>
      <c r="V133" s="64">
        <v>54843.23</v>
      </c>
      <c r="W133" s="33">
        <v>0</v>
      </c>
      <c r="X133" s="33">
        <f t="shared" si="70"/>
        <v>8437.42</v>
      </c>
      <c r="Y133" s="64">
        <v>8437.42</v>
      </c>
      <c r="Z133" s="33">
        <v>0</v>
      </c>
      <c r="AA133" s="2">
        <f t="shared" ref="AA133:AA143" si="75">AB133+AC133</f>
        <v>0</v>
      </c>
      <c r="AB133" s="2">
        <v>0</v>
      </c>
      <c r="AC133" s="2">
        <v>0</v>
      </c>
      <c r="AD133" s="2">
        <f t="shared" ref="AD133:AD143" si="76">R133+U133+X133+AA133</f>
        <v>421870.99</v>
      </c>
      <c r="AE133" s="2">
        <v>0</v>
      </c>
      <c r="AF133" s="2">
        <f t="shared" ref="AF133:AF150" si="77">AD133+AE133</f>
        <v>421870.99</v>
      </c>
      <c r="AG133" s="24" t="s">
        <v>41</v>
      </c>
      <c r="AH133" s="34" t="s">
        <v>35</v>
      </c>
      <c r="AI133" s="35">
        <v>257973.22999999998</v>
      </c>
      <c r="AJ133" s="36">
        <v>39454.700000000004</v>
      </c>
      <c r="AK133" s="28">
        <f t="shared" ref="AK133:AK196" si="78">R133-AI133</f>
        <v>100617.11000000004</v>
      </c>
      <c r="AL133" s="28">
        <f t="shared" ref="AL133:AL196" si="79">U133-AJ133</f>
        <v>15388.529999999999</v>
      </c>
      <c r="AM133" s="29">
        <f t="shared" ref="AM133:AM196" si="80">AI133/R133</f>
        <v>0.71940931258772889</v>
      </c>
    </row>
    <row r="134" spans="1:39" ht="192" customHeight="1" x14ac:dyDescent="0.25">
      <c r="A134" s="10">
        <v>131</v>
      </c>
      <c r="B134" s="37">
        <v>118193</v>
      </c>
      <c r="C134" s="20">
        <v>424</v>
      </c>
      <c r="D134" s="15" t="s">
        <v>54</v>
      </c>
      <c r="E134" s="14" t="s">
        <v>55</v>
      </c>
      <c r="F134" s="63" t="s">
        <v>505</v>
      </c>
      <c r="G134" s="40" t="s">
        <v>506</v>
      </c>
      <c r="H134" s="20" t="s">
        <v>35</v>
      </c>
      <c r="I134" s="15" t="s">
        <v>507</v>
      </c>
      <c r="J134" s="30">
        <v>43285</v>
      </c>
      <c r="K134" s="30">
        <v>43773</v>
      </c>
      <c r="L134" s="31">
        <f t="shared" si="74"/>
        <v>85.000000000000014</v>
      </c>
      <c r="M134" s="20">
        <v>5</v>
      </c>
      <c r="N134" s="20" t="s">
        <v>508</v>
      </c>
      <c r="O134" s="20" t="s">
        <v>509</v>
      </c>
      <c r="P134" s="20" t="s">
        <v>39</v>
      </c>
      <c r="Q134" s="20" t="s">
        <v>40</v>
      </c>
      <c r="R134" s="2">
        <v>239111.8</v>
      </c>
      <c r="S134" s="41">
        <v>239111.8</v>
      </c>
      <c r="T134" s="41">
        <v>0</v>
      </c>
      <c r="U134" s="33">
        <f t="shared" si="69"/>
        <v>36570.04</v>
      </c>
      <c r="V134" s="41">
        <v>36570.04</v>
      </c>
      <c r="W134" s="41"/>
      <c r="X134" s="33">
        <f t="shared" si="70"/>
        <v>5626.16</v>
      </c>
      <c r="Y134" s="35">
        <v>5626.16</v>
      </c>
      <c r="Z134" s="35">
        <v>0</v>
      </c>
      <c r="AA134" s="2">
        <f t="shared" si="75"/>
        <v>0</v>
      </c>
      <c r="AB134" s="2">
        <v>0</v>
      </c>
      <c r="AC134" s="2">
        <v>0</v>
      </c>
      <c r="AD134" s="2">
        <f t="shared" si="76"/>
        <v>281307.99999999994</v>
      </c>
      <c r="AE134" s="39"/>
      <c r="AF134" s="2">
        <f t="shared" si="77"/>
        <v>281307.99999999994</v>
      </c>
      <c r="AG134" s="24" t="s">
        <v>41</v>
      </c>
      <c r="AH134" s="39"/>
      <c r="AI134" s="35">
        <v>185666.26</v>
      </c>
      <c r="AJ134" s="36">
        <v>28396.000000000004</v>
      </c>
      <c r="AK134" s="28">
        <f t="shared" si="78"/>
        <v>53445.539999999979</v>
      </c>
      <c r="AL134" s="28">
        <f t="shared" si="79"/>
        <v>8174.0399999999972</v>
      </c>
      <c r="AM134" s="29">
        <f t="shared" si="80"/>
        <v>0.77648305102466719</v>
      </c>
    </row>
    <row r="135" spans="1:39" ht="192" customHeight="1" x14ac:dyDescent="0.25">
      <c r="A135" s="10">
        <v>132</v>
      </c>
      <c r="B135" s="37">
        <v>117483</v>
      </c>
      <c r="C135" s="37">
        <v>412</v>
      </c>
      <c r="D135" s="15" t="s">
        <v>54</v>
      </c>
      <c r="E135" s="14" t="s">
        <v>55</v>
      </c>
      <c r="F135" s="63" t="s">
        <v>510</v>
      </c>
      <c r="G135" s="81" t="s">
        <v>501</v>
      </c>
      <c r="H135" s="20" t="s">
        <v>35</v>
      </c>
      <c r="I135" s="15" t="s">
        <v>511</v>
      </c>
      <c r="J135" s="30">
        <v>43314</v>
      </c>
      <c r="K135" s="30">
        <v>43679</v>
      </c>
      <c r="L135" s="31">
        <f t="shared" si="74"/>
        <v>85.000000000000014</v>
      </c>
      <c r="M135" s="20">
        <v>5</v>
      </c>
      <c r="N135" s="20" t="s">
        <v>508</v>
      </c>
      <c r="O135" s="20" t="s">
        <v>504</v>
      </c>
      <c r="P135" s="32" t="s">
        <v>39</v>
      </c>
      <c r="Q135" s="20" t="s">
        <v>40</v>
      </c>
      <c r="R135" s="2">
        <v>242732.46</v>
      </c>
      <c r="S135" s="52">
        <f>R135</f>
        <v>242732.46</v>
      </c>
      <c r="T135" s="2">
        <v>0</v>
      </c>
      <c r="U135" s="33">
        <f t="shared" si="69"/>
        <v>37123.78</v>
      </c>
      <c r="V135" s="52">
        <v>37123.78</v>
      </c>
      <c r="W135" s="33">
        <v>0</v>
      </c>
      <c r="X135" s="33">
        <f t="shared" si="70"/>
        <v>5711.36</v>
      </c>
      <c r="Y135" s="52">
        <v>5711.36</v>
      </c>
      <c r="Z135" s="33">
        <v>0</v>
      </c>
      <c r="AA135" s="2">
        <f t="shared" si="75"/>
        <v>0</v>
      </c>
      <c r="AB135" s="2">
        <v>0</v>
      </c>
      <c r="AC135" s="2">
        <v>0</v>
      </c>
      <c r="AD135" s="2">
        <f t="shared" si="76"/>
        <v>285567.59999999998</v>
      </c>
      <c r="AE135" s="2">
        <v>0</v>
      </c>
      <c r="AF135" s="2">
        <f t="shared" si="77"/>
        <v>285567.59999999998</v>
      </c>
      <c r="AG135" s="24" t="s">
        <v>41</v>
      </c>
      <c r="AH135" s="34" t="s">
        <v>35</v>
      </c>
      <c r="AI135" s="35">
        <v>231572.1</v>
      </c>
      <c r="AJ135" s="36">
        <v>35416.890000000014</v>
      </c>
      <c r="AK135" s="28">
        <f t="shared" si="78"/>
        <v>11160.359999999986</v>
      </c>
      <c r="AL135" s="28">
        <f t="shared" si="79"/>
        <v>1706.8899999999849</v>
      </c>
      <c r="AM135" s="29">
        <f t="shared" si="80"/>
        <v>0.95402197135067968</v>
      </c>
    </row>
    <row r="136" spans="1:39" ht="192" customHeight="1" x14ac:dyDescent="0.25">
      <c r="A136" s="10">
        <v>133</v>
      </c>
      <c r="B136" s="37">
        <v>126237</v>
      </c>
      <c r="C136" s="20">
        <v>529</v>
      </c>
      <c r="D136" s="15" t="s">
        <v>31</v>
      </c>
      <c r="E136" s="14" t="s">
        <v>65</v>
      </c>
      <c r="F136" s="15" t="s">
        <v>512</v>
      </c>
      <c r="G136" s="15" t="s">
        <v>513</v>
      </c>
      <c r="H136" s="20" t="s">
        <v>35</v>
      </c>
      <c r="I136" s="55" t="s">
        <v>514</v>
      </c>
      <c r="J136" s="30">
        <v>43446</v>
      </c>
      <c r="K136" s="30">
        <v>44177</v>
      </c>
      <c r="L136" s="31">
        <f t="shared" si="74"/>
        <v>85.000000000000014</v>
      </c>
      <c r="M136" s="20">
        <v>5</v>
      </c>
      <c r="N136" s="20" t="s">
        <v>508</v>
      </c>
      <c r="O136" s="20" t="s">
        <v>508</v>
      </c>
      <c r="P136" s="32" t="s">
        <v>39</v>
      </c>
      <c r="Q136" s="20" t="s">
        <v>40</v>
      </c>
      <c r="R136" s="2">
        <f t="shared" ref="R136:R149" si="81">S136+T136</f>
        <v>2072800.65</v>
      </c>
      <c r="S136" s="64">
        <v>2072800.65</v>
      </c>
      <c r="T136" s="2">
        <v>0</v>
      </c>
      <c r="U136" s="33">
        <f t="shared" si="69"/>
        <v>317016.56999999995</v>
      </c>
      <c r="V136" s="2">
        <v>317016.56999999995</v>
      </c>
      <c r="W136" s="2">
        <v>0</v>
      </c>
      <c r="X136" s="33">
        <f t="shared" si="70"/>
        <v>48771.78</v>
      </c>
      <c r="Y136" s="2">
        <v>48771.78</v>
      </c>
      <c r="Z136" s="2">
        <v>0</v>
      </c>
      <c r="AA136" s="2">
        <f t="shared" si="75"/>
        <v>0</v>
      </c>
      <c r="AB136" s="2">
        <v>0</v>
      </c>
      <c r="AC136" s="2">
        <v>0</v>
      </c>
      <c r="AD136" s="2">
        <f t="shared" si="76"/>
        <v>2438588.9999999995</v>
      </c>
      <c r="AE136" s="2">
        <v>0</v>
      </c>
      <c r="AF136" s="2">
        <f t="shared" si="77"/>
        <v>2438588.9999999995</v>
      </c>
      <c r="AG136" s="39" t="s">
        <v>69</v>
      </c>
      <c r="AH136" s="34" t="s">
        <v>35</v>
      </c>
      <c r="AI136" s="35">
        <v>1135968.5599999998</v>
      </c>
      <c r="AJ136" s="36">
        <v>173736.37000000002</v>
      </c>
      <c r="AK136" s="28">
        <f t="shared" si="78"/>
        <v>936832.09000000008</v>
      </c>
      <c r="AL136" s="28">
        <f t="shared" si="79"/>
        <v>143280.19999999992</v>
      </c>
      <c r="AM136" s="29">
        <f t="shared" si="80"/>
        <v>0.54803560583599775</v>
      </c>
    </row>
    <row r="137" spans="1:39" ht="192" customHeight="1" x14ac:dyDescent="0.25">
      <c r="A137" s="10">
        <v>134</v>
      </c>
      <c r="B137" s="37">
        <v>126422</v>
      </c>
      <c r="C137" s="20">
        <v>536</v>
      </c>
      <c r="D137" s="15" t="s">
        <v>31</v>
      </c>
      <c r="E137" s="14" t="s">
        <v>65</v>
      </c>
      <c r="F137" s="15" t="s">
        <v>515</v>
      </c>
      <c r="G137" s="19" t="s">
        <v>506</v>
      </c>
      <c r="H137" s="32" t="s">
        <v>516</v>
      </c>
      <c r="I137" s="55" t="s">
        <v>517</v>
      </c>
      <c r="J137" s="30">
        <v>43556</v>
      </c>
      <c r="K137" s="30">
        <v>44470</v>
      </c>
      <c r="L137" s="31">
        <f t="shared" si="74"/>
        <v>84.449828692364051</v>
      </c>
      <c r="M137" s="20">
        <v>5</v>
      </c>
      <c r="N137" s="20" t="s">
        <v>508</v>
      </c>
      <c r="O137" s="20" t="s">
        <v>509</v>
      </c>
      <c r="P137" s="32" t="s">
        <v>39</v>
      </c>
      <c r="Q137" s="20" t="s">
        <v>40</v>
      </c>
      <c r="R137" s="2">
        <f t="shared" si="81"/>
        <v>3195443.02</v>
      </c>
      <c r="S137" s="35">
        <v>3195443.02</v>
      </c>
      <c r="T137" s="35">
        <v>0</v>
      </c>
      <c r="U137" s="33">
        <f t="shared" si="69"/>
        <v>512716.26</v>
      </c>
      <c r="V137" s="35">
        <v>512716.26</v>
      </c>
      <c r="W137" s="2">
        <v>0</v>
      </c>
      <c r="X137" s="33">
        <f t="shared" si="70"/>
        <v>51185.440000000002</v>
      </c>
      <c r="Y137" s="35">
        <v>51185.440000000002</v>
      </c>
      <c r="Z137" s="35">
        <v>0</v>
      </c>
      <c r="AA137" s="2">
        <f t="shared" si="75"/>
        <v>24491.279999999999</v>
      </c>
      <c r="AB137" s="35">
        <v>24491.279999999999</v>
      </c>
      <c r="AC137" s="41">
        <v>0</v>
      </c>
      <c r="AD137" s="2">
        <f t="shared" si="76"/>
        <v>3783836</v>
      </c>
      <c r="AE137" s="2">
        <v>0</v>
      </c>
      <c r="AF137" s="2">
        <f t="shared" si="77"/>
        <v>3783836</v>
      </c>
      <c r="AG137" s="39" t="s">
        <v>69</v>
      </c>
      <c r="AH137" s="34" t="s">
        <v>518</v>
      </c>
      <c r="AI137" s="35">
        <v>313498.69999999995</v>
      </c>
      <c r="AJ137" s="36">
        <v>32621.050000000003</v>
      </c>
      <c r="AK137" s="28">
        <f t="shared" si="78"/>
        <v>2881944.3200000003</v>
      </c>
      <c r="AL137" s="28">
        <f t="shared" si="79"/>
        <v>480095.21</v>
      </c>
      <c r="AM137" s="29">
        <f t="shared" si="80"/>
        <v>9.8108055139096165E-2</v>
      </c>
    </row>
    <row r="138" spans="1:39" ht="192" customHeight="1" x14ac:dyDescent="0.25">
      <c r="A138" s="10">
        <v>135</v>
      </c>
      <c r="B138" s="37">
        <v>127741</v>
      </c>
      <c r="C138" s="20">
        <v>642</v>
      </c>
      <c r="D138" s="15" t="s">
        <v>31</v>
      </c>
      <c r="E138" s="14" t="s">
        <v>79</v>
      </c>
      <c r="F138" s="15" t="s">
        <v>519</v>
      </c>
      <c r="G138" s="19" t="s">
        <v>520</v>
      </c>
      <c r="H138" s="32" t="s">
        <v>35</v>
      </c>
      <c r="I138" s="55" t="s">
        <v>521</v>
      </c>
      <c r="J138" s="30">
        <v>43622</v>
      </c>
      <c r="K138" s="30">
        <v>44353</v>
      </c>
      <c r="L138" s="31">
        <f t="shared" si="74"/>
        <v>85.000000180308987</v>
      </c>
      <c r="M138" s="20">
        <v>5</v>
      </c>
      <c r="N138" s="20" t="s">
        <v>508</v>
      </c>
      <c r="O138" s="20" t="s">
        <v>522</v>
      </c>
      <c r="P138" s="32" t="s">
        <v>39</v>
      </c>
      <c r="Q138" s="20" t="s">
        <v>40</v>
      </c>
      <c r="R138" s="2">
        <f t="shared" si="81"/>
        <v>2357064.88</v>
      </c>
      <c r="S138" s="35">
        <v>2357064.88</v>
      </c>
      <c r="T138" s="35">
        <v>0</v>
      </c>
      <c r="U138" s="33">
        <f t="shared" si="69"/>
        <v>360492.27</v>
      </c>
      <c r="V138" s="35">
        <v>360492.27</v>
      </c>
      <c r="W138" s="41">
        <v>0</v>
      </c>
      <c r="X138" s="33">
        <f t="shared" si="70"/>
        <v>55460.35</v>
      </c>
      <c r="Y138" s="35">
        <v>55460.35</v>
      </c>
      <c r="Z138" s="35">
        <v>0</v>
      </c>
      <c r="AA138" s="2">
        <f t="shared" si="75"/>
        <v>0</v>
      </c>
      <c r="AB138" s="35"/>
      <c r="AC138" s="41">
        <v>0</v>
      </c>
      <c r="AD138" s="2">
        <f t="shared" si="76"/>
        <v>2773017.5</v>
      </c>
      <c r="AE138" s="2">
        <v>1</v>
      </c>
      <c r="AF138" s="2">
        <f t="shared" si="77"/>
        <v>2773018.5</v>
      </c>
      <c r="AG138" s="39" t="s">
        <v>69</v>
      </c>
      <c r="AH138" s="34"/>
      <c r="AI138" s="35">
        <v>128349.05</v>
      </c>
      <c r="AJ138" s="36">
        <f>3984.43+5415.15+10230.27</f>
        <v>19629.849999999999</v>
      </c>
      <c r="AK138" s="28">
        <f t="shared" si="78"/>
        <v>2228715.83</v>
      </c>
      <c r="AL138" s="28">
        <f t="shared" si="79"/>
        <v>340862.42000000004</v>
      </c>
      <c r="AM138" s="29">
        <f t="shared" si="80"/>
        <v>5.4452913489593892E-2</v>
      </c>
    </row>
    <row r="139" spans="1:39" ht="192" customHeight="1" x14ac:dyDescent="0.25">
      <c r="A139" s="10">
        <v>136</v>
      </c>
      <c r="B139" s="37">
        <v>128531</v>
      </c>
      <c r="C139" s="20">
        <v>643</v>
      </c>
      <c r="D139" s="15" t="s">
        <v>31</v>
      </c>
      <c r="E139" s="14" t="s">
        <v>79</v>
      </c>
      <c r="F139" s="15" t="s">
        <v>523</v>
      </c>
      <c r="G139" s="19" t="s">
        <v>524</v>
      </c>
      <c r="H139" s="32" t="s">
        <v>35</v>
      </c>
      <c r="I139" s="55" t="s">
        <v>525</v>
      </c>
      <c r="J139" s="30">
        <v>43634</v>
      </c>
      <c r="K139" s="30">
        <v>44365</v>
      </c>
      <c r="L139" s="31">
        <f t="shared" si="74"/>
        <v>85</v>
      </c>
      <c r="M139" s="20">
        <v>5</v>
      </c>
      <c r="N139" s="20" t="s">
        <v>508</v>
      </c>
      <c r="O139" s="20" t="s">
        <v>526</v>
      </c>
      <c r="P139" s="32" t="s">
        <v>39</v>
      </c>
      <c r="Q139" s="20" t="s">
        <v>40</v>
      </c>
      <c r="R139" s="2">
        <f t="shared" si="81"/>
        <v>2728625.8</v>
      </c>
      <c r="S139" s="35">
        <v>2728625.8</v>
      </c>
      <c r="T139" s="35">
        <v>0</v>
      </c>
      <c r="U139" s="33">
        <f t="shared" si="69"/>
        <v>417319.24</v>
      </c>
      <c r="V139" s="35">
        <v>417319.24</v>
      </c>
      <c r="W139" s="41">
        <v>0</v>
      </c>
      <c r="X139" s="33">
        <f t="shared" si="70"/>
        <v>64202.96</v>
      </c>
      <c r="Y139" s="35">
        <v>64202.96</v>
      </c>
      <c r="Z139" s="35">
        <v>0</v>
      </c>
      <c r="AA139" s="2">
        <f t="shared" si="75"/>
        <v>0</v>
      </c>
      <c r="AB139" s="2">
        <v>0</v>
      </c>
      <c r="AC139" s="2">
        <v>0</v>
      </c>
      <c r="AD139" s="2">
        <f t="shared" si="76"/>
        <v>3210148</v>
      </c>
      <c r="AE139" s="2"/>
      <c r="AF139" s="2">
        <f t="shared" si="77"/>
        <v>3210148</v>
      </c>
      <c r="AG139" s="39" t="s">
        <v>69</v>
      </c>
      <c r="AH139" s="34"/>
      <c r="AI139" s="35">
        <v>217687.62</v>
      </c>
      <c r="AJ139" s="36">
        <v>32312.38</v>
      </c>
      <c r="AK139" s="28">
        <f t="shared" si="78"/>
        <v>2510938.1799999997</v>
      </c>
      <c r="AL139" s="28">
        <f t="shared" si="79"/>
        <v>385006.86</v>
      </c>
      <c r="AM139" s="29">
        <f t="shared" si="80"/>
        <v>7.9779213404784194E-2</v>
      </c>
    </row>
    <row r="140" spans="1:39" ht="192" customHeight="1" x14ac:dyDescent="0.25">
      <c r="A140" s="10">
        <v>137</v>
      </c>
      <c r="B140" s="37">
        <v>129575</v>
      </c>
      <c r="C140" s="20">
        <v>659</v>
      </c>
      <c r="D140" s="15" t="s">
        <v>31</v>
      </c>
      <c r="E140" s="14" t="s">
        <v>79</v>
      </c>
      <c r="F140" s="15" t="s">
        <v>527</v>
      </c>
      <c r="G140" s="19" t="s">
        <v>528</v>
      </c>
      <c r="H140" s="32" t="s">
        <v>35</v>
      </c>
      <c r="I140" s="55" t="s">
        <v>529</v>
      </c>
      <c r="J140" s="30">
        <v>43640</v>
      </c>
      <c r="K140" s="30">
        <v>44371</v>
      </c>
      <c r="L140" s="31">
        <f t="shared" si="74"/>
        <v>85</v>
      </c>
      <c r="M140" s="20">
        <v>5</v>
      </c>
      <c r="N140" s="20" t="s">
        <v>508</v>
      </c>
      <c r="O140" s="20" t="s">
        <v>530</v>
      </c>
      <c r="P140" s="32" t="s">
        <v>39</v>
      </c>
      <c r="Q140" s="20" t="s">
        <v>40</v>
      </c>
      <c r="R140" s="2">
        <f t="shared" si="81"/>
        <v>2733685.85</v>
      </c>
      <c r="S140" s="35">
        <v>2733685.85</v>
      </c>
      <c r="T140" s="35">
        <v>0</v>
      </c>
      <c r="U140" s="33">
        <f t="shared" si="69"/>
        <v>418093.13</v>
      </c>
      <c r="V140" s="35">
        <v>418093.13</v>
      </c>
      <c r="W140" s="38">
        <v>0</v>
      </c>
      <c r="X140" s="33">
        <f t="shared" si="70"/>
        <v>64322.02</v>
      </c>
      <c r="Y140" s="35">
        <v>64322.02</v>
      </c>
      <c r="Z140" s="35">
        <v>0</v>
      </c>
      <c r="AA140" s="2">
        <f t="shared" si="75"/>
        <v>0</v>
      </c>
      <c r="AB140" s="35">
        <v>0</v>
      </c>
      <c r="AC140" s="35">
        <v>0</v>
      </c>
      <c r="AD140" s="2">
        <f t="shared" si="76"/>
        <v>3216101</v>
      </c>
      <c r="AE140" s="2">
        <v>0</v>
      </c>
      <c r="AF140" s="2">
        <f t="shared" si="77"/>
        <v>3216101</v>
      </c>
      <c r="AG140" s="39" t="s">
        <v>69</v>
      </c>
      <c r="AH140" s="34"/>
      <c r="AI140" s="35">
        <v>303274.40999999997</v>
      </c>
      <c r="AJ140" s="36">
        <f>4724.46+3038.23+10572.9</f>
        <v>18335.59</v>
      </c>
      <c r="AK140" s="28">
        <f t="shared" si="78"/>
        <v>2430411.44</v>
      </c>
      <c r="AL140" s="28">
        <f t="shared" si="79"/>
        <v>399757.54</v>
      </c>
      <c r="AM140" s="29">
        <f t="shared" si="80"/>
        <v>0.11093974459428101</v>
      </c>
    </row>
    <row r="141" spans="1:39" ht="192" customHeight="1" x14ac:dyDescent="0.25">
      <c r="A141" s="10">
        <v>138</v>
      </c>
      <c r="B141" s="20">
        <v>128870</v>
      </c>
      <c r="C141" s="20">
        <v>668</v>
      </c>
      <c r="D141" s="15" t="s">
        <v>31</v>
      </c>
      <c r="E141" s="14" t="s">
        <v>79</v>
      </c>
      <c r="F141" s="15" t="s">
        <v>531</v>
      </c>
      <c r="G141" s="15" t="s">
        <v>501</v>
      </c>
      <c r="H141" s="20" t="s">
        <v>35</v>
      </c>
      <c r="I141" s="16" t="s">
        <v>532</v>
      </c>
      <c r="J141" s="30">
        <v>43697</v>
      </c>
      <c r="K141" s="30">
        <v>44428</v>
      </c>
      <c r="L141" s="31">
        <f t="shared" si="74"/>
        <v>85.000000000000014</v>
      </c>
      <c r="M141" s="20">
        <v>5</v>
      </c>
      <c r="N141" s="20" t="s">
        <v>508</v>
      </c>
      <c r="O141" s="20" t="s">
        <v>504</v>
      </c>
      <c r="P141" s="32" t="s">
        <v>39</v>
      </c>
      <c r="Q141" s="20" t="s">
        <v>40</v>
      </c>
      <c r="R141" s="33">
        <f t="shared" si="81"/>
        <v>2288366.6000000006</v>
      </c>
      <c r="S141" s="2">
        <v>2288366.6000000006</v>
      </c>
      <c r="T141" s="2">
        <v>0</v>
      </c>
      <c r="U141" s="33">
        <f t="shared" si="69"/>
        <v>349985.48</v>
      </c>
      <c r="V141" s="2">
        <v>349985.48</v>
      </c>
      <c r="W141" s="2">
        <v>0</v>
      </c>
      <c r="X141" s="33">
        <f t="shared" si="70"/>
        <v>53843.92</v>
      </c>
      <c r="Y141" s="2">
        <v>53843.92</v>
      </c>
      <c r="Z141" s="2">
        <v>0</v>
      </c>
      <c r="AA141" s="2">
        <f t="shared" si="75"/>
        <v>0</v>
      </c>
      <c r="AB141" s="2">
        <v>0</v>
      </c>
      <c r="AC141" s="2">
        <v>0</v>
      </c>
      <c r="AD141" s="2">
        <f t="shared" si="76"/>
        <v>2692196.0000000005</v>
      </c>
      <c r="AE141" s="2">
        <v>0</v>
      </c>
      <c r="AF141" s="2">
        <f t="shared" si="77"/>
        <v>2692196.0000000005</v>
      </c>
      <c r="AG141" s="39" t="s">
        <v>69</v>
      </c>
      <c r="AH141" s="34" t="s">
        <v>35</v>
      </c>
      <c r="AI141" s="35">
        <v>246216.09</v>
      </c>
      <c r="AJ141" s="36">
        <v>23002.91</v>
      </c>
      <c r="AK141" s="28">
        <f t="shared" si="78"/>
        <v>2042150.5100000005</v>
      </c>
      <c r="AL141" s="28">
        <f t="shared" si="79"/>
        <v>326982.57</v>
      </c>
      <c r="AM141" s="29">
        <f t="shared" si="80"/>
        <v>0.10759468784415921</v>
      </c>
    </row>
    <row r="142" spans="1:39" ht="192" customHeight="1" x14ac:dyDescent="0.25">
      <c r="A142" s="10">
        <v>139</v>
      </c>
      <c r="B142" s="20">
        <v>128738</v>
      </c>
      <c r="C142" s="20">
        <v>627</v>
      </c>
      <c r="D142" s="15" t="s">
        <v>31</v>
      </c>
      <c r="E142" s="14" t="s">
        <v>79</v>
      </c>
      <c r="F142" s="15" t="s">
        <v>533</v>
      </c>
      <c r="G142" s="15" t="s">
        <v>534</v>
      </c>
      <c r="H142" s="20" t="s">
        <v>35</v>
      </c>
      <c r="I142" s="16" t="s">
        <v>535</v>
      </c>
      <c r="J142" s="30">
        <v>43838</v>
      </c>
      <c r="K142" s="30">
        <v>44569</v>
      </c>
      <c r="L142" s="31">
        <f t="shared" si="74"/>
        <v>84.999999882123163</v>
      </c>
      <c r="M142" s="20">
        <v>5</v>
      </c>
      <c r="N142" s="20" t="s">
        <v>508</v>
      </c>
      <c r="O142" s="20" t="s">
        <v>536</v>
      </c>
      <c r="P142" s="32" t="s">
        <v>39</v>
      </c>
      <c r="Q142" s="20" t="s">
        <v>40</v>
      </c>
      <c r="R142" s="33">
        <f t="shared" si="81"/>
        <v>1802729.17</v>
      </c>
      <c r="S142" s="2">
        <v>1802729.17</v>
      </c>
      <c r="T142" s="2">
        <v>0</v>
      </c>
      <c r="U142" s="33">
        <f t="shared" si="69"/>
        <v>275711.53999999998</v>
      </c>
      <c r="V142" s="2">
        <v>275711.53999999998</v>
      </c>
      <c r="W142" s="2">
        <v>0</v>
      </c>
      <c r="X142" s="33">
        <f t="shared" si="70"/>
        <v>42417.14</v>
      </c>
      <c r="Y142" s="2">
        <v>42417.14</v>
      </c>
      <c r="Z142" s="2">
        <v>0</v>
      </c>
      <c r="AA142" s="2">
        <f t="shared" si="75"/>
        <v>0</v>
      </c>
      <c r="AB142" s="2">
        <v>0</v>
      </c>
      <c r="AC142" s="2">
        <v>0</v>
      </c>
      <c r="AD142" s="2">
        <f t="shared" si="76"/>
        <v>2120857.85</v>
      </c>
      <c r="AE142" s="2">
        <v>0</v>
      </c>
      <c r="AF142" s="2">
        <f t="shared" si="77"/>
        <v>2120857.85</v>
      </c>
      <c r="AG142" s="39" t="s">
        <v>69</v>
      </c>
      <c r="AH142" s="34" t="s">
        <v>35</v>
      </c>
      <c r="AI142" s="35">
        <v>112000</v>
      </c>
      <c r="AJ142" s="36">
        <v>0</v>
      </c>
      <c r="AK142" s="28">
        <f t="shared" si="78"/>
        <v>1690729.17</v>
      </c>
      <c r="AL142" s="28">
        <f t="shared" si="79"/>
        <v>275711.53999999998</v>
      </c>
      <c r="AM142" s="29">
        <f t="shared" si="80"/>
        <v>6.2128023368035926E-2</v>
      </c>
    </row>
    <row r="143" spans="1:39" ht="192" customHeight="1" x14ac:dyDescent="0.25">
      <c r="A143" s="10">
        <v>140</v>
      </c>
      <c r="B143" s="20">
        <v>135237</v>
      </c>
      <c r="C143" s="20">
        <v>793</v>
      </c>
      <c r="D143" s="46" t="s">
        <v>31</v>
      </c>
      <c r="E143" s="14" t="s">
        <v>1826</v>
      </c>
      <c r="F143" s="15" t="s">
        <v>1838</v>
      </c>
      <c r="G143" s="15" t="s">
        <v>506</v>
      </c>
      <c r="H143" s="20" t="s">
        <v>35</v>
      </c>
      <c r="I143" s="16" t="s">
        <v>1839</v>
      </c>
      <c r="J143" s="30">
        <v>43949</v>
      </c>
      <c r="K143" s="30">
        <v>44854</v>
      </c>
      <c r="L143" s="31">
        <f t="shared" si="74"/>
        <v>84.999999628092681</v>
      </c>
      <c r="M143" s="20">
        <v>5</v>
      </c>
      <c r="N143" s="20" t="s">
        <v>508</v>
      </c>
      <c r="O143" s="20" t="s">
        <v>509</v>
      </c>
      <c r="P143" s="32" t="s">
        <v>39</v>
      </c>
      <c r="Q143" s="20" t="s">
        <v>40</v>
      </c>
      <c r="R143" s="33">
        <f t="shared" si="81"/>
        <v>2399791.5</v>
      </c>
      <c r="S143" s="2">
        <v>2399791.5</v>
      </c>
      <c r="T143" s="2">
        <v>0</v>
      </c>
      <c r="U143" s="33">
        <f t="shared" si="69"/>
        <v>367026.95</v>
      </c>
      <c r="V143" s="2">
        <v>367026.95</v>
      </c>
      <c r="W143" s="2">
        <v>0</v>
      </c>
      <c r="X143" s="33">
        <f t="shared" si="70"/>
        <v>56465.68</v>
      </c>
      <c r="Y143" s="2">
        <v>56465.68</v>
      </c>
      <c r="Z143" s="2">
        <v>0</v>
      </c>
      <c r="AA143" s="2">
        <f t="shared" si="75"/>
        <v>0</v>
      </c>
      <c r="AB143" s="2">
        <v>0</v>
      </c>
      <c r="AC143" s="2">
        <v>0</v>
      </c>
      <c r="AD143" s="2">
        <f t="shared" si="76"/>
        <v>2823284.1300000004</v>
      </c>
      <c r="AE143" s="2">
        <v>0</v>
      </c>
      <c r="AF143" s="2">
        <f t="shared" si="77"/>
        <v>2823284.1300000004</v>
      </c>
      <c r="AG143" s="39" t="s">
        <v>69</v>
      </c>
      <c r="AH143" s="34" t="s">
        <v>35</v>
      </c>
      <c r="AI143" s="35">
        <v>0</v>
      </c>
      <c r="AJ143" s="36">
        <v>0</v>
      </c>
      <c r="AK143" s="28">
        <f t="shared" si="78"/>
        <v>2399791.5</v>
      </c>
      <c r="AL143" s="28">
        <f t="shared" si="79"/>
        <v>367026.95</v>
      </c>
      <c r="AM143" s="29">
        <f t="shared" si="80"/>
        <v>0</v>
      </c>
    </row>
    <row r="144" spans="1:39" ht="192" customHeight="1" x14ac:dyDescent="0.25">
      <c r="A144" s="10">
        <v>141</v>
      </c>
      <c r="B144" s="37">
        <v>120482</v>
      </c>
      <c r="C144" s="20">
        <v>68</v>
      </c>
      <c r="D144" s="15" t="s">
        <v>31</v>
      </c>
      <c r="E144" s="14" t="s">
        <v>32</v>
      </c>
      <c r="F144" s="15" t="s">
        <v>537</v>
      </c>
      <c r="G144" s="15" t="s">
        <v>538</v>
      </c>
      <c r="H144" s="20" t="s">
        <v>35</v>
      </c>
      <c r="I144" s="55" t="s">
        <v>539</v>
      </c>
      <c r="J144" s="30">
        <v>43145</v>
      </c>
      <c r="K144" s="30">
        <v>43630</v>
      </c>
      <c r="L144" s="31">
        <f t="shared" si="74"/>
        <v>85</v>
      </c>
      <c r="M144" s="20">
        <v>3</v>
      </c>
      <c r="N144" s="20" t="s">
        <v>540</v>
      </c>
      <c r="O144" s="20" t="s">
        <v>541</v>
      </c>
      <c r="P144" s="32" t="s">
        <v>39</v>
      </c>
      <c r="Q144" s="20" t="s">
        <v>40</v>
      </c>
      <c r="R144" s="2">
        <f t="shared" si="81"/>
        <v>508342.5</v>
      </c>
      <c r="S144" s="64">
        <v>508342.5</v>
      </c>
      <c r="T144" s="2">
        <v>0</v>
      </c>
      <c r="U144" s="33">
        <f t="shared" si="69"/>
        <v>77746.5</v>
      </c>
      <c r="V144" s="2">
        <v>77746.5</v>
      </c>
      <c r="W144" s="2">
        <v>0</v>
      </c>
      <c r="X144" s="33">
        <f t="shared" si="70"/>
        <v>11961</v>
      </c>
      <c r="Y144" s="2">
        <v>11961</v>
      </c>
      <c r="Z144" s="2">
        <v>0</v>
      </c>
      <c r="AA144" s="2">
        <f>AB144+AC144</f>
        <v>0</v>
      </c>
      <c r="AB144" s="2">
        <v>0</v>
      </c>
      <c r="AC144" s="2">
        <v>0</v>
      </c>
      <c r="AD144" s="2">
        <f>R144+U144+X144+AA144</f>
        <v>598050</v>
      </c>
      <c r="AE144" s="2">
        <v>0</v>
      </c>
      <c r="AF144" s="2">
        <f t="shared" si="77"/>
        <v>598050</v>
      </c>
      <c r="AG144" s="24" t="s">
        <v>41</v>
      </c>
      <c r="AH144" s="34"/>
      <c r="AI144" s="35">
        <v>385296.94</v>
      </c>
      <c r="AJ144" s="36">
        <v>58927.729999999996</v>
      </c>
      <c r="AK144" s="28">
        <f t="shared" si="78"/>
        <v>123045.56</v>
      </c>
      <c r="AL144" s="28">
        <f t="shared" si="79"/>
        <v>18818.770000000004</v>
      </c>
      <c r="AM144" s="29">
        <f t="shared" si="80"/>
        <v>0.75794752553642475</v>
      </c>
    </row>
    <row r="145" spans="1:39" ht="192" customHeight="1" x14ac:dyDescent="0.25">
      <c r="A145" s="10">
        <v>142</v>
      </c>
      <c r="B145" s="37">
        <v>122108</v>
      </c>
      <c r="C145" s="20">
        <v>83</v>
      </c>
      <c r="D145" s="15" t="s">
        <v>31</v>
      </c>
      <c r="E145" s="14" t="s">
        <v>32</v>
      </c>
      <c r="F145" s="15" t="s">
        <v>542</v>
      </c>
      <c r="G145" s="15" t="s">
        <v>543</v>
      </c>
      <c r="H145" s="20" t="s">
        <v>35</v>
      </c>
      <c r="I145" s="55" t="s">
        <v>544</v>
      </c>
      <c r="J145" s="30">
        <v>43234</v>
      </c>
      <c r="K145" s="30">
        <v>43722</v>
      </c>
      <c r="L145" s="31">
        <f t="shared" si="74"/>
        <v>84.999995128143141</v>
      </c>
      <c r="M145" s="20">
        <v>3</v>
      </c>
      <c r="N145" s="20" t="s">
        <v>540</v>
      </c>
      <c r="O145" s="20" t="s">
        <v>545</v>
      </c>
      <c r="P145" s="32" t="s">
        <v>39</v>
      </c>
      <c r="Q145" s="20" t="s">
        <v>40</v>
      </c>
      <c r="R145" s="2">
        <f t="shared" si="81"/>
        <v>322772.19</v>
      </c>
      <c r="S145" s="52">
        <v>322772.19</v>
      </c>
      <c r="T145" s="100">
        <v>0</v>
      </c>
      <c r="U145" s="33">
        <f t="shared" si="69"/>
        <v>49365.18</v>
      </c>
      <c r="V145" s="2">
        <v>49365.18</v>
      </c>
      <c r="W145" s="2">
        <v>0</v>
      </c>
      <c r="X145" s="33">
        <f t="shared" si="70"/>
        <v>7594.64</v>
      </c>
      <c r="Y145" s="2">
        <v>7594.64</v>
      </c>
      <c r="Z145" s="2">
        <v>0</v>
      </c>
      <c r="AA145" s="2">
        <f>AB145+AC145</f>
        <v>0</v>
      </c>
      <c r="AB145" s="2">
        <v>0</v>
      </c>
      <c r="AC145" s="2">
        <v>0</v>
      </c>
      <c r="AD145" s="2">
        <v>379732.01</v>
      </c>
      <c r="AE145" s="2">
        <v>55635.199999999997</v>
      </c>
      <c r="AF145" s="2">
        <f t="shared" si="77"/>
        <v>435367.21</v>
      </c>
      <c r="AG145" s="24" t="s">
        <v>41</v>
      </c>
      <c r="AH145" s="34" t="s">
        <v>546</v>
      </c>
      <c r="AI145" s="35">
        <v>218039.20999999996</v>
      </c>
      <c r="AJ145" s="36">
        <v>33347.15</v>
      </c>
      <c r="AK145" s="28">
        <f t="shared" si="78"/>
        <v>104732.98000000004</v>
      </c>
      <c r="AL145" s="28">
        <f t="shared" si="79"/>
        <v>16018.029999999999</v>
      </c>
      <c r="AM145" s="29">
        <f t="shared" si="80"/>
        <v>0.67552043439677989</v>
      </c>
    </row>
    <row r="146" spans="1:39" ht="192" customHeight="1" x14ac:dyDescent="0.25">
      <c r="A146" s="10">
        <v>143</v>
      </c>
      <c r="B146" s="37">
        <v>118782</v>
      </c>
      <c r="C146" s="20">
        <v>444</v>
      </c>
      <c r="D146" s="15" t="s">
        <v>54</v>
      </c>
      <c r="E146" s="14" t="s">
        <v>55</v>
      </c>
      <c r="F146" s="15" t="s">
        <v>547</v>
      </c>
      <c r="G146" s="15" t="s">
        <v>548</v>
      </c>
      <c r="H146" s="20"/>
      <c r="I146" s="43" t="s">
        <v>549</v>
      </c>
      <c r="J146" s="30">
        <v>43304</v>
      </c>
      <c r="K146" s="30">
        <v>43792</v>
      </c>
      <c r="L146" s="31">
        <f t="shared" si="74"/>
        <v>85</v>
      </c>
      <c r="M146" s="20">
        <v>3</v>
      </c>
      <c r="N146" s="20" t="s">
        <v>540</v>
      </c>
      <c r="O146" s="20" t="s">
        <v>550</v>
      </c>
      <c r="P146" s="32" t="s">
        <v>39</v>
      </c>
      <c r="Q146" s="20" t="s">
        <v>40</v>
      </c>
      <c r="R146" s="2">
        <f t="shared" si="81"/>
        <v>242091.39</v>
      </c>
      <c r="S146" s="42">
        <v>242091.39</v>
      </c>
      <c r="T146" s="41">
        <v>0</v>
      </c>
      <c r="U146" s="33">
        <f t="shared" si="69"/>
        <v>37025.74</v>
      </c>
      <c r="V146" s="35">
        <v>37025.74</v>
      </c>
      <c r="W146" s="41">
        <v>0</v>
      </c>
      <c r="X146" s="33">
        <f t="shared" si="70"/>
        <v>5696.27</v>
      </c>
      <c r="Y146" s="35">
        <v>5696.27</v>
      </c>
      <c r="Z146" s="35">
        <v>0</v>
      </c>
      <c r="AA146" s="2">
        <f>AB146+AC146</f>
        <v>0</v>
      </c>
      <c r="AB146" s="38">
        <v>0</v>
      </c>
      <c r="AC146" s="38">
        <v>0</v>
      </c>
      <c r="AD146" s="2">
        <f>R146+U146+X146+AA146</f>
        <v>284813.40000000002</v>
      </c>
      <c r="AE146" s="35">
        <v>0</v>
      </c>
      <c r="AF146" s="2">
        <f t="shared" si="77"/>
        <v>284813.40000000002</v>
      </c>
      <c r="AG146" s="24" t="s">
        <v>41</v>
      </c>
      <c r="AH146" s="39" t="s">
        <v>551</v>
      </c>
      <c r="AI146" s="35">
        <v>218691.65000000002</v>
      </c>
      <c r="AJ146" s="36">
        <v>33446.97</v>
      </c>
      <c r="AK146" s="28">
        <f t="shared" si="78"/>
        <v>23399.739999999991</v>
      </c>
      <c r="AL146" s="28">
        <f t="shared" si="79"/>
        <v>3578.7699999999968</v>
      </c>
      <c r="AM146" s="29">
        <f t="shared" si="80"/>
        <v>0.90334336136448312</v>
      </c>
    </row>
    <row r="147" spans="1:39" ht="192" customHeight="1" x14ac:dyDescent="0.25">
      <c r="A147" s="10">
        <v>144</v>
      </c>
      <c r="B147" s="37">
        <v>118562</v>
      </c>
      <c r="C147" s="20">
        <v>430</v>
      </c>
      <c r="D147" s="15" t="s">
        <v>54</v>
      </c>
      <c r="E147" s="14" t="s">
        <v>55</v>
      </c>
      <c r="F147" s="15" t="s">
        <v>552</v>
      </c>
      <c r="G147" s="20" t="s">
        <v>553</v>
      </c>
      <c r="H147" s="20" t="s">
        <v>35</v>
      </c>
      <c r="I147" s="43" t="s">
        <v>554</v>
      </c>
      <c r="J147" s="30">
        <v>43318</v>
      </c>
      <c r="K147" s="30">
        <v>43683</v>
      </c>
      <c r="L147" s="31">
        <f t="shared" si="74"/>
        <v>85</v>
      </c>
      <c r="M147" s="20">
        <v>3</v>
      </c>
      <c r="N147" s="20" t="s">
        <v>540</v>
      </c>
      <c r="O147" s="20" t="s">
        <v>541</v>
      </c>
      <c r="P147" s="32" t="s">
        <v>39</v>
      </c>
      <c r="Q147" s="20" t="s">
        <v>40</v>
      </c>
      <c r="R147" s="2">
        <f t="shared" si="81"/>
        <v>244199.22</v>
      </c>
      <c r="S147" s="42">
        <v>244199.22</v>
      </c>
      <c r="T147" s="41">
        <v>0</v>
      </c>
      <c r="U147" s="33">
        <f t="shared" si="69"/>
        <v>37348.11</v>
      </c>
      <c r="V147" s="35">
        <v>37348.11</v>
      </c>
      <c r="W147" s="41">
        <v>0</v>
      </c>
      <c r="X147" s="33">
        <f t="shared" si="70"/>
        <v>5745.87</v>
      </c>
      <c r="Y147" s="35">
        <v>5745.87</v>
      </c>
      <c r="Z147" s="35">
        <v>0</v>
      </c>
      <c r="AA147" s="53"/>
      <c r="AB147" s="41">
        <v>0</v>
      </c>
      <c r="AC147" s="41">
        <v>0</v>
      </c>
      <c r="AD147" s="2">
        <f>R147+U147+X147+AA148</f>
        <v>287293.2</v>
      </c>
      <c r="AE147" s="39">
        <v>0</v>
      </c>
      <c r="AF147" s="2">
        <f t="shared" si="77"/>
        <v>287293.2</v>
      </c>
      <c r="AG147" s="24" t="s">
        <v>41</v>
      </c>
      <c r="AH147" s="39"/>
      <c r="AI147" s="35">
        <v>187221.18</v>
      </c>
      <c r="AJ147" s="36">
        <v>28633.829999999994</v>
      </c>
      <c r="AK147" s="28">
        <f t="shared" si="78"/>
        <v>56978.040000000008</v>
      </c>
      <c r="AL147" s="28">
        <f t="shared" si="79"/>
        <v>8714.2800000000061</v>
      </c>
      <c r="AM147" s="29">
        <f t="shared" si="80"/>
        <v>0.76667394760720364</v>
      </c>
    </row>
    <row r="148" spans="1:39" ht="192" customHeight="1" x14ac:dyDescent="0.25">
      <c r="A148" s="10">
        <v>145</v>
      </c>
      <c r="B148" s="37">
        <v>128788</v>
      </c>
      <c r="C148" s="20">
        <v>632</v>
      </c>
      <c r="D148" s="15" t="s">
        <v>31</v>
      </c>
      <c r="E148" s="14" t="s">
        <v>79</v>
      </c>
      <c r="F148" s="15" t="s">
        <v>555</v>
      </c>
      <c r="G148" s="20" t="s">
        <v>556</v>
      </c>
      <c r="H148" s="20" t="s">
        <v>35</v>
      </c>
      <c r="I148" s="43" t="s">
        <v>557</v>
      </c>
      <c r="J148" s="30">
        <v>43622</v>
      </c>
      <c r="K148" s="30">
        <v>44475</v>
      </c>
      <c r="L148" s="31">
        <f t="shared" si="74"/>
        <v>85.000000230035937</v>
      </c>
      <c r="M148" s="20">
        <v>3</v>
      </c>
      <c r="N148" s="20" t="s">
        <v>540</v>
      </c>
      <c r="O148" s="20" t="s">
        <v>558</v>
      </c>
      <c r="P148" s="32" t="s">
        <v>39</v>
      </c>
      <c r="Q148" s="20" t="s">
        <v>40</v>
      </c>
      <c r="R148" s="2">
        <f t="shared" si="81"/>
        <v>1847537.48</v>
      </c>
      <c r="S148" s="42">
        <v>1847537.48</v>
      </c>
      <c r="T148" s="41">
        <v>0</v>
      </c>
      <c r="U148" s="33">
        <f t="shared" si="69"/>
        <v>282564.55</v>
      </c>
      <c r="V148" s="35">
        <v>282564.55</v>
      </c>
      <c r="W148" s="41">
        <v>0</v>
      </c>
      <c r="X148" s="33">
        <f t="shared" si="70"/>
        <v>43471.47</v>
      </c>
      <c r="Y148" s="35">
        <v>43471.47</v>
      </c>
      <c r="Z148" s="35">
        <v>0</v>
      </c>
      <c r="AA148" s="35">
        <f t="shared" ref="AA148:AA160" si="82">AB148+AC148</f>
        <v>0</v>
      </c>
      <c r="AB148" s="41">
        <v>0</v>
      </c>
      <c r="AC148" s="41">
        <v>0</v>
      </c>
      <c r="AD148" s="2">
        <f>R148+U148+X148</f>
        <v>2173573.5</v>
      </c>
      <c r="AE148" s="39">
        <v>0</v>
      </c>
      <c r="AF148" s="2">
        <f t="shared" si="77"/>
        <v>2173573.5</v>
      </c>
      <c r="AG148" s="39" t="s">
        <v>69</v>
      </c>
      <c r="AH148" s="39"/>
      <c r="AI148" s="35">
        <v>159761.73000000001</v>
      </c>
      <c r="AJ148" s="36">
        <v>14235.89</v>
      </c>
      <c r="AK148" s="28">
        <f t="shared" si="78"/>
        <v>1687775.75</v>
      </c>
      <c r="AL148" s="28">
        <f t="shared" si="79"/>
        <v>268328.65999999997</v>
      </c>
      <c r="AM148" s="29">
        <f t="shared" si="80"/>
        <v>8.6472795128356483E-2</v>
      </c>
    </row>
    <row r="149" spans="1:39" ht="192" customHeight="1" x14ac:dyDescent="0.25">
      <c r="A149" s="10">
        <v>146</v>
      </c>
      <c r="B149" s="37">
        <v>129218</v>
      </c>
      <c r="C149" s="20">
        <v>645</v>
      </c>
      <c r="D149" s="15" t="s">
        <v>31</v>
      </c>
      <c r="E149" s="14" t="s">
        <v>79</v>
      </c>
      <c r="F149" s="4" t="s">
        <v>559</v>
      </c>
      <c r="G149" s="20" t="s">
        <v>560</v>
      </c>
      <c r="H149" s="20" t="s">
        <v>35</v>
      </c>
      <c r="I149" s="43" t="s">
        <v>561</v>
      </c>
      <c r="J149" s="30">
        <v>43643</v>
      </c>
      <c r="K149" s="30">
        <v>44192</v>
      </c>
      <c r="L149" s="31">
        <f t="shared" si="74"/>
        <v>84.999999707660962</v>
      </c>
      <c r="M149" s="20">
        <v>3</v>
      </c>
      <c r="N149" s="20" t="s">
        <v>540</v>
      </c>
      <c r="O149" s="20" t="s">
        <v>545</v>
      </c>
      <c r="P149" s="32" t="s">
        <v>39</v>
      </c>
      <c r="Q149" s="20" t="s">
        <v>40</v>
      </c>
      <c r="R149" s="2">
        <f t="shared" si="81"/>
        <v>2326066.37</v>
      </c>
      <c r="S149" s="42">
        <v>2326066.37</v>
      </c>
      <c r="T149" s="41">
        <v>0</v>
      </c>
      <c r="U149" s="33">
        <f t="shared" si="69"/>
        <v>355751.33</v>
      </c>
      <c r="V149" s="35">
        <v>355751.33</v>
      </c>
      <c r="W149" s="41">
        <v>0</v>
      </c>
      <c r="X149" s="33">
        <f t="shared" si="70"/>
        <v>54730.98</v>
      </c>
      <c r="Y149" s="35">
        <v>54730.98</v>
      </c>
      <c r="Z149" s="35">
        <v>0</v>
      </c>
      <c r="AA149" s="35">
        <f t="shared" si="82"/>
        <v>0</v>
      </c>
      <c r="AB149" s="41">
        <v>0</v>
      </c>
      <c r="AC149" s="41">
        <v>0</v>
      </c>
      <c r="AD149" s="2">
        <f>R149+U149+X149+AA151</f>
        <v>2736548.68</v>
      </c>
      <c r="AE149" s="39">
        <v>0</v>
      </c>
      <c r="AF149" s="2">
        <f t="shared" si="77"/>
        <v>2736548.68</v>
      </c>
      <c r="AG149" s="39" t="s">
        <v>69</v>
      </c>
      <c r="AH149" s="39"/>
      <c r="AI149" s="35">
        <v>117891.39</v>
      </c>
      <c r="AJ149" s="36">
        <f>1528.47+16501.98</f>
        <v>18030.45</v>
      </c>
      <c r="AK149" s="28">
        <f t="shared" si="78"/>
        <v>2208174.98</v>
      </c>
      <c r="AL149" s="28">
        <f t="shared" si="79"/>
        <v>337720.88</v>
      </c>
      <c r="AM149" s="29">
        <f t="shared" si="80"/>
        <v>5.0682728369440287E-2</v>
      </c>
    </row>
    <row r="150" spans="1:39" ht="192" customHeight="1" x14ac:dyDescent="0.25">
      <c r="A150" s="10">
        <v>147</v>
      </c>
      <c r="B150" s="44">
        <v>136346</v>
      </c>
      <c r="C150" s="45">
        <v>803</v>
      </c>
      <c r="D150" s="46" t="s">
        <v>31</v>
      </c>
      <c r="E150" s="14" t="s">
        <v>1826</v>
      </c>
      <c r="F150" s="40" t="s">
        <v>1840</v>
      </c>
      <c r="G150" s="15" t="s">
        <v>560</v>
      </c>
      <c r="H150" s="20" t="s">
        <v>35</v>
      </c>
      <c r="I150" s="16" t="s">
        <v>1841</v>
      </c>
      <c r="J150" s="47">
        <v>43949</v>
      </c>
      <c r="K150" s="47">
        <v>44497</v>
      </c>
      <c r="L150" s="48">
        <f t="shared" si="74"/>
        <v>84.999999931876232</v>
      </c>
      <c r="M150" s="45">
        <v>3</v>
      </c>
      <c r="N150" s="45" t="s">
        <v>1842</v>
      </c>
      <c r="O150" s="45" t="s">
        <v>545</v>
      </c>
      <c r="P150" s="49" t="s">
        <v>39</v>
      </c>
      <c r="Q150" s="45" t="s">
        <v>40</v>
      </c>
      <c r="R150" s="50">
        <f t="shared" ref="R150:R160" si="83">S150+T150</f>
        <v>2495457.98</v>
      </c>
      <c r="S150" s="50">
        <v>2495457.98</v>
      </c>
      <c r="T150" s="50">
        <v>0</v>
      </c>
      <c r="U150" s="51">
        <f t="shared" si="69"/>
        <v>381658.28</v>
      </c>
      <c r="V150" s="50">
        <v>381658.28</v>
      </c>
      <c r="W150" s="50">
        <v>0</v>
      </c>
      <c r="X150" s="51">
        <f t="shared" si="70"/>
        <v>58716.66</v>
      </c>
      <c r="Y150" s="50">
        <v>58716.66</v>
      </c>
      <c r="Z150" s="50">
        <v>0</v>
      </c>
      <c r="AA150" s="50">
        <f t="shared" si="82"/>
        <v>0</v>
      </c>
      <c r="AB150" s="50">
        <v>0</v>
      </c>
      <c r="AC150" s="50">
        <v>0</v>
      </c>
      <c r="AD150" s="50">
        <f t="shared" ref="AD150" si="84">R150+U150+X150+AA150</f>
        <v>2935832.92</v>
      </c>
      <c r="AE150" s="50">
        <v>0</v>
      </c>
      <c r="AF150" s="50">
        <f t="shared" si="77"/>
        <v>2935832.92</v>
      </c>
      <c r="AG150" s="39" t="s">
        <v>69</v>
      </c>
      <c r="AH150" s="39"/>
      <c r="AI150" s="35">
        <v>0</v>
      </c>
      <c r="AJ150" s="36">
        <v>0</v>
      </c>
      <c r="AK150" s="28">
        <f t="shared" si="78"/>
        <v>2495457.98</v>
      </c>
      <c r="AL150" s="28">
        <f t="shared" si="79"/>
        <v>381658.28</v>
      </c>
      <c r="AM150" s="29">
        <f t="shared" si="80"/>
        <v>0</v>
      </c>
    </row>
    <row r="151" spans="1:39" ht="192" customHeight="1" x14ac:dyDescent="0.25">
      <c r="A151" s="10">
        <v>148</v>
      </c>
      <c r="B151" s="20">
        <v>128275</v>
      </c>
      <c r="C151" s="20">
        <v>636</v>
      </c>
      <c r="D151" s="20" t="s">
        <v>31</v>
      </c>
      <c r="E151" s="14" t="s">
        <v>79</v>
      </c>
      <c r="F151" s="63" t="s">
        <v>562</v>
      </c>
      <c r="G151" s="63" t="s">
        <v>563</v>
      </c>
      <c r="H151" s="20" t="s">
        <v>35</v>
      </c>
      <c r="I151" s="15" t="s">
        <v>564</v>
      </c>
      <c r="J151" s="30">
        <v>43629</v>
      </c>
      <c r="K151" s="30">
        <v>44360</v>
      </c>
      <c r="L151" s="31">
        <f t="shared" ref="L151:L160" si="85">R151/AD151*100</f>
        <v>85.000000189128897</v>
      </c>
      <c r="M151" s="20">
        <v>1</v>
      </c>
      <c r="N151" s="20" t="s">
        <v>565</v>
      </c>
      <c r="O151" s="20" t="s">
        <v>566</v>
      </c>
      <c r="P151" s="20" t="s">
        <v>39</v>
      </c>
      <c r="Q151" s="20" t="s">
        <v>40</v>
      </c>
      <c r="R151" s="2">
        <f t="shared" si="83"/>
        <v>2247144.58</v>
      </c>
      <c r="S151" s="35">
        <v>2247144.58</v>
      </c>
      <c r="T151" s="35">
        <v>0</v>
      </c>
      <c r="U151" s="33">
        <f t="shared" si="69"/>
        <v>343680.93</v>
      </c>
      <c r="V151" s="35">
        <v>343680.93</v>
      </c>
      <c r="W151" s="101">
        <v>0</v>
      </c>
      <c r="X151" s="33">
        <f t="shared" si="70"/>
        <v>52873.99</v>
      </c>
      <c r="Y151" s="35">
        <v>52873.99</v>
      </c>
      <c r="Z151" s="102">
        <v>0</v>
      </c>
      <c r="AA151" s="42">
        <f t="shared" si="82"/>
        <v>0</v>
      </c>
      <c r="AB151" s="35">
        <v>0</v>
      </c>
      <c r="AC151" s="102">
        <v>0</v>
      </c>
      <c r="AD151" s="2">
        <f>R151+U151+X151</f>
        <v>2643699.5000000005</v>
      </c>
      <c r="AE151" s="6">
        <v>0</v>
      </c>
      <c r="AF151" s="2">
        <f t="shared" ref="AF151:AF160" si="86">AD151+AE151</f>
        <v>2643699.5000000005</v>
      </c>
      <c r="AG151" s="39" t="s">
        <v>69</v>
      </c>
      <c r="AH151" s="39"/>
      <c r="AI151" s="35">
        <v>116746.84</v>
      </c>
      <c r="AJ151" s="36">
        <f>11751.31+6104.09</f>
        <v>17855.400000000001</v>
      </c>
      <c r="AK151" s="28">
        <f t="shared" si="78"/>
        <v>2130397.7400000002</v>
      </c>
      <c r="AL151" s="28">
        <f t="shared" si="79"/>
        <v>325825.52999999997</v>
      </c>
      <c r="AM151" s="29">
        <f t="shared" si="80"/>
        <v>5.1953417256312008E-2</v>
      </c>
    </row>
    <row r="152" spans="1:39" ht="192" customHeight="1" x14ac:dyDescent="0.25">
      <c r="A152" s="10">
        <v>149</v>
      </c>
      <c r="B152" s="20">
        <v>119895</v>
      </c>
      <c r="C152" s="20">
        <v>458</v>
      </c>
      <c r="D152" s="20" t="s">
        <v>47</v>
      </c>
      <c r="E152" s="14" t="s">
        <v>567</v>
      </c>
      <c r="F152" s="63" t="s">
        <v>568</v>
      </c>
      <c r="G152" s="63" t="s">
        <v>569</v>
      </c>
      <c r="H152" s="20" t="s">
        <v>35</v>
      </c>
      <c r="I152" s="15" t="s">
        <v>570</v>
      </c>
      <c r="J152" s="30">
        <v>43312</v>
      </c>
      <c r="K152" s="30">
        <v>43861</v>
      </c>
      <c r="L152" s="31">
        <f t="shared" si="85"/>
        <v>79.999998251321642</v>
      </c>
      <c r="M152" s="20">
        <v>8</v>
      </c>
      <c r="N152" s="20" t="s">
        <v>571</v>
      </c>
      <c r="O152" s="20" t="s">
        <v>572</v>
      </c>
      <c r="P152" s="20" t="s">
        <v>39</v>
      </c>
      <c r="Q152" s="20" t="s">
        <v>40</v>
      </c>
      <c r="R152" s="2">
        <f t="shared" si="83"/>
        <v>457488.35</v>
      </c>
      <c r="S152" s="103">
        <v>0</v>
      </c>
      <c r="T152" s="64">
        <v>457488.35</v>
      </c>
      <c r="U152" s="33">
        <f t="shared" si="69"/>
        <v>102934.89</v>
      </c>
      <c r="V152" s="64">
        <v>0</v>
      </c>
      <c r="W152" s="52">
        <v>102934.89</v>
      </c>
      <c r="X152" s="33">
        <f t="shared" si="70"/>
        <v>11437.21</v>
      </c>
      <c r="Y152" s="64">
        <v>0</v>
      </c>
      <c r="Z152" s="104">
        <v>11437.21</v>
      </c>
      <c r="AA152" s="2">
        <f t="shared" si="82"/>
        <v>0</v>
      </c>
      <c r="AB152" s="64">
        <v>0</v>
      </c>
      <c r="AC152" s="104">
        <v>0</v>
      </c>
      <c r="AD152" s="2">
        <f t="shared" ref="AD152:AD160" si="87">R152+U152+X152+AA152</f>
        <v>571860.44999999995</v>
      </c>
      <c r="AE152" s="2">
        <v>0</v>
      </c>
      <c r="AF152" s="2">
        <f t="shared" si="86"/>
        <v>571860.44999999995</v>
      </c>
      <c r="AG152" s="39" t="s">
        <v>41</v>
      </c>
      <c r="AH152" s="39" t="s">
        <v>573</v>
      </c>
      <c r="AI152" s="35">
        <v>446392.8</v>
      </c>
      <c r="AJ152" s="36">
        <v>100438.38</v>
      </c>
      <c r="AK152" s="28">
        <f t="shared" si="78"/>
        <v>11095.549999999988</v>
      </c>
      <c r="AL152" s="28">
        <f t="shared" si="79"/>
        <v>2496.5099999999948</v>
      </c>
      <c r="AM152" s="29">
        <f t="shared" si="80"/>
        <v>0.97574681409920061</v>
      </c>
    </row>
    <row r="153" spans="1:39" ht="192" customHeight="1" x14ac:dyDescent="0.25">
      <c r="A153" s="10">
        <v>150</v>
      </c>
      <c r="B153" s="37">
        <v>126391</v>
      </c>
      <c r="C153" s="20">
        <v>508</v>
      </c>
      <c r="D153" s="20" t="s">
        <v>31</v>
      </c>
      <c r="E153" s="14" t="s">
        <v>241</v>
      </c>
      <c r="F153" s="15" t="s">
        <v>574</v>
      </c>
      <c r="G153" s="63" t="s">
        <v>569</v>
      </c>
      <c r="H153" s="20" t="s">
        <v>35</v>
      </c>
      <c r="I153" s="15" t="s">
        <v>575</v>
      </c>
      <c r="J153" s="30">
        <v>43452</v>
      </c>
      <c r="K153" s="30">
        <v>44365</v>
      </c>
      <c r="L153" s="31">
        <f t="shared" si="85"/>
        <v>80.000000098352359</v>
      </c>
      <c r="M153" s="20">
        <v>8</v>
      </c>
      <c r="N153" s="20" t="s">
        <v>571</v>
      </c>
      <c r="O153" s="20" t="s">
        <v>572</v>
      </c>
      <c r="P153" s="20" t="s">
        <v>39</v>
      </c>
      <c r="Q153" s="20" t="s">
        <v>40</v>
      </c>
      <c r="R153" s="2">
        <f t="shared" si="83"/>
        <v>1626803.97</v>
      </c>
      <c r="S153" s="101">
        <v>0</v>
      </c>
      <c r="T153" s="105">
        <v>1626803.97</v>
      </c>
      <c r="U153" s="33">
        <f t="shared" si="69"/>
        <v>366030.89</v>
      </c>
      <c r="V153" s="35">
        <v>0</v>
      </c>
      <c r="W153" s="35">
        <v>366030.89</v>
      </c>
      <c r="X153" s="33">
        <f t="shared" si="70"/>
        <v>40670.1</v>
      </c>
      <c r="Y153" s="35">
        <v>0</v>
      </c>
      <c r="Z153" s="35">
        <v>40670.1</v>
      </c>
      <c r="AA153" s="2">
        <f t="shared" si="82"/>
        <v>0</v>
      </c>
      <c r="AB153" s="35">
        <v>0</v>
      </c>
      <c r="AC153" s="35">
        <v>0</v>
      </c>
      <c r="AD153" s="2">
        <f t="shared" si="87"/>
        <v>2033504.96</v>
      </c>
      <c r="AE153" s="42">
        <v>485522.74</v>
      </c>
      <c r="AF153" s="2">
        <f t="shared" si="86"/>
        <v>2519027.7000000002</v>
      </c>
      <c r="AG153" s="39" t="s">
        <v>69</v>
      </c>
      <c r="AH153" s="39"/>
      <c r="AI153" s="35">
        <v>5712</v>
      </c>
      <c r="AJ153" s="36">
        <f>1285.2</f>
        <v>1285.2</v>
      </c>
      <c r="AK153" s="28">
        <f t="shared" si="78"/>
        <v>1621091.97</v>
      </c>
      <c r="AL153" s="28">
        <f t="shared" si="79"/>
        <v>364745.69</v>
      </c>
      <c r="AM153" s="29">
        <f t="shared" si="80"/>
        <v>3.5111790389840271E-3</v>
      </c>
    </row>
    <row r="154" spans="1:39" ht="192" customHeight="1" x14ac:dyDescent="0.25">
      <c r="A154" s="10">
        <v>151</v>
      </c>
      <c r="B154" s="37">
        <v>128946</v>
      </c>
      <c r="C154" s="20">
        <v>654</v>
      </c>
      <c r="D154" s="20" t="s">
        <v>31</v>
      </c>
      <c r="E154" s="14" t="s">
        <v>249</v>
      </c>
      <c r="F154" s="15" t="s">
        <v>576</v>
      </c>
      <c r="G154" s="63" t="s">
        <v>569</v>
      </c>
      <c r="H154" s="20" t="s">
        <v>35</v>
      </c>
      <c r="I154" s="15" t="s">
        <v>577</v>
      </c>
      <c r="J154" s="30">
        <v>43657</v>
      </c>
      <c r="K154" s="30">
        <v>44207</v>
      </c>
      <c r="L154" s="31">
        <f t="shared" si="85"/>
        <v>80</v>
      </c>
      <c r="M154" s="20">
        <v>8</v>
      </c>
      <c r="N154" s="20" t="s">
        <v>571</v>
      </c>
      <c r="O154" s="20" t="s">
        <v>572</v>
      </c>
      <c r="P154" s="20" t="s">
        <v>39</v>
      </c>
      <c r="Q154" s="20" t="s">
        <v>40</v>
      </c>
      <c r="R154" s="2">
        <f t="shared" si="83"/>
        <v>271938.8</v>
      </c>
      <c r="S154" s="35">
        <v>0</v>
      </c>
      <c r="T154" s="35">
        <v>271938.8</v>
      </c>
      <c r="U154" s="33">
        <f t="shared" si="69"/>
        <v>61186.239999999998</v>
      </c>
      <c r="V154" s="35">
        <v>0</v>
      </c>
      <c r="W154" s="35">
        <v>61186.239999999998</v>
      </c>
      <c r="X154" s="33">
        <f t="shared" si="70"/>
        <v>6798.46</v>
      </c>
      <c r="Y154" s="35">
        <v>0</v>
      </c>
      <c r="Z154" s="35">
        <v>6798.46</v>
      </c>
      <c r="AA154" s="2">
        <f t="shared" si="82"/>
        <v>0</v>
      </c>
      <c r="AB154" s="35">
        <v>0</v>
      </c>
      <c r="AC154" s="35">
        <v>0</v>
      </c>
      <c r="AD154" s="2">
        <f t="shared" si="87"/>
        <v>339923.5</v>
      </c>
      <c r="AE154" s="42">
        <v>0</v>
      </c>
      <c r="AF154" s="2">
        <f t="shared" si="86"/>
        <v>339923.5</v>
      </c>
      <c r="AG154" s="39" t="s">
        <v>69</v>
      </c>
      <c r="AH154" s="39"/>
      <c r="AI154" s="35">
        <v>15124.98</v>
      </c>
      <c r="AJ154" s="36">
        <f>3403.11</f>
        <v>3403.11</v>
      </c>
      <c r="AK154" s="28">
        <f t="shared" si="78"/>
        <v>256813.81999999998</v>
      </c>
      <c r="AL154" s="28">
        <f t="shared" si="79"/>
        <v>57783.13</v>
      </c>
      <c r="AM154" s="29">
        <f t="shared" si="80"/>
        <v>5.561905840578836E-2</v>
      </c>
    </row>
    <row r="155" spans="1:39" ht="192" customHeight="1" x14ac:dyDescent="0.25">
      <c r="A155" s="10">
        <v>152</v>
      </c>
      <c r="B155" s="37">
        <v>122738</v>
      </c>
      <c r="C155" s="20">
        <v>73</v>
      </c>
      <c r="D155" s="15" t="s">
        <v>31</v>
      </c>
      <c r="E155" s="14" t="s">
        <v>32</v>
      </c>
      <c r="F155" s="4" t="s">
        <v>578</v>
      </c>
      <c r="G155" s="15" t="s">
        <v>579</v>
      </c>
      <c r="H155" s="20" t="s">
        <v>35</v>
      </c>
      <c r="I155" s="15" t="s">
        <v>580</v>
      </c>
      <c r="J155" s="30">
        <v>43284</v>
      </c>
      <c r="K155" s="30">
        <v>43772</v>
      </c>
      <c r="L155" s="31">
        <f t="shared" si="85"/>
        <v>85.000002334434541</v>
      </c>
      <c r="M155" s="20">
        <v>6</v>
      </c>
      <c r="N155" s="20" t="s">
        <v>581</v>
      </c>
      <c r="O155" s="20" t="s">
        <v>582</v>
      </c>
      <c r="P155" s="32" t="s">
        <v>39</v>
      </c>
      <c r="Q155" s="20" t="s">
        <v>40</v>
      </c>
      <c r="R155" s="33">
        <f t="shared" si="83"/>
        <v>527965.13</v>
      </c>
      <c r="S155" s="64">
        <v>527965.13</v>
      </c>
      <c r="T155" s="2">
        <v>0</v>
      </c>
      <c r="U155" s="33">
        <f t="shared" si="69"/>
        <v>80747.570000000007</v>
      </c>
      <c r="V155" s="64">
        <v>80747.570000000007</v>
      </c>
      <c r="W155" s="2">
        <v>0</v>
      </c>
      <c r="X155" s="33">
        <f t="shared" si="70"/>
        <v>12422.73</v>
      </c>
      <c r="Y155" s="106">
        <v>12422.73</v>
      </c>
      <c r="Z155" s="2">
        <v>0</v>
      </c>
      <c r="AA155" s="2">
        <f t="shared" si="82"/>
        <v>0</v>
      </c>
      <c r="AB155" s="2">
        <v>0</v>
      </c>
      <c r="AC155" s="2">
        <v>0</v>
      </c>
      <c r="AD155" s="2">
        <f t="shared" si="87"/>
        <v>621135.42999999993</v>
      </c>
      <c r="AE155" s="2">
        <v>0</v>
      </c>
      <c r="AF155" s="2">
        <f t="shared" si="86"/>
        <v>621135.42999999993</v>
      </c>
      <c r="AG155" s="24" t="s">
        <v>41</v>
      </c>
      <c r="AH155" s="34"/>
      <c r="AI155" s="35">
        <v>494682.26</v>
      </c>
      <c r="AJ155" s="36">
        <v>75657.279999999999</v>
      </c>
      <c r="AK155" s="28">
        <f t="shared" si="78"/>
        <v>33282.869999999995</v>
      </c>
      <c r="AL155" s="28">
        <f t="shared" si="79"/>
        <v>5090.2900000000081</v>
      </c>
      <c r="AM155" s="29">
        <f t="shared" si="80"/>
        <v>0.9369600981034486</v>
      </c>
    </row>
    <row r="156" spans="1:39" ht="192" customHeight="1" x14ac:dyDescent="0.25">
      <c r="A156" s="10">
        <v>153</v>
      </c>
      <c r="B156" s="37">
        <v>126337</v>
      </c>
      <c r="C156" s="20">
        <v>556</v>
      </c>
      <c r="D156" s="20" t="s">
        <v>31</v>
      </c>
      <c r="E156" s="14" t="s">
        <v>65</v>
      </c>
      <c r="F156" s="15" t="s">
        <v>583</v>
      </c>
      <c r="G156" s="15" t="s">
        <v>579</v>
      </c>
      <c r="H156" s="20" t="s">
        <v>35</v>
      </c>
      <c r="I156" s="15" t="s">
        <v>584</v>
      </c>
      <c r="J156" s="30">
        <v>43577</v>
      </c>
      <c r="K156" s="30">
        <v>44491</v>
      </c>
      <c r="L156" s="31">
        <f t="shared" si="85"/>
        <v>85.000000442818262</v>
      </c>
      <c r="M156" s="20">
        <v>6</v>
      </c>
      <c r="N156" s="20" t="s">
        <v>581</v>
      </c>
      <c r="O156" s="20" t="s">
        <v>582</v>
      </c>
      <c r="P156" s="32" t="s">
        <v>39</v>
      </c>
      <c r="Q156" s="20" t="s">
        <v>40</v>
      </c>
      <c r="R156" s="2">
        <f t="shared" si="83"/>
        <v>3359165.89</v>
      </c>
      <c r="S156" s="64">
        <v>3359165.89</v>
      </c>
      <c r="T156" s="2">
        <v>0</v>
      </c>
      <c r="U156" s="33">
        <f t="shared" si="69"/>
        <v>513754.76</v>
      </c>
      <c r="V156" s="64">
        <v>513754.76</v>
      </c>
      <c r="W156" s="2">
        <v>0</v>
      </c>
      <c r="X156" s="33">
        <f t="shared" si="70"/>
        <v>79039.199999999997</v>
      </c>
      <c r="Y156" s="106">
        <v>79039.199999999997</v>
      </c>
      <c r="Z156" s="2">
        <v>0</v>
      </c>
      <c r="AA156" s="2">
        <f t="shared" si="82"/>
        <v>0</v>
      </c>
      <c r="AB156" s="2">
        <v>0</v>
      </c>
      <c r="AC156" s="2">
        <v>0</v>
      </c>
      <c r="AD156" s="2">
        <f t="shared" si="87"/>
        <v>3951959.8500000006</v>
      </c>
      <c r="AE156" s="2">
        <v>15981.7</v>
      </c>
      <c r="AF156" s="2">
        <f t="shared" si="86"/>
        <v>3967941.5500000007</v>
      </c>
      <c r="AG156" s="39" t="s">
        <v>69</v>
      </c>
      <c r="AH156" s="39"/>
      <c r="AI156" s="35">
        <v>124564.70999999999</v>
      </c>
      <c r="AJ156" s="36">
        <v>19051.05</v>
      </c>
      <c r="AK156" s="28">
        <f t="shared" si="78"/>
        <v>3234601.18</v>
      </c>
      <c r="AL156" s="28">
        <f t="shared" si="79"/>
        <v>494703.71</v>
      </c>
      <c r="AM156" s="29">
        <f t="shared" si="80"/>
        <v>3.7082035862182436E-2</v>
      </c>
    </row>
    <row r="157" spans="1:39" ht="192" customHeight="1" x14ac:dyDescent="0.25">
      <c r="A157" s="10">
        <v>154</v>
      </c>
      <c r="B157" s="37">
        <v>129243</v>
      </c>
      <c r="C157" s="20">
        <v>683</v>
      </c>
      <c r="D157" s="20" t="s">
        <v>31</v>
      </c>
      <c r="E157" s="14" t="s">
        <v>79</v>
      </c>
      <c r="F157" s="15" t="s">
        <v>585</v>
      </c>
      <c r="G157" s="15" t="s">
        <v>586</v>
      </c>
      <c r="H157" s="20" t="s">
        <v>587</v>
      </c>
      <c r="I157" s="15" t="s">
        <v>588</v>
      </c>
      <c r="J157" s="30">
        <v>43745</v>
      </c>
      <c r="K157" s="30">
        <v>44658</v>
      </c>
      <c r="L157" s="31">
        <f t="shared" si="85"/>
        <v>84.762119683347478</v>
      </c>
      <c r="M157" s="20">
        <v>7</v>
      </c>
      <c r="N157" s="20" t="s">
        <v>581</v>
      </c>
      <c r="O157" s="20" t="s">
        <v>582</v>
      </c>
      <c r="P157" s="32" t="s">
        <v>39</v>
      </c>
      <c r="Q157" s="20" t="s">
        <v>40</v>
      </c>
      <c r="R157" s="2">
        <f t="shared" si="83"/>
        <v>2892355.61</v>
      </c>
      <c r="S157" s="2">
        <v>2892355.61</v>
      </c>
      <c r="T157" s="2">
        <v>0</v>
      </c>
      <c r="U157" s="33">
        <f t="shared" si="69"/>
        <v>451718.97</v>
      </c>
      <c r="V157" s="2">
        <v>451718.97</v>
      </c>
      <c r="W157" s="2">
        <v>0</v>
      </c>
      <c r="X157" s="33">
        <f t="shared" si="70"/>
        <v>58696.72</v>
      </c>
      <c r="Y157" s="2">
        <v>58696.72</v>
      </c>
      <c r="Z157" s="2">
        <v>0</v>
      </c>
      <c r="AA157" s="2">
        <f t="shared" si="82"/>
        <v>9549.7000000000007</v>
      </c>
      <c r="AB157" s="2">
        <v>9549.7000000000007</v>
      </c>
      <c r="AC157" s="2">
        <v>0</v>
      </c>
      <c r="AD157" s="2">
        <f t="shared" si="87"/>
        <v>3412321.0000000005</v>
      </c>
      <c r="AE157" s="2">
        <v>0</v>
      </c>
      <c r="AF157" s="2">
        <f t="shared" si="86"/>
        <v>3412321.0000000005</v>
      </c>
      <c r="AG157" s="39" t="s">
        <v>69</v>
      </c>
      <c r="AH157" s="39"/>
      <c r="AI157" s="35">
        <v>368913.86</v>
      </c>
      <c r="AJ157" s="36">
        <v>21704.27</v>
      </c>
      <c r="AK157" s="28">
        <f t="shared" si="78"/>
        <v>2523441.75</v>
      </c>
      <c r="AL157" s="28">
        <f t="shared" si="79"/>
        <v>430014.69999999995</v>
      </c>
      <c r="AM157" s="29">
        <f t="shared" si="80"/>
        <v>0.12754789166467673</v>
      </c>
    </row>
    <row r="158" spans="1:39" ht="192" customHeight="1" x14ac:dyDescent="0.25">
      <c r="A158" s="10">
        <v>155</v>
      </c>
      <c r="B158" s="37">
        <v>110238</v>
      </c>
      <c r="C158" s="20">
        <v>120</v>
      </c>
      <c r="D158" s="15" t="s">
        <v>31</v>
      </c>
      <c r="E158" s="14" t="s">
        <v>32</v>
      </c>
      <c r="F158" s="4" t="s">
        <v>589</v>
      </c>
      <c r="G158" s="15" t="s">
        <v>428</v>
      </c>
      <c r="H158" s="20" t="s">
        <v>35</v>
      </c>
      <c r="I158" s="16" t="s">
        <v>590</v>
      </c>
      <c r="J158" s="30">
        <v>43166</v>
      </c>
      <c r="K158" s="30">
        <v>43837</v>
      </c>
      <c r="L158" s="31">
        <f t="shared" si="85"/>
        <v>85.000000235397167</v>
      </c>
      <c r="M158" s="20">
        <v>4</v>
      </c>
      <c r="N158" s="20" t="s">
        <v>591</v>
      </c>
      <c r="O158" s="20" t="s">
        <v>592</v>
      </c>
      <c r="P158" s="32" t="s">
        <v>39</v>
      </c>
      <c r="Q158" s="20" t="s">
        <v>40</v>
      </c>
      <c r="R158" s="33">
        <f t="shared" si="83"/>
        <v>361091.85</v>
      </c>
      <c r="S158" s="52">
        <v>361091.85</v>
      </c>
      <c r="T158" s="2">
        <v>0</v>
      </c>
      <c r="U158" s="33">
        <f>V158+W158</f>
        <v>55225.82</v>
      </c>
      <c r="V158" s="52">
        <v>55225.82</v>
      </c>
      <c r="W158" s="2">
        <v>0</v>
      </c>
      <c r="X158" s="33">
        <f>Y158+Z158</f>
        <v>8496.27</v>
      </c>
      <c r="Y158" s="107">
        <v>8496.27</v>
      </c>
      <c r="Z158" s="2">
        <v>0</v>
      </c>
      <c r="AA158" s="2">
        <f t="shared" si="82"/>
        <v>0</v>
      </c>
      <c r="AB158" s="2">
        <v>0</v>
      </c>
      <c r="AC158" s="2">
        <v>0</v>
      </c>
      <c r="AD158" s="2">
        <f t="shared" si="87"/>
        <v>424813.94</v>
      </c>
      <c r="AE158" s="2">
        <v>0</v>
      </c>
      <c r="AF158" s="2">
        <f t="shared" si="86"/>
        <v>424813.94</v>
      </c>
      <c r="AG158" s="39" t="s">
        <v>41</v>
      </c>
      <c r="AH158" s="34" t="s">
        <v>593</v>
      </c>
      <c r="AI158" s="35">
        <v>348222.91000000003</v>
      </c>
      <c r="AJ158" s="36">
        <v>53257.61</v>
      </c>
      <c r="AK158" s="28">
        <f t="shared" si="78"/>
        <v>12868.939999999944</v>
      </c>
      <c r="AL158" s="28">
        <f t="shared" si="79"/>
        <v>1968.2099999999991</v>
      </c>
      <c r="AM158" s="29">
        <f t="shared" si="80"/>
        <v>0.9643610344570227</v>
      </c>
    </row>
    <row r="159" spans="1:39" ht="192" customHeight="1" x14ac:dyDescent="0.25">
      <c r="A159" s="10">
        <v>156</v>
      </c>
      <c r="B159" s="37">
        <v>117741</v>
      </c>
      <c r="C159" s="20">
        <v>415</v>
      </c>
      <c r="D159" s="15" t="s">
        <v>54</v>
      </c>
      <c r="E159" s="14" t="s">
        <v>55</v>
      </c>
      <c r="F159" s="15" t="s">
        <v>594</v>
      </c>
      <c r="G159" s="15" t="s">
        <v>595</v>
      </c>
      <c r="H159" s="20" t="s">
        <v>596</v>
      </c>
      <c r="I159" s="15" t="s">
        <v>597</v>
      </c>
      <c r="J159" s="30">
        <v>43311</v>
      </c>
      <c r="K159" s="30">
        <v>43707</v>
      </c>
      <c r="L159" s="31">
        <f t="shared" si="85"/>
        <v>84.15024511492409</v>
      </c>
      <c r="M159" s="20">
        <v>4</v>
      </c>
      <c r="N159" s="20" t="s">
        <v>591</v>
      </c>
      <c r="O159" s="20" t="s">
        <v>592</v>
      </c>
      <c r="P159" s="20" t="s">
        <v>39</v>
      </c>
      <c r="Q159" s="20" t="s">
        <v>40</v>
      </c>
      <c r="R159" s="33">
        <f t="shared" si="83"/>
        <v>242958.31</v>
      </c>
      <c r="S159" s="35">
        <v>242958.31</v>
      </c>
      <c r="T159" s="2">
        <v>0</v>
      </c>
      <c r="U159" s="33">
        <f>V159+W159</f>
        <v>39986.97</v>
      </c>
      <c r="V159" s="35">
        <v>39986.97</v>
      </c>
      <c r="W159" s="2">
        <v>0</v>
      </c>
      <c r="X159" s="33">
        <f>Y159+Z159</f>
        <v>2888.03</v>
      </c>
      <c r="Y159" s="35">
        <v>2888.03</v>
      </c>
      <c r="Z159" s="35">
        <v>0</v>
      </c>
      <c r="AA159" s="2">
        <f t="shared" si="82"/>
        <v>2886.36</v>
      </c>
      <c r="AB159" s="35">
        <v>2886.36</v>
      </c>
      <c r="AC159" s="41">
        <v>0</v>
      </c>
      <c r="AD159" s="2">
        <f t="shared" si="87"/>
        <v>288719.67000000004</v>
      </c>
      <c r="AE159" s="39"/>
      <c r="AF159" s="2">
        <f t="shared" si="86"/>
        <v>288719.67000000004</v>
      </c>
      <c r="AG159" s="24" t="s">
        <v>41</v>
      </c>
      <c r="AH159" s="39" t="s">
        <v>598</v>
      </c>
      <c r="AI159" s="35">
        <v>154052.83000000002</v>
      </c>
      <c r="AJ159" s="36">
        <v>25737.5</v>
      </c>
      <c r="AK159" s="28">
        <f t="shared" si="78"/>
        <v>88905.479999999981</v>
      </c>
      <c r="AL159" s="28">
        <f t="shared" si="79"/>
        <v>14249.470000000001</v>
      </c>
      <c r="AM159" s="29">
        <f t="shared" si="80"/>
        <v>0.63407104700390782</v>
      </c>
    </row>
    <row r="160" spans="1:39" ht="192" customHeight="1" x14ac:dyDescent="0.25">
      <c r="A160" s="10">
        <v>157</v>
      </c>
      <c r="B160" s="37">
        <v>126246</v>
      </c>
      <c r="C160" s="20">
        <v>537</v>
      </c>
      <c r="D160" s="20" t="s">
        <v>31</v>
      </c>
      <c r="E160" s="14" t="s">
        <v>65</v>
      </c>
      <c r="F160" s="15" t="s">
        <v>599</v>
      </c>
      <c r="G160" s="15" t="s">
        <v>595</v>
      </c>
      <c r="H160" s="20" t="s">
        <v>600</v>
      </c>
      <c r="I160" s="16" t="s">
        <v>601</v>
      </c>
      <c r="J160" s="30">
        <v>43532</v>
      </c>
      <c r="K160" s="30">
        <v>44447</v>
      </c>
      <c r="L160" s="31">
        <f t="shared" si="85"/>
        <v>84.376572868603944</v>
      </c>
      <c r="M160" s="20">
        <v>4</v>
      </c>
      <c r="N160" s="20" t="s">
        <v>591</v>
      </c>
      <c r="O160" s="20" t="s">
        <v>592</v>
      </c>
      <c r="P160" s="20" t="s">
        <v>39</v>
      </c>
      <c r="Q160" s="20" t="s">
        <v>40</v>
      </c>
      <c r="R160" s="33">
        <f t="shared" si="83"/>
        <v>3134478.71</v>
      </c>
      <c r="S160" s="35">
        <v>3134478.71</v>
      </c>
      <c r="T160" s="2">
        <v>0</v>
      </c>
      <c r="U160" s="33">
        <f>V160+W160</f>
        <v>506092.39</v>
      </c>
      <c r="V160" s="35">
        <v>506092.39</v>
      </c>
      <c r="W160" s="2">
        <v>0</v>
      </c>
      <c r="X160" s="33">
        <f>Y160+Z160</f>
        <v>47050.879999999997</v>
      </c>
      <c r="Y160" s="35">
        <v>47050.879999999997</v>
      </c>
      <c r="Z160" s="35">
        <v>0</v>
      </c>
      <c r="AA160" s="2">
        <f t="shared" si="82"/>
        <v>27246.5</v>
      </c>
      <c r="AB160" s="35">
        <v>27246.5</v>
      </c>
      <c r="AC160" s="41">
        <v>0</v>
      </c>
      <c r="AD160" s="2">
        <f t="shared" si="87"/>
        <v>3714868.48</v>
      </c>
      <c r="AE160" s="39">
        <v>0</v>
      </c>
      <c r="AF160" s="2">
        <f t="shared" si="86"/>
        <v>3714868.48</v>
      </c>
      <c r="AG160" s="39" t="s">
        <v>69</v>
      </c>
      <c r="AH160" s="39"/>
      <c r="AI160" s="35">
        <v>561658.41999999993</v>
      </c>
      <c r="AJ160" s="36">
        <v>78790.010000000009</v>
      </c>
      <c r="AK160" s="28">
        <f t="shared" si="78"/>
        <v>2572820.29</v>
      </c>
      <c r="AL160" s="28">
        <f t="shared" si="79"/>
        <v>427302.38</v>
      </c>
      <c r="AM160" s="29">
        <f t="shared" si="80"/>
        <v>0.17918718612065479</v>
      </c>
    </row>
    <row r="161" spans="1:39" ht="192" customHeight="1" x14ac:dyDescent="0.25">
      <c r="A161" s="10">
        <v>158</v>
      </c>
      <c r="B161" s="37">
        <v>120531</v>
      </c>
      <c r="C161" s="20">
        <v>76</v>
      </c>
      <c r="D161" s="15" t="s">
        <v>31</v>
      </c>
      <c r="E161" s="14" t="s">
        <v>32</v>
      </c>
      <c r="F161" s="62" t="s">
        <v>602</v>
      </c>
      <c r="G161" s="62" t="s">
        <v>603</v>
      </c>
      <c r="H161" s="20" t="s">
        <v>35</v>
      </c>
      <c r="I161" s="15" t="s">
        <v>604</v>
      </c>
      <c r="J161" s="30">
        <v>43129</v>
      </c>
      <c r="K161" s="30">
        <v>43798</v>
      </c>
      <c r="L161" s="31">
        <f t="shared" ref="L161:L166" si="88">R161/AD161*100</f>
        <v>85.000000405063261</v>
      </c>
      <c r="M161" s="20">
        <v>3</v>
      </c>
      <c r="N161" s="20" t="s">
        <v>605</v>
      </c>
      <c r="O161" s="20" t="s">
        <v>606</v>
      </c>
      <c r="P161" s="32" t="s">
        <v>39</v>
      </c>
      <c r="Q161" s="20" t="s">
        <v>40</v>
      </c>
      <c r="R161" s="2">
        <f t="shared" ref="R161:R166" si="89">S161+T161</f>
        <v>524609.42000000004</v>
      </c>
      <c r="S161" s="64">
        <v>524609.42000000004</v>
      </c>
      <c r="T161" s="2">
        <v>0</v>
      </c>
      <c r="U161" s="33">
        <f t="shared" ref="U161:U166" si="90">V161+W161</f>
        <v>80234.38</v>
      </c>
      <c r="V161" s="64">
        <v>80234.38</v>
      </c>
      <c r="W161" s="2">
        <v>0</v>
      </c>
      <c r="X161" s="33">
        <f t="shared" ref="X161:X166" si="91">Y161+Z161</f>
        <v>12343.75</v>
      </c>
      <c r="Y161" s="64">
        <v>12343.75</v>
      </c>
      <c r="Z161" s="2">
        <v>0</v>
      </c>
      <c r="AA161" s="2">
        <f t="shared" ref="AA161:AA166" si="92">AB161+AC161</f>
        <v>0</v>
      </c>
      <c r="AB161" s="2">
        <v>0</v>
      </c>
      <c r="AC161" s="2">
        <v>0</v>
      </c>
      <c r="AD161" s="2">
        <f t="shared" ref="AD161:AD166" si="93">R161+U161+X161+AA161</f>
        <v>617187.55000000005</v>
      </c>
      <c r="AE161" s="2">
        <v>0</v>
      </c>
      <c r="AF161" s="2">
        <f t="shared" ref="AF161:AF166" si="94">AD161+AE161</f>
        <v>617187.55000000005</v>
      </c>
      <c r="AG161" s="24" t="s">
        <v>41</v>
      </c>
      <c r="AH161" s="34" t="s">
        <v>35</v>
      </c>
      <c r="AI161" s="35">
        <v>398279.01</v>
      </c>
      <c r="AJ161" s="36">
        <v>60913.25</v>
      </c>
      <c r="AK161" s="28">
        <f t="shared" si="78"/>
        <v>126330.41000000003</v>
      </c>
      <c r="AL161" s="28">
        <f t="shared" si="79"/>
        <v>19321.130000000005</v>
      </c>
      <c r="AM161" s="29">
        <f t="shared" si="80"/>
        <v>0.75919149526518215</v>
      </c>
    </row>
    <row r="162" spans="1:39" ht="192" customHeight="1" x14ac:dyDescent="0.25">
      <c r="A162" s="10">
        <v>159</v>
      </c>
      <c r="B162" s="37">
        <v>119702</v>
      </c>
      <c r="C162" s="20">
        <v>462</v>
      </c>
      <c r="D162" s="20" t="s">
        <v>47</v>
      </c>
      <c r="E162" s="14" t="s">
        <v>48</v>
      </c>
      <c r="F162" s="15" t="s">
        <v>607</v>
      </c>
      <c r="G162" s="15" t="s">
        <v>603</v>
      </c>
      <c r="H162" s="20" t="s">
        <v>35</v>
      </c>
      <c r="I162" s="15" t="s">
        <v>608</v>
      </c>
      <c r="J162" s="30">
        <v>43269</v>
      </c>
      <c r="K162" s="30">
        <v>43756</v>
      </c>
      <c r="L162" s="31">
        <f t="shared" si="88"/>
        <v>85.000000000000014</v>
      </c>
      <c r="M162" s="20">
        <v>3</v>
      </c>
      <c r="N162" s="20" t="s">
        <v>605</v>
      </c>
      <c r="O162" s="20" t="s">
        <v>606</v>
      </c>
      <c r="P162" s="20" t="s">
        <v>39</v>
      </c>
      <c r="Q162" s="20" t="s">
        <v>293</v>
      </c>
      <c r="R162" s="2">
        <f t="shared" si="89"/>
        <v>289363.96999999997</v>
      </c>
      <c r="S162" s="35">
        <v>289363.96999999997</v>
      </c>
      <c r="T162" s="2">
        <v>0</v>
      </c>
      <c r="U162" s="33">
        <f t="shared" si="90"/>
        <v>44255.67</v>
      </c>
      <c r="V162" s="35">
        <v>44255.67</v>
      </c>
      <c r="W162" s="2">
        <v>0</v>
      </c>
      <c r="X162" s="33">
        <f t="shared" si="91"/>
        <v>6808.5599999999995</v>
      </c>
      <c r="Y162" s="35">
        <v>6808.5599999999995</v>
      </c>
      <c r="Z162" s="2">
        <v>0</v>
      </c>
      <c r="AA162" s="2">
        <f t="shared" si="92"/>
        <v>0</v>
      </c>
      <c r="AB162" s="2">
        <v>0</v>
      </c>
      <c r="AC162" s="2">
        <v>0</v>
      </c>
      <c r="AD162" s="2">
        <f t="shared" si="93"/>
        <v>340428.19999999995</v>
      </c>
      <c r="AE162" s="2">
        <v>0</v>
      </c>
      <c r="AF162" s="2">
        <f t="shared" si="94"/>
        <v>340428.19999999995</v>
      </c>
      <c r="AG162" s="24" t="s">
        <v>41</v>
      </c>
      <c r="AH162" s="70" t="s">
        <v>284</v>
      </c>
      <c r="AI162" s="35">
        <v>261948.47000000003</v>
      </c>
      <c r="AJ162" s="36">
        <v>40062.699999999997</v>
      </c>
      <c r="AK162" s="28">
        <f t="shared" si="78"/>
        <v>27415.499999999942</v>
      </c>
      <c r="AL162" s="28">
        <f t="shared" si="79"/>
        <v>4192.9700000000012</v>
      </c>
      <c r="AM162" s="29">
        <f t="shared" si="80"/>
        <v>0.90525599990904204</v>
      </c>
    </row>
    <row r="163" spans="1:39" ht="192" customHeight="1" x14ac:dyDescent="0.25">
      <c r="A163" s="10">
        <v>160</v>
      </c>
      <c r="B163" s="37">
        <v>117960</v>
      </c>
      <c r="C163" s="20">
        <v>418</v>
      </c>
      <c r="D163" s="15" t="s">
        <v>54</v>
      </c>
      <c r="E163" s="14" t="s">
        <v>55</v>
      </c>
      <c r="F163" s="15" t="s">
        <v>609</v>
      </c>
      <c r="G163" s="15" t="s">
        <v>603</v>
      </c>
      <c r="H163" s="20" t="s">
        <v>35</v>
      </c>
      <c r="I163" s="15" t="s">
        <v>610</v>
      </c>
      <c r="J163" s="30">
        <v>43318</v>
      </c>
      <c r="K163" s="30">
        <v>43805</v>
      </c>
      <c r="L163" s="31">
        <f t="shared" si="88"/>
        <v>85</v>
      </c>
      <c r="M163" s="20">
        <v>3</v>
      </c>
      <c r="N163" s="20" t="s">
        <v>605</v>
      </c>
      <c r="O163" s="20" t="s">
        <v>606</v>
      </c>
      <c r="P163" s="20" t="s">
        <v>39</v>
      </c>
      <c r="Q163" s="20" t="s">
        <v>293</v>
      </c>
      <c r="R163" s="2">
        <f t="shared" si="89"/>
        <v>339865.02</v>
      </c>
      <c r="S163" s="35">
        <v>339865.02</v>
      </c>
      <c r="T163" s="38">
        <v>0</v>
      </c>
      <c r="U163" s="33">
        <f t="shared" si="90"/>
        <v>51979.35</v>
      </c>
      <c r="V163" s="35">
        <v>51979.35</v>
      </c>
      <c r="W163" s="38">
        <v>0</v>
      </c>
      <c r="X163" s="33">
        <f t="shared" si="91"/>
        <v>7996.83</v>
      </c>
      <c r="Y163" s="35">
        <v>7996.83</v>
      </c>
      <c r="Z163" s="35">
        <v>0</v>
      </c>
      <c r="AA163" s="2">
        <f t="shared" si="92"/>
        <v>0</v>
      </c>
      <c r="AB163" s="38">
        <v>0</v>
      </c>
      <c r="AC163" s="38">
        <v>0</v>
      </c>
      <c r="AD163" s="2">
        <f t="shared" si="93"/>
        <v>399841.2</v>
      </c>
      <c r="AE163" s="35">
        <v>0</v>
      </c>
      <c r="AF163" s="2">
        <f t="shared" si="94"/>
        <v>399841.2</v>
      </c>
      <c r="AG163" s="24" t="s">
        <v>41</v>
      </c>
      <c r="AH163" s="39"/>
      <c r="AI163" s="35">
        <v>229276.43000000002</v>
      </c>
      <c r="AJ163" s="36">
        <v>35065.81</v>
      </c>
      <c r="AK163" s="28">
        <f t="shared" si="78"/>
        <v>110588.59</v>
      </c>
      <c r="AL163" s="28">
        <f t="shared" si="79"/>
        <v>16913.54</v>
      </c>
      <c r="AM163" s="29">
        <f t="shared" si="80"/>
        <v>0.67461026145026637</v>
      </c>
    </row>
    <row r="164" spans="1:39" ht="192" customHeight="1" x14ac:dyDescent="0.25">
      <c r="A164" s="10">
        <v>161</v>
      </c>
      <c r="B164" s="37">
        <v>126286</v>
      </c>
      <c r="C164" s="20">
        <v>513</v>
      </c>
      <c r="D164" s="15" t="s">
        <v>31</v>
      </c>
      <c r="E164" s="14" t="s">
        <v>65</v>
      </c>
      <c r="F164" s="15" t="s">
        <v>611</v>
      </c>
      <c r="G164" s="15" t="s">
        <v>612</v>
      </c>
      <c r="H164" s="20" t="s">
        <v>35</v>
      </c>
      <c r="I164" s="15" t="s">
        <v>613</v>
      </c>
      <c r="J164" s="30">
        <v>43451</v>
      </c>
      <c r="K164" s="30">
        <v>44182</v>
      </c>
      <c r="L164" s="31">
        <f t="shared" si="88"/>
        <v>85.000000627550136</v>
      </c>
      <c r="M164" s="20">
        <v>3</v>
      </c>
      <c r="N164" s="20" t="s">
        <v>614</v>
      </c>
      <c r="O164" s="20" t="s">
        <v>615</v>
      </c>
      <c r="P164" s="20" t="s">
        <v>39</v>
      </c>
      <c r="Q164" s="20" t="s">
        <v>293</v>
      </c>
      <c r="R164" s="2">
        <f t="shared" si="89"/>
        <v>2370328.59</v>
      </c>
      <c r="S164" s="35">
        <v>2370328.59</v>
      </c>
      <c r="T164" s="38">
        <v>0</v>
      </c>
      <c r="U164" s="33">
        <f t="shared" si="90"/>
        <v>362520.82</v>
      </c>
      <c r="V164" s="35">
        <v>362520.82</v>
      </c>
      <c r="W164" s="38">
        <v>0</v>
      </c>
      <c r="X164" s="33">
        <f t="shared" si="91"/>
        <v>55772.44</v>
      </c>
      <c r="Y164" s="35">
        <v>55772.44</v>
      </c>
      <c r="Z164" s="35">
        <v>0</v>
      </c>
      <c r="AA164" s="2">
        <f t="shared" si="92"/>
        <v>0</v>
      </c>
      <c r="AB164" s="38">
        <v>0</v>
      </c>
      <c r="AC164" s="38">
        <v>0</v>
      </c>
      <c r="AD164" s="2">
        <f t="shared" si="93"/>
        <v>2788621.8499999996</v>
      </c>
      <c r="AE164" s="35">
        <v>0</v>
      </c>
      <c r="AF164" s="2">
        <f t="shared" si="94"/>
        <v>2788621.8499999996</v>
      </c>
      <c r="AG164" s="39" t="s">
        <v>69</v>
      </c>
      <c r="AH164" s="39" t="s">
        <v>35</v>
      </c>
      <c r="AI164" s="35">
        <v>632375.72000000009</v>
      </c>
      <c r="AJ164" s="36">
        <v>58480.960000000036</v>
      </c>
      <c r="AK164" s="28">
        <f t="shared" si="78"/>
        <v>1737952.8699999996</v>
      </c>
      <c r="AL164" s="28">
        <f t="shared" si="79"/>
        <v>304039.86</v>
      </c>
      <c r="AM164" s="29">
        <f t="shared" si="80"/>
        <v>0.26678820930898872</v>
      </c>
    </row>
    <row r="165" spans="1:39" ht="192" customHeight="1" x14ac:dyDescent="0.25">
      <c r="A165" s="10">
        <v>162</v>
      </c>
      <c r="B165" s="37">
        <v>129573</v>
      </c>
      <c r="C165" s="20">
        <v>665</v>
      </c>
      <c r="D165" s="15" t="s">
        <v>31</v>
      </c>
      <c r="E165" s="14" t="s">
        <v>79</v>
      </c>
      <c r="F165" s="15" t="s">
        <v>616</v>
      </c>
      <c r="G165" s="15" t="s">
        <v>614</v>
      </c>
      <c r="H165" s="20" t="s">
        <v>35</v>
      </c>
      <c r="I165" s="15" t="s">
        <v>617</v>
      </c>
      <c r="J165" s="30">
        <v>43654</v>
      </c>
      <c r="K165" s="30">
        <v>44569</v>
      </c>
      <c r="L165" s="31">
        <f t="shared" si="88"/>
        <v>85.000000000000014</v>
      </c>
      <c r="M165" s="20">
        <v>3</v>
      </c>
      <c r="N165" s="20" t="s">
        <v>614</v>
      </c>
      <c r="O165" s="20" t="s">
        <v>606</v>
      </c>
      <c r="P165" s="20" t="s">
        <v>39</v>
      </c>
      <c r="Q165" s="20" t="s">
        <v>293</v>
      </c>
      <c r="R165" s="2">
        <f t="shared" si="89"/>
        <v>2547988.73</v>
      </c>
      <c r="S165" s="35">
        <v>2547988.73</v>
      </c>
      <c r="T165" s="38">
        <v>0</v>
      </c>
      <c r="U165" s="33">
        <f t="shared" si="90"/>
        <v>389692.4</v>
      </c>
      <c r="V165" s="35">
        <v>389692.4</v>
      </c>
      <c r="W165" s="38">
        <v>0</v>
      </c>
      <c r="X165" s="33">
        <f t="shared" si="91"/>
        <v>59952.67</v>
      </c>
      <c r="Y165" s="35">
        <v>59952.67</v>
      </c>
      <c r="Z165" s="35">
        <v>0</v>
      </c>
      <c r="AA165" s="2">
        <f t="shared" si="92"/>
        <v>0</v>
      </c>
      <c r="AB165" s="38">
        <v>0</v>
      </c>
      <c r="AC165" s="38">
        <v>0</v>
      </c>
      <c r="AD165" s="2">
        <f t="shared" si="93"/>
        <v>2997633.8</v>
      </c>
      <c r="AE165" s="35">
        <v>21896</v>
      </c>
      <c r="AF165" s="2">
        <f t="shared" si="94"/>
        <v>3019529.8</v>
      </c>
      <c r="AG165" s="39" t="s">
        <v>69</v>
      </c>
      <c r="AH165" s="39" t="s">
        <v>35</v>
      </c>
      <c r="AI165" s="35">
        <v>72625.7</v>
      </c>
      <c r="AJ165" s="36">
        <v>11107.46</v>
      </c>
      <c r="AK165" s="28">
        <f t="shared" si="78"/>
        <v>2475363.0299999998</v>
      </c>
      <c r="AL165" s="28">
        <f t="shared" si="79"/>
        <v>378584.94</v>
      </c>
      <c r="AM165" s="29">
        <f t="shared" si="80"/>
        <v>2.8503148049638351E-2</v>
      </c>
    </row>
    <row r="166" spans="1:39" ht="192" customHeight="1" x14ac:dyDescent="0.25">
      <c r="A166" s="10">
        <v>163</v>
      </c>
      <c r="B166" s="37">
        <v>129682</v>
      </c>
      <c r="C166" s="20">
        <v>666</v>
      </c>
      <c r="D166" s="15" t="s">
        <v>31</v>
      </c>
      <c r="E166" s="14" t="s">
        <v>79</v>
      </c>
      <c r="F166" s="15" t="s">
        <v>618</v>
      </c>
      <c r="G166" s="15" t="s">
        <v>619</v>
      </c>
      <c r="H166" s="20" t="s">
        <v>35</v>
      </c>
      <c r="I166" s="15" t="s">
        <v>620</v>
      </c>
      <c r="J166" s="30">
        <v>43677</v>
      </c>
      <c r="K166" s="30">
        <v>44592</v>
      </c>
      <c r="L166" s="31">
        <f t="shared" si="88"/>
        <v>84.999999798883323</v>
      </c>
      <c r="M166" s="20">
        <v>3</v>
      </c>
      <c r="N166" s="20" t="s">
        <v>621</v>
      </c>
      <c r="O166" s="20" t="s">
        <v>622</v>
      </c>
      <c r="P166" s="20" t="s">
        <v>39</v>
      </c>
      <c r="Q166" s="20" t="s">
        <v>293</v>
      </c>
      <c r="R166" s="2">
        <f t="shared" si="89"/>
        <v>3381122.07</v>
      </c>
      <c r="S166" s="35">
        <v>3381122.07</v>
      </c>
      <c r="T166" s="38">
        <v>0</v>
      </c>
      <c r="U166" s="33">
        <f t="shared" si="90"/>
        <v>517112.16</v>
      </c>
      <c r="V166" s="35">
        <v>517112.16</v>
      </c>
      <c r="W166" s="38">
        <v>0</v>
      </c>
      <c r="X166" s="33">
        <f t="shared" si="91"/>
        <v>79556.45</v>
      </c>
      <c r="Y166" s="35">
        <v>79556.45</v>
      </c>
      <c r="Z166" s="38">
        <v>0</v>
      </c>
      <c r="AA166" s="2">
        <f t="shared" si="92"/>
        <v>0</v>
      </c>
      <c r="AB166" s="2">
        <v>0</v>
      </c>
      <c r="AC166" s="2">
        <v>0</v>
      </c>
      <c r="AD166" s="2">
        <f t="shared" si="93"/>
        <v>3977790.68</v>
      </c>
      <c r="AE166" s="35"/>
      <c r="AF166" s="2">
        <f t="shared" si="94"/>
        <v>3977790.68</v>
      </c>
      <c r="AG166" s="39" t="s">
        <v>69</v>
      </c>
      <c r="AH166" s="39" t="s">
        <v>35</v>
      </c>
      <c r="AI166" s="35">
        <v>232011.58</v>
      </c>
      <c r="AJ166" s="36">
        <v>35483.980000000003</v>
      </c>
      <c r="AK166" s="28">
        <f t="shared" si="78"/>
        <v>3149110.4899999998</v>
      </c>
      <c r="AL166" s="28">
        <f t="shared" si="79"/>
        <v>481628.18</v>
      </c>
      <c r="AM166" s="29">
        <f t="shared" si="80"/>
        <v>6.8619699376899462E-2</v>
      </c>
    </row>
    <row r="167" spans="1:39" ht="192" customHeight="1" x14ac:dyDescent="0.25">
      <c r="A167" s="10">
        <v>164</v>
      </c>
      <c r="B167" s="37">
        <v>119208</v>
      </c>
      <c r="C167" s="20">
        <v>489</v>
      </c>
      <c r="D167" s="15" t="s">
        <v>47</v>
      </c>
      <c r="E167" s="14" t="s">
        <v>48</v>
      </c>
      <c r="F167" s="20" t="s">
        <v>623</v>
      </c>
      <c r="G167" s="20" t="s">
        <v>624</v>
      </c>
      <c r="H167" s="20" t="s">
        <v>132</v>
      </c>
      <c r="I167" s="16" t="s">
        <v>625</v>
      </c>
      <c r="J167" s="30">
        <v>43396</v>
      </c>
      <c r="K167" s="30">
        <v>43884</v>
      </c>
      <c r="L167" s="31">
        <f t="shared" ref="L167:L174" si="95">R167/AD167*100</f>
        <v>85</v>
      </c>
      <c r="M167" s="20">
        <v>1</v>
      </c>
      <c r="N167" s="20" t="s">
        <v>626</v>
      </c>
      <c r="O167" s="20" t="s">
        <v>627</v>
      </c>
      <c r="P167" s="32" t="s">
        <v>39</v>
      </c>
      <c r="Q167" s="20" t="s">
        <v>40</v>
      </c>
      <c r="R167" s="2">
        <f t="shared" ref="R167:R174" si="96">S167+T167</f>
        <v>529360.44999999995</v>
      </c>
      <c r="S167" s="2">
        <v>529360.44999999995</v>
      </c>
      <c r="T167" s="2">
        <v>0</v>
      </c>
      <c r="U167" s="33">
        <f t="shared" ref="U167:U174" si="97">V167+W167</f>
        <v>80961.009999999995</v>
      </c>
      <c r="V167" s="2">
        <v>80961.009999999995</v>
      </c>
      <c r="W167" s="2">
        <v>0</v>
      </c>
      <c r="X167" s="33">
        <f t="shared" ref="X167:X174" si="98">Y167+Z167</f>
        <v>12455.54</v>
      </c>
      <c r="Y167" s="2">
        <v>12455.54</v>
      </c>
      <c r="Z167" s="2">
        <v>0</v>
      </c>
      <c r="AA167" s="2">
        <f t="shared" ref="AA167:AA174" si="99">AB167+AC167</f>
        <v>0</v>
      </c>
      <c r="AB167" s="2">
        <v>0</v>
      </c>
      <c r="AC167" s="2">
        <v>0</v>
      </c>
      <c r="AD167" s="2">
        <f t="shared" ref="AD167:AD174" si="100">R167+U167+X167+AA167</f>
        <v>622777</v>
      </c>
      <c r="AE167" s="2"/>
      <c r="AF167" s="2">
        <f t="shared" ref="AF167:AF174" si="101">AD167+AE167</f>
        <v>622777</v>
      </c>
      <c r="AG167" s="39" t="s">
        <v>628</v>
      </c>
      <c r="AH167" s="34"/>
      <c r="AI167" s="35">
        <v>483717.67</v>
      </c>
      <c r="AJ167" s="36">
        <v>73980.329999999987</v>
      </c>
      <c r="AK167" s="28">
        <f t="shared" si="78"/>
        <v>45642.77999999997</v>
      </c>
      <c r="AL167" s="28">
        <f t="shared" si="79"/>
        <v>6980.6800000000076</v>
      </c>
      <c r="AM167" s="29">
        <f t="shared" si="80"/>
        <v>0.91377750264493696</v>
      </c>
    </row>
    <row r="168" spans="1:39" ht="192" customHeight="1" x14ac:dyDescent="0.25">
      <c r="A168" s="10">
        <v>165</v>
      </c>
      <c r="B168" s="37">
        <v>122867</v>
      </c>
      <c r="C168" s="37">
        <v>105</v>
      </c>
      <c r="D168" s="15" t="s">
        <v>31</v>
      </c>
      <c r="E168" s="14" t="s">
        <v>32</v>
      </c>
      <c r="F168" s="15" t="s">
        <v>629</v>
      </c>
      <c r="G168" s="15" t="s">
        <v>630</v>
      </c>
      <c r="H168" s="20" t="s">
        <v>631</v>
      </c>
      <c r="I168" s="16" t="s">
        <v>632</v>
      </c>
      <c r="J168" s="30">
        <v>43342</v>
      </c>
      <c r="K168" s="30">
        <v>43707</v>
      </c>
      <c r="L168" s="31">
        <f t="shared" si="95"/>
        <v>84.194914940710191</v>
      </c>
      <c r="M168" s="20">
        <v>1</v>
      </c>
      <c r="N168" s="20" t="s">
        <v>633</v>
      </c>
      <c r="O168" s="20" t="s">
        <v>634</v>
      </c>
      <c r="P168" s="32" t="s">
        <v>39</v>
      </c>
      <c r="Q168" s="20" t="s">
        <v>40</v>
      </c>
      <c r="R168" s="2">
        <f t="shared" si="96"/>
        <v>351606.78</v>
      </c>
      <c r="S168" s="2">
        <v>351606.78</v>
      </c>
      <c r="T168" s="2">
        <v>0</v>
      </c>
      <c r="U168" s="33">
        <f t="shared" si="97"/>
        <v>57651.47</v>
      </c>
      <c r="V168" s="2">
        <v>57651.47</v>
      </c>
      <c r="W168" s="2">
        <v>0</v>
      </c>
      <c r="X168" s="33">
        <f t="shared" si="98"/>
        <v>8352.2199999999993</v>
      </c>
      <c r="Y168" s="2">
        <v>8352.2199999999993</v>
      </c>
      <c r="Z168" s="2">
        <v>0</v>
      </c>
      <c r="AA168" s="2">
        <f t="shared" si="99"/>
        <v>0</v>
      </c>
      <c r="AB168" s="2">
        <v>0</v>
      </c>
      <c r="AC168" s="2">
        <v>0</v>
      </c>
      <c r="AD168" s="2">
        <f t="shared" si="100"/>
        <v>417610.47</v>
      </c>
      <c r="AE168" s="2"/>
      <c r="AF168" s="2">
        <f t="shared" si="101"/>
        <v>417610.47</v>
      </c>
      <c r="AG168" s="24" t="s">
        <v>41</v>
      </c>
      <c r="AH168" s="34" t="s">
        <v>46</v>
      </c>
      <c r="AI168" s="35">
        <v>320784.53000000003</v>
      </c>
      <c r="AJ168" s="36">
        <v>52280.650000000009</v>
      </c>
      <c r="AK168" s="28">
        <f t="shared" si="78"/>
        <v>30822.25</v>
      </c>
      <c r="AL168" s="28">
        <f t="shared" si="79"/>
        <v>5370.8199999999924</v>
      </c>
      <c r="AM168" s="29">
        <f t="shared" si="80"/>
        <v>0.91233886331770964</v>
      </c>
    </row>
    <row r="169" spans="1:39" ht="192" customHeight="1" x14ac:dyDescent="0.25">
      <c r="A169" s="10">
        <v>166</v>
      </c>
      <c r="B169" s="37">
        <v>126260</v>
      </c>
      <c r="C169" s="20">
        <v>526</v>
      </c>
      <c r="D169" s="15" t="s">
        <v>31</v>
      </c>
      <c r="E169" s="14" t="s">
        <v>65</v>
      </c>
      <c r="F169" s="15" t="s">
        <v>635</v>
      </c>
      <c r="G169" s="15" t="s">
        <v>636</v>
      </c>
      <c r="H169" s="20" t="s">
        <v>35</v>
      </c>
      <c r="I169" s="16" t="s">
        <v>637</v>
      </c>
      <c r="J169" s="30">
        <v>43433</v>
      </c>
      <c r="K169" s="30">
        <v>44164</v>
      </c>
      <c r="L169" s="31">
        <f t="shared" si="95"/>
        <v>84.999999887651384</v>
      </c>
      <c r="M169" s="20">
        <v>1</v>
      </c>
      <c r="N169" s="20" t="s">
        <v>633</v>
      </c>
      <c r="O169" s="20" t="s">
        <v>634</v>
      </c>
      <c r="P169" s="32" t="s">
        <v>39</v>
      </c>
      <c r="Q169" s="20" t="s">
        <v>40</v>
      </c>
      <c r="R169" s="2">
        <f t="shared" si="96"/>
        <v>2269720.81</v>
      </c>
      <c r="S169" s="2">
        <v>2269720.81</v>
      </c>
      <c r="T169" s="2">
        <v>0</v>
      </c>
      <c r="U169" s="33">
        <f t="shared" si="97"/>
        <v>347133.77</v>
      </c>
      <c r="V169" s="2">
        <v>347133.77</v>
      </c>
      <c r="W169" s="2">
        <v>0</v>
      </c>
      <c r="X169" s="33">
        <f t="shared" si="98"/>
        <v>53405.2</v>
      </c>
      <c r="Y169" s="2">
        <v>53405.2</v>
      </c>
      <c r="Z169" s="2">
        <v>0</v>
      </c>
      <c r="AA169" s="2">
        <f t="shared" si="99"/>
        <v>0</v>
      </c>
      <c r="AB169" s="2">
        <v>0</v>
      </c>
      <c r="AC169" s="2">
        <v>0</v>
      </c>
      <c r="AD169" s="2">
        <f t="shared" si="100"/>
        <v>2670259.7800000003</v>
      </c>
      <c r="AE169" s="2">
        <v>57120</v>
      </c>
      <c r="AF169" s="2">
        <f t="shared" si="101"/>
        <v>2727379.7800000003</v>
      </c>
      <c r="AG169" s="39" t="s">
        <v>69</v>
      </c>
      <c r="AH169" s="34"/>
      <c r="AI169" s="35">
        <v>176317.2</v>
      </c>
      <c r="AJ169" s="36">
        <v>26966.16</v>
      </c>
      <c r="AK169" s="28">
        <f t="shared" si="78"/>
        <v>2093403.61</v>
      </c>
      <c r="AL169" s="28">
        <f t="shared" si="79"/>
        <v>320167.61000000004</v>
      </c>
      <c r="AM169" s="29">
        <f t="shared" si="80"/>
        <v>7.7682329572508091E-2</v>
      </c>
    </row>
    <row r="170" spans="1:39" ht="192" customHeight="1" x14ac:dyDescent="0.25">
      <c r="A170" s="10">
        <v>167</v>
      </c>
      <c r="B170" s="37">
        <v>120572</v>
      </c>
      <c r="C170" s="20">
        <v>82</v>
      </c>
      <c r="D170" s="15" t="s">
        <v>31</v>
      </c>
      <c r="E170" s="14" t="s">
        <v>32</v>
      </c>
      <c r="F170" s="15" t="s">
        <v>638</v>
      </c>
      <c r="G170" s="15" t="s">
        <v>639</v>
      </c>
      <c r="H170" s="20" t="s">
        <v>35</v>
      </c>
      <c r="I170" s="16" t="s">
        <v>640</v>
      </c>
      <c r="J170" s="30">
        <v>43171</v>
      </c>
      <c r="K170" s="30">
        <v>43658</v>
      </c>
      <c r="L170" s="31">
        <f t="shared" si="95"/>
        <v>85.000000359311386</v>
      </c>
      <c r="M170" s="20">
        <v>4</v>
      </c>
      <c r="N170" s="20" t="s">
        <v>641</v>
      </c>
      <c r="O170" s="20" t="s">
        <v>642</v>
      </c>
      <c r="P170" s="32" t="s">
        <v>39</v>
      </c>
      <c r="Q170" s="20" t="s">
        <v>40</v>
      </c>
      <c r="R170" s="33">
        <f t="shared" si="96"/>
        <v>354845.43</v>
      </c>
      <c r="S170" s="2">
        <v>354845.43</v>
      </c>
      <c r="T170" s="2">
        <v>0</v>
      </c>
      <c r="U170" s="33">
        <f t="shared" si="97"/>
        <v>54270.48</v>
      </c>
      <c r="V170" s="2">
        <v>54270.48</v>
      </c>
      <c r="W170" s="2">
        <v>0</v>
      </c>
      <c r="X170" s="33">
        <f t="shared" si="98"/>
        <v>8349.2999999999993</v>
      </c>
      <c r="Y170" s="2">
        <v>8349.2999999999993</v>
      </c>
      <c r="Z170" s="2">
        <v>0</v>
      </c>
      <c r="AA170" s="2">
        <f t="shared" si="99"/>
        <v>0</v>
      </c>
      <c r="AB170" s="2">
        <v>0</v>
      </c>
      <c r="AC170" s="2">
        <v>0</v>
      </c>
      <c r="AD170" s="2">
        <f t="shared" si="100"/>
        <v>417465.20999999996</v>
      </c>
      <c r="AE170" s="2">
        <v>0</v>
      </c>
      <c r="AF170" s="2">
        <f t="shared" si="101"/>
        <v>417465.20999999996</v>
      </c>
      <c r="AG170" s="24" t="s">
        <v>41</v>
      </c>
      <c r="AH170" s="34" t="s">
        <v>35</v>
      </c>
      <c r="AI170" s="35">
        <v>326317.06</v>
      </c>
      <c r="AJ170" s="36">
        <v>49907.31</v>
      </c>
      <c r="AK170" s="28">
        <f t="shared" si="78"/>
        <v>28528.369999999995</v>
      </c>
      <c r="AL170" s="28">
        <f t="shared" si="79"/>
        <v>4363.1700000000055</v>
      </c>
      <c r="AM170" s="29">
        <f t="shared" si="80"/>
        <v>0.91960338900236083</v>
      </c>
    </row>
    <row r="171" spans="1:39" ht="192" customHeight="1" x14ac:dyDescent="0.25">
      <c r="A171" s="10">
        <v>168</v>
      </c>
      <c r="B171" s="37">
        <v>118183</v>
      </c>
      <c r="C171" s="20">
        <v>422</v>
      </c>
      <c r="D171" s="15" t="s">
        <v>54</v>
      </c>
      <c r="E171" s="14" t="s">
        <v>55</v>
      </c>
      <c r="F171" s="15" t="s">
        <v>643</v>
      </c>
      <c r="G171" s="15" t="s">
        <v>639</v>
      </c>
      <c r="H171" s="20" t="s">
        <v>35</v>
      </c>
      <c r="I171" s="15" t="s">
        <v>644</v>
      </c>
      <c r="J171" s="30">
        <v>43290</v>
      </c>
      <c r="K171" s="30">
        <v>43778</v>
      </c>
      <c r="L171" s="31">
        <f t="shared" si="95"/>
        <v>85.000012009815109</v>
      </c>
      <c r="M171" s="20">
        <v>4</v>
      </c>
      <c r="N171" s="20" t="s">
        <v>641</v>
      </c>
      <c r="O171" s="20" t="s">
        <v>642</v>
      </c>
      <c r="P171" s="32" t="s">
        <v>39</v>
      </c>
      <c r="Q171" s="20" t="s">
        <v>645</v>
      </c>
      <c r="R171" s="33">
        <f t="shared" si="96"/>
        <v>247714.09</v>
      </c>
      <c r="S171" s="2">
        <v>247714.09</v>
      </c>
      <c r="T171" s="2">
        <v>0</v>
      </c>
      <c r="U171" s="33">
        <f t="shared" si="97"/>
        <v>37885.64</v>
      </c>
      <c r="V171" s="35">
        <v>37885.64</v>
      </c>
      <c r="W171" s="2">
        <v>0</v>
      </c>
      <c r="X171" s="33">
        <f t="shared" si="98"/>
        <v>5828.57</v>
      </c>
      <c r="Y171" s="35">
        <v>5828.57</v>
      </c>
      <c r="Z171" s="2">
        <v>0</v>
      </c>
      <c r="AA171" s="2">
        <f t="shared" si="99"/>
        <v>0</v>
      </c>
      <c r="AB171" s="2">
        <v>0</v>
      </c>
      <c r="AC171" s="2">
        <v>0</v>
      </c>
      <c r="AD171" s="2">
        <f t="shared" si="100"/>
        <v>291428.3</v>
      </c>
      <c r="AE171" s="2">
        <v>0</v>
      </c>
      <c r="AF171" s="2">
        <f t="shared" si="101"/>
        <v>291428.3</v>
      </c>
      <c r="AG171" s="24" t="s">
        <v>41</v>
      </c>
      <c r="AH171" s="34" t="s">
        <v>646</v>
      </c>
      <c r="AI171" s="35">
        <v>240263.28999999998</v>
      </c>
      <c r="AJ171" s="36">
        <v>36977.890000000021</v>
      </c>
      <c r="AK171" s="28">
        <f t="shared" si="78"/>
        <v>7450.8000000000175</v>
      </c>
      <c r="AL171" s="28">
        <f t="shared" si="79"/>
        <v>907.74999999997817</v>
      </c>
      <c r="AM171" s="29">
        <f t="shared" si="80"/>
        <v>0.9699217755437326</v>
      </c>
    </row>
    <row r="172" spans="1:39" ht="192" customHeight="1" x14ac:dyDescent="0.25">
      <c r="A172" s="10">
        <v>169</v>
      </c>
      <c r="B172" s="37">
        <v>126174</v>
      </c>
      <c r="C172" s="20">
        <v>534</v>
      </c>
      <c r="D172" s="15" t="s">
        <v>31</v>
      </c>
      <c r="E172" s="14" t="s">
        <v>65</v>
      </c>
      <c r="F172" s="15" t="s">
        <v>647</v>
      </c>
      <c r="G172" s="15" t="s">
        <v>648</v>
      </c>
      <c r="H172" s="20" t="s">
        <v>35</v>
      </c>
      <c r="I172" s="16" t="s">
        <v>649</v>
      </c>
      <c r="J172" s="30">
        <v>43447</v>
      </c>
      <c r="K172" s="30">
        <v>44268</v>
      </c>
      <c r="L172" s="31">
        <f t="shared" si="95"/>
        <v>85.000000333995757</v>
      </c>
      <c r="M172" s="20">
        <v>4</v>
      </c>
      <c r="N172" s="20" t="s">
        <v>641</v>
      </c>
      <c r="O172" s="20" t="s">
        <v>642</v>
      </c>
      <c r="P172" s="32" t="s">
        <v>39</v>
      </c>
      <c r="Q172" s="20" t="s">
        <v>40</v>
      </c>
      <c r="R172" s="33">
        <f t="shared" si="96"/>
        <v>2544942.5099999998</v>
      </c>
      <c r="S172" s="2">
        <v>2544942.5099999998</v>
      </c>
      <c r="T172" s="2">
        <v>0</v>
      </c>
      <c r="U172" s="33">
        <f t="shared" si="97"/>
        <v>389226.49</v>
      </c>
      <c r="V172" s="35">
        <v>389226.49</v>
      </c>
      <c r="W172" s="2">
        <v>0</v>
      </c>
      <c r="X172" s="33">
        <f t="shared" si="98"/>
        <v>59881</v>
      </c>
      <c r="Y172" s="35">
        <v>59881</v>
      </c>
      <c r="Z172" s="2">
        <v>0</v>
      </c>
      <c r="AA172" s="2">
        <f t="shared" si="99"/>
        <v>0</v>
      </c>
      <c r="AB172" s="2">
        <v>0</v>
      </c>
      <c r="AC172" s="2">
        <v>0</v>
      </c>
      <c r="AD172" s="2">
        <f t="shared" si="100"/>
        <v>2994050</v>
      </c>
      <c r="AE172" s="2">
        <v>0</v>
      </c>
      <c r="AF172" s="2">
        <f t="shared" si="101"/>
        <v>2994050</v>
      </c>
      <c r="AG172" s="39" t="s">
        <v>69</v>
      </c>
      <c r="AH172" s="39" t="s">
        <v>650</v>
      </c>
      <c r="AI172" s="35">
        <v>34289.85</v>
      </c>
      <c r="AJ172" s="36">
        <v>5244.33</v>
      </c>
      <c r="AK172" s="28">
        <f t="shared" si="78"/>
        <v>2510652.6599999997</v>
      </c>
      <c r="AL172" s="28">
        <f t="shared" si="79"/>
        <v>383982.16</v>
      </c>
      <c r="AM172" s="29">
        <f t="shared" si="80"/>
        <v>1.3473722830776245E-2</v>
      </c>
    </row>
    <row r="173" spans="1:39" ht="192" customHeight="1" x14ac:dyDescent="0.25">
      <c r="A173" s="10">
        <v>170</v>
      </c>
      <c r="B173" s="37">
        <v>129739</v>
      </c>
      <c r="C173" s="20">
        <v>688</v>
      </c>
      <c r="D173" s="15" t="s">
        <v>31</v>
      </c>
      <c r="E173" s="14" t="s">
        <v>79</v>
      </c>
      <c r="F173" s="15" t="s">
        <v>651</v>
      </c>
      <c r="G173" s="15" t="s">
        <v>639</v>
      </c>
      <c r="H173" s="20" t="s">
        <v>35</v>
      </c>
      <c r="I173" s="16" t="s">
        <v>652</v>
      </c>
      <c r="J173" s="30">
        <v>43712</v>
      </c>
      <c r="K173" s="30">
        <v>44443</v>
      </c>
      <c r="L173" s="31">
        <f t="shared" si="95"/>
        <v>85.000000000000014</v>
      </c>
      <c r="M173" s="20">
        <v>4</v>
      </c>
      <c r="N173" s="20" t="s">
        <v>641</v>
      </c>
      <c r="O173" s="20" t="s">
        <v>642</v>
      </c>
      <c r="P173" s="32" t="s">
        <v>39</v>
      </c>
      <c r="Q173" s="20" t="s">
        <v>40</v>
      </c>
      <c r="R173" s="33">
        <f t="shared" si="96"/>
        <v>3309254.34</v>
      </c>
      <c r="S173" s="2">
        <v>3309254.34</v>
      </c>
      <c r="T173" s="2">
        <v>0</v>
      </c>
      <c r="U173" s="33">
        <f t="shared" si="97"/>
        <v>506121.26</v>
      </c>
      <c r="V173" s="35">
        <v>506121.26</v>
      </c>
      <c r="W173" s="2">
        <v>0</v>
      </c>
      <c r="X173" s="33">
        <f t="shared" si="98"/>
        <v>77864.800000000003</v>
      </c>
      <c r="Y173" s="35">
        <v>77864.800000000003</v>
      </c>
      <c r="Z173" s="2">
        <v>0</v>
      </c>
      <c r="AA173" s="2">
        <f t="shared" si="99"/>
        <v>0</v>
      </c>
      <c r="AB173" s="2">
        <v>0</v>
      </c>
      <c r="AC173" s="2">
        <v>0</v>
      </c>
      <c r="AD173" s="2">
        <f t="shared" si="100"/>
        <v>3893240.3999999994</v>
      </c>
      <c r="AE173" s="2">
        <v>0</v>
      </c>
      <c r="AF173" s="2">
        <f t="shared" si="101"/>
        <v>3893240.3999999994</v>
      </c>
      <c r="AG173" s="39" t="s">
        <v>69</v>
      </c>
      <c r="AH173" s="34" t="s">
        <v>35</v>
      </c>
      <c r="AI173" s="35">
        <v>74556.479999999996</v>
      </c>
      <c r="AJ173" s="36">
        <f>8357.89+3044.86</f>
        <v>11402.75</v>
      </c>
      <c r="AK173" s="28">
        <f t="shared" si="78"/>
        <v>3234697.86</v>
      </c>
      <c r="AL173" s="28">
        <f t="shared" si="79"/>
        <v>494718.51</v>
      </c>
      <c r="AM173" s="29">
        <f t="shared" si="80"/>
        <v>2.2529691688792951E-2</v>
      </c>
    </row>
    <row r="174" spans="1:39" ht="192" customHeight="1" x14ac:dyDescent="0.25">
      <c r="A174" s="10">
        <v>171</v>
      </c>
      <c r="B174" s="37">
        <v>129726</v>
      </c>
      <c r="C174" s="20">
        <v>682</v>
      </c>
      <c r="D174" s="15" t="s">
        <v>31</v>
      </c>
      <c r="E174" s="14" t="s">
        <v>79</v>
      </c>
      <c r="F174" s="15" t="s">
        <v>653</v>
      </c>
      <c r="G174" s="15" t="s">
        <v>654</v>
      </c>
      <c r="H174" s="20" t="s">
        <v>420</v>
      </c>
      <c r="I174" s="16" t="s">
        <v>655</v>
      </c>
      <c r="J174" s="30">
        <v>43767</v>
      </c>
      <c r="K174" s="30">
        <v>44680</v>
      </c>
      <c r="L174" s="31">
        <f t="shared" si="95"/>
        <v>84.185745988543189</v>
      </c>
      <c r="M174" s="20">
        <v>4</v>
      </c>
      <c r="N174" s="20" t="s">
        <v>641</v>
      </c>
      <c r="O174" s="20" t="s">
        <v>642</v>
      </c>
      <c r="P174" s="32" t="s">
        <v>39</v>
      </c>
      <c r="Q174" s="20" t="s">
        <v>40</v>
      </c>
      <c r="R174" s="33">
        <f t="shared" si="96"/>
        <v>2817971.65</v>
      </c>
      <c r="S174" s="2">
        <v>2817971.65</v>
      </c>
      <c r="T174" s="2">
        <v>0</v>
      </c>
      <c r="U174" s="33">
        <f t="shared" si="97"/>
        <v>462408.16</v>
      </c>
      <c r="V174" s="35">
        <v>462408.16</v>
      </c>
      <c r="W174" s="2">
        <v>0</v>
      </c>
      <c r="X174" s="33">
        <f t="shared" si="98"/>
        <v>34880.949999999997</v>
      </c>
      <c r="Y174" s="35">
        <v>34880.949999999997</v>
      </c>
      <c r="Z174" s="2">
        <v>0</v>
      </c>
      <c r="AA174" s="2">
        <f t="shared" si="99"/>
        <v>32065.58</v>
      </c>
      <c r="AB174" s="2">
        <v>32065.58</v>
      </c>
      <c r="AC174" s="2">
        <v>0</v>
      </c>
      <c r="AD174" s="2">
        <f t="shared" si="100"/>
        <v>3347326.3400000003</v>
      </c>
      <c r="AE174" s="2">
        <v>0</v>
      </c>
      <c r="AF174" s="2">
        <f t="shared" si="101"/>
        <v>3347326.3400000003</v>
      </c>
      <c r="AG174" s="39" t="s">
        <v>69</v>
      </c>
      <c r="AH174" s="34"/>
      <c r="AI174" s="35">
        <v>199177.47</v>
      </c>
      <c r="AJ174" s="36">
        <f>2899.87</f>
        <v>2899.87</v>
      </c>
      <c r="AK174" s="28">
        <f t="shared" si="78"/>
        <v>2618794.1799999997</v>
      </c>
      <c r="AL174" s="28">
        <f t="shared" si="79"/>
        <v>459508.29</v>
      </c>
      <c r="AM174" s="29">
        <f t="shared" si="80"/>
        <v>7.0681147555192766E-2</v>
      </c>
    </row>
    <row r="175" spans="1:39" ht="192" customHeight="1" x14ac:dyDescent="0.25">
      <c r="A175" s="10">
        <v>172</v>
      </c>
      <c r="B175" s="37">
        <v>120801</v>
      </c>
      <c r="C175" s="20">
        <v>87</v>
      </c>
      <c r="D175" s="15" t="s">
        <v>31</v>
      </c>
      <c r="E175" s="14" t="s">
        <v>32</v>
      </c>
      <c r="F175" s="15" t="s">
        <v>656</v>
      </c>
      <c r="G175" s="15" t="s">
        <v>657</v>
      </c>
      <c r="H175" s="20" t="s">
        <v>658</v>
      </c>
      <c r="I175" s="16" t="s">
        <v>659</v>
      </c>
      <c r="J175" s="30">
        <v>43166</v>
      </c>
      <c r="K175" s="30">
        <v>43653</v>
      </c>
      <c r="L175" s="31">
        <f t="shared" ref="L175:L187" si="102">R175/AD175*100</f>
        <v>84.168038598864953</v>
      </c>
      <c r="M175" s="20">
        <v>3</v>
      </c>
      <c r="N175" s="20" t="s">
        <v>660</v>
      </c>
      <c r="O175" s="20" t="s">
        <v>661</v>
      </c>
      <c r="P175" s="32" t="s">
        <v>39</v>
      </c>
      <c r="Q175" s="20" t="s">
        <v>40</v>
      </c>
      <c r="R175" s="33">
        <f t="shared" ref="R175:R187" si="103">S175+T175</f>
        <v>357481.33</v>
      </c>
      <c r="S175" s="2">
        <v>357481.33</v>
      </c>
      <c r="T175" s="2">
        <v>0</v>
      </c>
      <c r="U175" s="33">
        <f t="shared" ref="U175:U187" si="104">V175+W175</f>
        <v>58747.57</v>
      </c>
      <c r="V175" s="2">
        <v>58747.57</v>
      </c>
      <c r="W175" s="2">
        <v>0</v>
      </c>
      <c r="X175" s="33">
        <f t="shared" ref="X175:X187" si="105">Y175+Z175</f>
        <v>8494.4699999999993</v>
      </c>
      <c r="Y175" s="2">
        <v>8494.4699999999993</v>
      </c>
      <c r="Z175" s="2">
        <v>0</v>
      </c>
      <c r="AA175" s="2">
        <f t="shared" ref="AA175:AA187" si="106">AB175+AC175</f>
        <v>0</v>
      </c>
      <c r="AB175" s="2">
        <v>0</v>
      </c>
      <c r="AC175" s="2">
        <v>0</v>
      </c>
      <c r="AD175" s="2">
        <f t="shared" ref="AD175:AD187" si="107">R175+U175+X175+AA175</f>
        <v>424723.37</v>
      </c>
      <c r="AE175" s="2">
        <v>0</v>
      </c>
      <c r="AF175" s="2">
        <f t="shared" ref="AF175:AF187" si="108">AD175+AE175</f>
        <v>424723.37</v>
      </c>
      <c r="AG175" s="24" t="s">
        <v>41</v>
      </c>
      <c r="AH175" s="34" t="s">
        <v>35</v>
      </c>
      <c r="AI175" s="35">
        <v>301291.38999999996</v>
      </c>
      <c r="AJ175" s="36">
        <v>49583.64</v>
      </c>
      <c r="AK175" s="28">
        <f t="shared" si="78"/>
        <v>56189.940000000061</v>
      </c>
      <c r="AL175" s="28">
        <f t="shared" si="79"/>
        <v>9163.93</v>
      </c>
      <c r="AM175" s="29">
        <f t="shared" si="80"/>
        <v>0.84281713397452096</v>
      </c>
    </row>
    <row r="176" spans="1:39" ht="192" customHeight="1" x14ac:dyDescent="0.25">
      <c r="A176" s="10">
        <v>173</v>
      </c>
      <c r="B176" s="37">
        <v>119511</v>
      </c>
      <c r="C176" s="20">
        <v>464</v>
      </c>
      <c r="D176" s="20" t="s">
        <v>47</v>
      </c>
      <c r="E176" s="14" t="s">
        <v>48</v>
      </c>
      <c r="F176" s="15" t="s">
        <v>662</v>
      </c>
      <c r="G176" s="15" t="s">
        <v>663</v>
      </c>
      <c r="H176" s="20" t="s">
        <v>46</v>
      </c>
      <c r="I176" s="15" t="s">
        <v>664</v>
      </c>
      <c r="J176" s="30">
        <v>43257</v>
      </c>
      <c r="K176" s="30">
        <v>43744</v>
      </c>
      <c r="L176" s="31">
        <f t="shared" si="102"/>
        <v>85.000000259943448</v>
      </c>
      <c r="M176" s="20">
        <v>3</v>
      </c>
      <c r="N176" s="20" t="s">
        <v>665</v>
      </c>
      <c r="O176" s="20" t="s">
        <v>661</v>
      </c>
      <c r="P176" s="20" t="s">
        <v>39</v>
      </c>
      <c r="Q176" s="20" t="s">
        <v>293</v>
      </c>
      <c r="R176" s="33">
        <f t="shared" si="103"/>
        <v>490491.32</v>
      </c>
      <c r="S176" s="2">
        <v>490491.32</v>
      </c>
      <c r="T176" s="2">
        <v>0</v>
      </c>
      <c r="U176" s="33">
        <f t="shared" si="104"/>
        <v>75016.320000000007</v>
      </c>
      <c r="V176" s="2">
        <v>75016.320000000007</v>
      </c>
      <c r="W176" s="2">
        <v>0</v>
      </c>
      <c r="X176" s="33">
        <f t="shared" si="105"/>
        <v>11540.97</v>
      </c>
      <c r="Y176" s="35">
        <v>11540.97</v>
      </c>
      <c r="Z176" s="35">
        <v>0</v>
      </c>
      <c r="AA176" s="2">
        <f t="shared" si="106"/>
        <v>0</v>
      </c>
      <c r="AB176" s="2">
        <v>0</v>
      </c>
      <c r="AC176" s="2">
        <v>0</v>
      </c>
      <c r="AD176" s="2">
        <f t="shared" si="107"/>
        <v>577048.61</v>
      </c>
      <c r="AE176" s="39">
        <v>0</v>
      </c>
      <c r="AF176" s="2">
        <f t="shared" si="108"/>
        <v>577048.61</v>
      </c>
      <c r="AG176" s="24" t="s">
        <v>41</v>
      </c>
      <c r="AH176" s="39" t="s">
        <v>666</v>
      </c>
      <c r="AI176" s="35">
        <v>469162.02000000008</v>
      </c>
      <c r="AJ176" s="36">
        <v>71754.200000000012</v>
      </c>
      <c r="AK176" s="28">
        <f t="shared" si="78"/>
        <v>21329.29999999993</v>
      </c>
      <c r="AL176" s="28">
        <f t="shared" si="79"/>
        <v>3262.1199999999953</v>
      </c>
      <c r="AM176" s="29">
        <f t="shared" si="80"/>
        <v>0.95651441905230872</v>
      </c>
    </row>
    <row r="177" spans="1:39" ht="192" customHeight="1" x14ac:dyDescent="0.25">
      <c r="A177" s="10">
        <v>174</v>
      </c>
      <c r="B177" s="37">
        <v>118799</v>
      </c>
      <c r="C177" s="20">
        <v>447</v>
      </c>
      <c r="D177" s="15" t="s">
        <v>54</v>
      </c>
      <c r="E177" s="14" t="s">
        <v>55</v>
      </c>
      <c r="F177" s="15" t="s">
        <v>667</v>
      </c>
      <c r="G177" s="15" t="s">
        <v>657</v>
      </c>
      <c r="H177" s="20" t="s">
        <v>668</v>
      </c>
      <c r="I177" s="15" t="s">
        <v>669</v>
      </c>
      <c r="J177" s="30">
        <v>43425</v>
      </c>
      <c r="K177" s="30">
        <v>43911</v>
      </c>
      <c r="L177" s="31">
        <f t="shared" si="102"/>
        <v>84.156466663338946</v>
      </c>
      <c r="M177" s="20">
        <v>3</v>
      </c>
      <c r="N177" s="20" t="s">
        <v>660</v>
      </c>
      <c r="O177" s="20" t="s">
        <v>661</v>
      </c>
      <c r="P177" s="32" t="s">
        <v>39</v>
      </c>
      <c r="Q177" s="20" t="s">
        <v>40</v>
      </c>
      <c r="R177" s="33">
        <f t="shared" si="103"/>
        <v>242273.6</v>
      </c>
      <c r="S177" s="2">
        <v>242273.6</v>
      </c>
      <c r="T177" s="2">
        <v>0</v>
      </c>
      <c r="U177" s="33">
        <f t="shared" si="104"/>
        <v>39853.410000000003</v>
      </c>
      <c r="V177" s="2">
        <v>39853.410000000003</v>
      </c>
      <c r="W177" s="2">
        <v>0</v>
      </c>
      <c r="X177" s="33">
        <f t="shared" si="105"/>
        <v>2900.76</v>
      </c>
      <c r="Y177" s="35">
        <v>2900.76</v>
      </c>
      <c r="Z177" s="35">
        <v>0</v>
      </c>
      <c r="AA177" s="2">
        <f t="shared" si="106"/>
        <v>2856.94</v>
      </c>
      <c r="AB177" s="2">
        <v>2856.94</v>
      </c>
      <c r="AC177" s="2">
        <v>0</v>
      </c>
      <c r="AD177" s="2">
        <f t="shared" si="107"/>
        <v>287884.71000000002</v>
      </c>
      <c r="AE177" s="39">
        <v>0</v>
      </c>
      <c r="AF177" s="2">
        <f t="shared" si="108"/>
        <v>287884.71000000002</v>
      </c>
      <c r="AG177" s="39" t="s">
        <v>41</v>
      </c>
      <c r="AH177" s="39" t="s">
        <v>670</v>
      </c>
      <c r="AI177" s="35">
        <v>230490.21</v>
      </c>
      <c r="AJ177" s="36">
        <v>37359.03</v>
      </c>
      <c r="AK177" s="28">
        <f t="shared" si="78"/>
        <v>11783.390000000014</v>
      </c>
      <c r="AL177" s="28">
        <f t="shared" si="79"/>
        <v>2494.3800000000047</v>
      </c>
      <c r="AM177" s="29">
        <f t="shared" si="80"/>
        <v>0.95136329340051906</v>
      </c>
    </row>
    <row r="178" spans="1:39" ht="192" customHeight="1" x14ac:dyDescent="0.25">
      <c r="A178" s="10">
        <v>175</v>
      </c>
      <c r="B178" s="37">
        <v>126115</v>
      </c>
      <c r="C178" s="20">
        <v>542</v>
      </c>
      <c r="D178" s="15" t="s">
        <v>31</v>
      </c>
      <c r="E178" s="14" t="s">
        <v>65</v>
      </c>
      <c r="F178" s="15" t="s">
        <v>671</v>
      </c>
      <c r="G178" s="15" t="s">
        <v>663</v>
      </c>
      <c r="H178" s="20" t="s">
        <v>132</v>
      </c>
      <c r="I178" s="43" t="s">
        <v>672</v>
      </c>
      <c r="J178" s="30">
        <v>43564</v>
      </c>
      <c r="K178" s="30">
        <v>44174</v>
      </c>
      <c r="L178" s="31">
        <f t="shared" si="102"/>
        <v>85.000000984188233</v>
      </c>
      <c r="M178" s="20">
        <v>3</v>
      </c>
      <c r="N178" s="20" t="s">
        <v>660</v>
      </c>
      <c r="O178" s="20" t="s">
        <v>663</v>
      </c>
      <c r="P178" s="32" t="s">
        <v>39</v>
      </c>
      <c r="Q178" s="20" t="s">
        <v>40</v>
      </c>
      <c r="R178" s="33">
        <f t="shared" si="103"/>
        <v>431827.97</v>
      </c>
      <c r="S178" s="2">
        <v>431827.97</v>
      </c>
      <c r="T178" s="2">
        <v>0</v>
      </c>
      <c r="U178" s="33">
        <f t="shared" si="104"/>
        <v>66044.27</v>
      </c>
      <c r="V178" s="2">
        <v>66044.27</v>
      </c>
      <c r="W178" s="2">
        <v>0</v>
      </c>
      <c r="X178" s="33">
        <f t="shared" si="105"/>
        <v>10160.66</v>
      </c>
      <c r="Y178" s="35">
        <v>10160.66</v>
      </c>
      <c r="Z178" s="35">
        <v>0</v>
      </c>
      <c r="AA178" s="2">
        <f t="shared" si="106"/>
        <v>0</v>
      </c>
      <c r="AB178" s="108">
        <v>0</v>
      </c>
      <c r="AC178" s="108">
        <v>0</v>
      </c>
      <c r="AD178" s="2">
        <f t="shared" si="107"/>
        <v>508032.89999999997</v>
      </c>
      <c r="AE178" s="35">
        <v>0</v>
      </c>
      <c r="AF178" s="2">
        <f t="shared" si="108"/>
        <v>508032.89999999997</v>
      </c>
      <c r="AG178" s="39" t="s">
        <v>69</v>
      </c>
      <c r="AH178" s="39"/>
      <c r="AI178" s="35">
        <v>126250.70999999999</v>
      </c>
      <c r="AJ178" s="36">
        <v>19308.93</v>
      </c>
      <c r="AK178" s="28">
        <f t="shared" si="78"/>
        <v>305577.26</v>
      </c>
      <c r="AL178" s="28">
        <f t="shared" si="79"/>
        <v>46735.340000000004</v>
      </c>
      <c r="AM178" s="29">
        <f t="shared" si="80"/>
        <v>0.29236343815339244</v>
      </c>
    </row>
    <row r="179" spans="1:39" ht="192" customHeight="1" x14ac:dyDescent="0.25">
      <c r="A179" s="10">
        <v>176</v>
      </c>
      <c r="B179" s="37">
        <v>129261</v>
      </c>
      <c r="C179" s="20">
        <v>648</v>
      </c>
      <c r="D179" s="15" t="s">
        <v>31</v>
      </c>
      <c r="E179" s="14" t="s">
        <v>79</v>
      </c>
      <c r="F179" s="40" t="s">
        <v>673</v>
      </c>
      <c r="G179" s="15" t="s">
        <v>674</v>
      </c>
      <c r="H179" s="20" t="s">
        <v>35</v>
      </c>
      <c r="I179" s="15" t="s">
        <v>675</v>
      </c>
      <c r="J179" s="30">
        <v>43643</v>
      </c>
      <c r="K179" s="30">
        <v>44192</v>
      </c>
      <c r="L179" s="31">
        <f t="shared" si="102"/>
        <v>84.999999897463027</v>
      </c>
      <c r="M179" s="20">
        <v>3</v>
      </c>
      <c r="N179" s="20" t="s">
        <v>660</v>
      </c>
      <c r="O179" s="20" t="s">
        <v>663</v>
      </c>
      <c r="P179" s="32" t="s">
        <v>39</v>
      </c>
      <c r="Q179" s="20" t="s">
        <v>40</v>
      </c>
      <c r="R179" s="33">
        <f t="shared" si="103"/>
        <v>2486907.71</v>
      </c>
      <c r="S179" s="2">
        <v>2486907.71</v>
      </c>
      <c r="T179" s="2">
        <v>0</v>
      </c>
      <c r="U179" s="33">
        <f t="shared" si="104"/>
        <v>380350.59</v>
      </c>
      <c r="V179" s="2">
        <v>380350.59</v>
      </c>
      <c r="W179" s="2">
        <v>0</v>
      </c>
      <c r="X179" s="33">
        <f t="shared" si="105"/>
        <v>58515.48</v>
      </c>
      <c r="Y179" s="35">
        <v>58515.48</v>
      </c>
      <c r="Z179" s="35">
        <v>0</v>
      </c>
      <c r="AA179" s="2">
        <f t="shared" si="106"/>
        <v>0</v>
      </c>
      <c r="AB179" s="109">
        <v>0</v>
      </c>
      <c r="AC179" s="109">
        <v>0</v>
      </c>
      <c r="AD179" s="2">
        <f t="shared" si="107"/>
        <v>2925773.78</v>
      </c>
      <c r="AE179" s="35">
        <v>0</v>
      </c>
      <c r="AF179" s="2">
        <f t="shared" si="108"/>
        <v>2925773.78</v>
      </c>
      <c r="AG179" s="39" t="s">
        <v>69</v>
      </c>
      <c r="AH179" s="39"/>
      <c r="AI179" s="35">
        <v>189771.86</v>
      </c>
      <c r="AJ179" s="36">
        <v>29023.93</v>
      </c>
      <c r="AK179" s="28">
        <f t="shared" si="78"/>
        <v>2297135.85</v>
      </c>
      <c r="AL179" s="28">
        <f t="shared" si="79"/>
        <v>351326.66000000003</v>
      </c>
      <c r="AM179" s="29">
        <f t="shared" si="80"/>
        <v>7.6308364494957467E-2</v>
      </c>
    </row>
    <row r="180" spans="1:39" ht="192" customHeight="1" x14ac:dyDescent="0.25">
      <c r="A180" s="10">
        <v>177</v>
      </c>
      <c r="B180" s="37">
        <v>129205</v>
      </c>
      <c r="C180" s="20">
        <v>684</v>
      </c>
      <c r="D180" s="15" t="s">
        <v>31</v>
      </c>
      <c r="E180" s="14" t="s">
        <v>79</v>
      </c>
      <c r="F180" s="40" t="s">
        <v>676</v>
      </c>
      <c r="G180" s="15" t="s">
        <v>663</v>
      </c>
      <c r="H180" s="20" t="s">
        <v>35</v>
      </c>
      <c r="I180" s="15" t="s">
        <v>677</v>
      </c>
      <c r="J180" s="30">
        <v>43654</v>
      </c>
      <c r="K180" s="30">
        <v>44569</v>
      </c>
      <c r="L180" s="31">
        <f t="shared" si="102"/>
        <v>84.99999990778575</v>
      </c>
      <c r="M180" s="20">
        <v>3</v>
      </c>
      <c r="N180" s="20" t="s">
        <v>660</v>
      </c>
      <c r="O180" s="20" t="s">
        <v>663</v>
      </c>
      <c r="P180" s="32" t="s">
        <v>39</v>
      </c>
      <c r="Q180" s="20" t="s">
        <v>40</v>
      </c>
      <c r="R180" s="33">
        <f t="shared" si="103"/>
        <v>2304415.83</v>
      </c>
      <c r="S180" s="2">
        <v>2304415.83</v>
      </c>
      <c r="T180" s="2">
        <v>0</v>
      </c>
      <c r="U180" s="33">
        <f t="shared" si="104"/>
        <v>352440.07</v>
      </c>
      <c r="V180" s="2">
        <v>352440.07</v>
      </c>
      <c r="W180" s="2">
        <v>0</v>
      </c>
      <c r="X180" s="33">
        <f t="shared" si="105"/>
        <v>54221.55</v>
      </c>
      <c r="Y180" s="35">
        <v>54221.55</v>
      </c>
      <c r="Z180" s="35">
        <v>0</v>
      </c>
      <c r="AA180" s="2">
        <f t="shared" si="106"/>
        <v>0</v>
      </c>
      <c r="AB180" s="109">
        <v>0</v>
      </c>
      <c r="AC180" s="109">
        <v>0</v>
      </c>
      <c r="AD180" s="2">
        <f t="shared" si="107"/>
        <v>2711077.4499999997</v>
      </c>
      <c r="AE180" s="35"/>
      <c r="AF180" s="2">
        <f t="shared" si="108"/>
        <v>2711077.4499999997</v>
      </c>
      <c r="AG180" s="39" t="s">
        <v>69</v>
      </c>
      <c r="AH180" s="39"/>
      <c r="AI180" s="35">
        <v>104640.72</v>
      </c>
      <c r="AJ180" s="36">
        <f>13068.78+1196.32+1738.75</f>
        <v>16003.85</v>
      </c>
      <c r="AK180" s="28">
        <f t="shared" si="78"/>
        <v>2199775.11</v>
      </c>
      <c r="AL180" s="28">
        <f t="shared" si="79"/>
        <v>336436.22000000003</v>
      </c>
      <c r="AM180" s="29">
        <f t="shared" si="80"/>
        <v>4.540878370897148E-2</v>
      </c>
    </row>
    <row r="181" spans="1:39" ht="192" customHeight="1" x14ac:dyDescent="0.25">
      <c r="A181" s="10">
        <v>178</v>
      </c>
      <c r="B181" s="37">
        <v>129737</v>
      </c>
      <c r="C181" s="20">
        <v>689</v>
      </c>
      <c r="D181" s="15" t="str">
        <f>D180</f>
        <v>AP 2/11i/2.1</v>
      </c>
      <c r="E181" s="14" t="str">
        <f>E180</f>
        <v>CP 12 less/2018</v>
      </c>
      <c r="F181" s="40" t="s">
        <v>678</v>
      </c>
      <c r="G181" s="15" t="s">
        <v>679</v>
      </c>
      <c r="H181" s="20" t="s">
        <v>35</v>
      </c>
      <c r="I181" s="15" t="s">
        <v>680</v>
      </c>
      <c r="J181" s="30">
        <v>43725</v>
      </c>
      <c r="K181" s="30">
        <v>44272</v>
      </c>
      <c r="L181" s="31">
        <f t="shared" si="102"/>
        <v>85.000000229159838</v>
      </c>
      <c r="M181" s="20">
        <v>3</v>
      </c>
      <c r="N181" s="20" t="s">
        <v>660</v>
      </c>
      <c r="O181" s="20" t="s">
        <v>663</v>
      </c>
      <c r="P181" s="32" t="s">
        <v>39</v>
      </c>
      <c r="Q181" s="20" t="s">
        <v>40</v>
      </c>
      <c r="R181" s="33">
        <f t="shared" si="103"/>
        <v>3152821.19</v>
      </c>
      <c r="S181" s="2">
        <v>3152821.19</v>
      </c>
      <c r="T181" s="2">
        <v>0</v>
      </c>
      <c r="U181" s="33">
        <f t="shared" si="104"/>
        <v>482196.17</v>
      </c>
      <c r="V181" s="2">
        <v>482196.17</v>
      </c>
      <c r="W181" s="2">
        <v>0</v>
      </c>
      <c r="X181" s="33">
        <f t="shared" si="105"/>
        <v>74184.03</v>
      </c>
      <c r="Y181" s="35">
        <v>74184.03</v>
      </c>
      <c r="Z181" s="35">
        <v>0</v>
      </c>
      <c r="AA181" s="2">
        <f t="shared" si="106"/>
        <v>0</v>
      </c>
      <c r="AB181" s="108">
        <v>0</v>
      </c>
      <c r="AC181" s="108">
        <v>0</v>
      </c>
      <c r="AD181" s="2">
        <f t="shared" si="107"/>
        <v>3709201.3899999997</v>
      </c>
      <c r="AE181" s="35"/>
      <c r="AF181" s="2">
        <f t="shared" si="108"/>
        <v>3709201.3899999997</v>
      </c>
      <c r="AG181" s="39" t="s">
        <v>69</v>
      </c>
      <c r="AH181" s="39" t="str">
        <f>AH182</f>
        <v>AA1/19.11.2019</v>
      </c>
      <c r="AI181" s="110">
        <v>25211.85</v>
      </c>
      <c r="AJ181" s="111">
        <f>1956.11+1899.82</f>
        <v>3855.93</v>
      </c>
      <c r="AK181" s="28">
        <f t="shared" si="78"/>
        <v>3127609.34</v>
      </c>
      <c r="AL181" s="28">
        <f t="shared" si="79"/>
        <v>478340.24</v>
      </c>
      <c r="AM181" s="29">
        <f t="shared" si="80"/>
        <v>7.9966000228512794E-3</v>
      </c>
    </row>
    <row r="182" spans="1:39" ht="192" customHeight="1" x14ac:dyDescent="0.25">
      <c r="A182" s="10">
        <v>179</v>
      </c>
      <c r="B182" s="37">
        <v>118062</v>
      </c>
      <c r="C182" s="20">
        <v>421</v>
      </c>
      <c r="D182" s="15" t="s">
        <v>54</v>
      </c>
      <c r="E182" s="14" t="s">
        <v>55</v>
      </c>
      <c r="F182" s="32" t="s">
        <v>681</v>
      </c>
      <c r="G182" s="7" t="s">
        <v>682</v>
      </c>
      <c r="H182" s="20" t="s">
        <v>683</v>
      </c>
      <c r="I182" s="15" t="s">
        <v>684</v>
      </c>
      <c r="J182" s="30">
        <v>43412</v>
      </c>
      <c r="K182" s="30">
        <v>43898</v>
      </c>
      <c r="L182" s="31">
        <f t="shared" si="102"/>
        <v>85.000007860659679</v>
      </c>
      <c r="M182" s="20">
        <v>6</v>
      </c>
      <c r="N182" s="20" t="s">
        <v>685</v>
      </c>
      <c r="O182" s="20" t="s">
        <v>686</v>
      </c>
      <c r="P182" s="32" t="s">
        <v>39</v>
      </c>
      <c r="Q182" s="32" t="s">
        <v>40</v>
      </c>
      <c r="R182" s="33">
        <f t="shared" si="103"/>
        <v>308180.27</v>
      </c>
      <c r="S182" s="41">
        <v>308180.27</v>
      </c>
      <c r="T182" s="41">
        <v>0</v>
      </c>
      <c r="U182" s="33">
        <f t="shared" si="104"/>
        <v>47133.4</v>
      </c>
      <c r="V182" s="41">
        <v>47133.4</v>
      </c>
      <c r="W182" s="41">
        <v>0</v>
      </c>
      <c r="X182" s="35">
        <f t="shared" si="105"/>
        <v>7251.32</v>
      </c>
      <c r="Y182" s="35">
        <v>7251.32</v>
      </c>
      <c r="Z182" s="35">
        <v>0</v>
      </c>
      <c r="AA182" s="2">
        <f t="shared" si="106"/>
        <v>0</v>
      </c>
      <c r="AB182" s="108">
        <v>0</v>
      </c>
      <c r="AC182" s="108">
        <v>0</v>
      </c>
      <c r="AD182" s="2">
        <f t="shared" si="107"/>
        <v>362564.99000000005</v>
      </c>
      <c r="AE182" s="108">
        <v>0</v>
      </c>
      <c r="AF182" s="2">
        <f t="shared" si="108"/>
        <v>362564.99000000005</v>
      </c>
      <c r="AG182" s="39" t="s">
        <v>41</v>
      </c>
      <c r="AH182" s="39" t="s">
        <v>687</v>
      </c>
      <c r="AI182" s="110">
        <v>249239.43</v>
      </c>
      <c r="AJ182" s="36">
        <v>38118.980000000003</v>
      </c>
      <c r="AK182" s="28">
        <f t="shared" si="78"/>
        <v>58940.840000000026</v>
      </c>
      <c r="AL182" s="28">
        <f t="shared" si="79"/>
        <v>9014.4199999999983</v>
      </c>
      <c r="AM182" s="29">
        <f t="shared" si="80"/>
        <v>0.80874557608765796</v>
      </c>
    </row>
    <row r="183" spans="1:39" ht="192" customHeight="1" x14ac:dyDescent="0.25">
      <c r="A183" s="10">
        <v>180</v>
      </c>
      <c r="B183" s="20">
        <v>126302</v>
      </c>
      <c r="C183" s="20">
        <v>521</v>
      </c>
      <c r="D183" s="15" t="s">
        <v>31</v>
      </c>
      <c r="E183" s="14" t="s">
        <v>65</v>
      </c>
      <c r="F183" s="63" t="s">
        <v>688</v>
      </c>
      <c r="G183" s="63" t="s">
        <v>689</v>
      </c>
      <c r="H183" s="20" t="s">
        <v>35</v>
      </c>
      <c r="I183" s="16" t="s">
        <v>690</v>
      </c>
      <c r="J183" s="30">
        <v>43447</v>
      </c>
      <c r="K183" s="30">
        <v>44360</v>
      </c>
      <c r="L183" s="31">
        <f t="shared" si="102"/>
        <v>85.000000283587156</v>
      </c>
      <c r="M183" s="20">
        <v>6</v>
      </c>
      <c r="N183" s="20" t="s">
        <v>685</v>
      </c>
      <c r="O183" s="20" t="s">
        <v>686</v>
      </c>
      <c r="P183" s="32" t="s">
        <v>39</v>
      </c>
      <c r="Q183" s="20" t="s">
        <v>40</v>
      </c>
      <c r="R183" s="33">
        <f t="shared" si="103"/>
        <v>2697583.52</v>
      </c>
      <c r="S183" s="2">
        <v>2697583.52</v>
      </c>
      <c r="T183" s="2">
        <v>0</v>
      </c>
      <c r="U183" s="33">
        <f t="shared" si="104"/>
        <v>412571.59</v>
      </c>
      <c r="V183" s="2">
        <v>412571.59</v>
      </c>
      <c r="W183" s="2">
        <v>0</v>
      </c>
      <c r="X183" s="33">
        <f t="shared" si="105"/>
        <v>63472.55</v>
      </c>
      <c r="Y183" s="2">
        <v>63472.55</v>
      </c>
      <c r="Z183" s="35">
        <v>0</v>
      </c>
      <c r="AA183" s="2">
        <f t="shared" si="106"/>
        <v>0</v>
      </c>
      <c r="AB183" s="2">
        <v>0</v>
      </c>
      <c r="AC183" s="2">
        <v>0</v>
      </c>
      <c r="AD183" s="2">
        <f t="shared" si="107"/>
        <v>3173627.6599999997</v>
      </c>
      <c r="AE183" s="2">
        <v>44744</v>
      </c>
      <c r="AF183" s="2">
        <f t="shared" si="108"/>
        <v>3218371.6599999997</v>
      </c>
      <c r="AG183" s="39" t="s">
        <v>69</v>
      </c>
      <c r="AH183" s="39"/>
      <c r="AI183" s="110">
        <v>868935.84999999986</v>
      </c>
      <c r="AJ183" s="36">
        <v>84361.34</v>
      </c>
      <c r="AK183" s="28">
        <f t="shared" si="78"/>
        <v>1828647.6700000002</v>
      </c>
      <c r="AL183" s="28">
        <f t="shared" si="79"/>
        <v>328210.25</v>
      </c>
      <c r="AM183" s="29">
        <f t="shared" si="80"/>
        <v>0.3221163843705569</v>
      </c>
    </row>
    <row r="184" spans="1:39" ht="192" customHeight="1" x14ac:dyDescent="0.25">
      <c r="A184" s="10">
        <v>181</v>
      </c>
      <c r="B184" s="37">
        <v>126243</v>
      </c>
      <c r="C184" s="20">
        <v>549</v>
      </c>
      <c r="D184" s="20" t="s">
        <v>31</v>
      </c>
      <c r="E184" s="14" t="s">
        <v>65</v>
      </c>
      <c r="F184" s="63" t="s">
        <v>691</v>
      </c>
      <c r="G184" s="63" t="s">
        <v>682</v>
      </c>
      <c r="H184" s="20" t="s">
        <v>132</v>
      </c>
      <c r="I184" s="63" t="s">
        <v>692</v>
      </c>
      <c r="J184" s="30">
        <v>43556</v>
      </c>
      <c r="K184" s="30">
        <v>44317</v>
      </c>
      <c r="L184" s="31">
        <f t="shared" si="102"/>
        <v>84.9999995883324</v>
      </c>
      <c r="M184" s="20">
        <v>6</v>
      </c>
      <c r="N184" s="20" t="s">
        <v>685</v>
      </c>
      <c r="O184" s="20" t="s">
        <v>693</v>
      </c>
      <c r="P184" s="20" t="s">
        <v>39</v>
      </c>
      <c r="Q184" s="20" t="s">
        <v>40</v>
      </c>
      <c r="R184" s="33">
        <f t="shared" si="103"/>
        <v>2477727.14</v>
      </c>
      <c r="S184" s="2">
        <v>2477727.14</v>
      </c>
      <c r="T184" s="2">
        <v>0</v>
      </c>
      <c r="U184" s="33">
        <f t="shared" si="104"/>
        <v>378946.5</v>
      </c>
      <c r="V184" s="2">
        <v>378946.5</v>
      </c>
      <c r="W184" s="2">
        <v>0</v>
      </c>
      <c r="X184" s="33">
        <f t="shared" si="105"/>
        <v>58299.48</v>
      </c>
      <c r="Y184" s="2">
        <v>58299.48</v>
      </c>
      <c r="Z184" s="2">
        <v>0</v>
      </c>
      <c r="AA184" s="2">
        <f t="shared" si="106"/>
        <v>0</v>
      </c>
      <c r="AB184" s="2">
        <v>0</v>
      </c>
      <c r="AC184" s="2">
        <v>0</v>
      </c>
      <c r="AD184" s="2">
        <f t="shared" si="107"/>
        <v>2914973.12</v>
      </c>
      <c r="AE184" s="2">
        <v>16660</v>
      </c>
      <c r="AF184" s="2">
        <f t="shared" si="108"/>
        <v>2931633.12</v>
      </c>
      <c r="AG184" s="39" t="s">
        <v>69</v>
      </c>
      <c r="AH184" s="39"/>
      <c r="AI184" s="35">
        <v>117498.14</v>
      </c>
      <c r="AJ184" s="36">
        <v>17970.3</v>
      </c>
      <c r="AK184" s="28">
        <f t="shared" si="78"/>
        <v>2360229</v>
      </c>
      <c r="AL184" s="28">
        <f t="shared" si="79"/>
        <v>360976.2</v>
      </c>
      <c r="AM184" s="29">
        <f t="shared" si="80"/>
        <v>4.7421743138350576E-2</v>
      </c>
    </row>
    <row r="185" spans="1:39" ht="192" customHeight="1" x14ac:dyDescent="0.25">
      <c r="A185" s="10">
        <v>182</v>
      </c>
      <c r="B185" s="37">
        <v>119429</v>
      </c>
      <c r="C185" s="37">
        <v>472</v>
      </c>
      <c r="D185" s="20" t="s">
        <v>47</v>
      </c>
      <c r="E185" s="14" t="s">
        <v>48</v>
      </c>
      <c r="F185" s="15" t="s">
        <v>694</v>
      </c>
      <c r="G185" s="15" t="s">
        <v>695</v>
      </c>
      <c r="H185" s="20" t="s">
        <v>132</v>
      </c>
      <c r="I185" s="112" t="s">
        <v>696</v>
      </c>
      <c r="J185" s="30">
        <v>43304</v>
      </c>
      <c r="K185" s="30">
        <v>43669</v>
      </c>
      <c r="L185" s="31">
        <f t="shared" si="102"/>
        <v>85.000001381242228</v>
      </c>
      <c r="M185" s="20">
        <v>6</v>
      </c>
      <c r="N185" s="20" t="s">
        <v>697</v>
      </c>
      <c r="O185" s="20" t="s">
        <v>698</v>
      </c>
      <c r="P185" s="32" t="s">
        <v>39</v>
      </c>
      <c r="Q185" s="20" t="s">
        <v>293</v>
      </c>
      <c r="R185" s="2">
        <f t="shared" si="103"/>
        <v>215385.83</v>
      </c>
      <c r="S185" s="2">
        <v>215385.83</v>
      </c>
      <c r="T185" s="2">
        <v>0</v>
      </c>
      <c r="U185" s="2">
        <f t="shared" si="104"/>
        <v>32941.35</v>
      </c>
      <c r="V185" s="2">
        <v>32941.35</v>
      </c>
      <c r="W185" s="2">
        <v>0</v>
      </c>
      <c r="X185" s="2">
        <f t="shared" si="105"/>
        <v>5067.91</v>
      </c>
      <c r="Y185" s="2">
        <v>5067.91</v>
      </c>
      <c r="Z185" s="2">
        <v>0</v>
      </c>
      <c r="AA185" s="2">
        <f t="shared" si="106"/>
        <v>0</v>
      </c>
      <c r="AB185" s="2">
        <v>0</v>
      </c>
      <c r="AC185" s="2">
        <v>0</v>
      </c>
      <c r="AD185" s="2">
        <f t="shared" si="107"/>
        <v>253395.09</v>
      </c>
      <c r="AE185" s="2"/>
      <c r="AF185" s="2">
        <f t="shared" si="108"/>
        <v>253395.09</v>
      </c>
      <c r="AG185" s="24" t="s">
        <v>41</v>
      </c>
      <c r="AH185" s="34"/>
      <c r="AI185" s="35">
        <v>158423.03</v>
      </c>
      <c r="AJ185" s="36">
        <v>24229.39</v>
      </c>
      <c r="AK185" s="28">
        <f t="shared" si="78"/>
        <v>56962.799999999988</v>
      </c>
      <c r="AL185" s="28">
        <f t="shared" si="79"/>
        <v>8711.9599999999991</v>
      </c>
      <c r="AM185" s="29">
        <f t="shared" si="80"/>
        <v>0.73553134855714519</v>
      </c>
    </row>
    <row r="186" spans="1:39" ht="192" customHeight="1" x14ac:dyDescent="0.25">
      <c r="A186" s="10">
        <v>183</v>
      </c>
      <c r="B186" s="37">
        <v>121622</v>
      </c>
      <c r="C186" s="20">
        <v>99</v>
      </c>
      <c r="D186" s="15" t="s">
        <v>31</v>
      </c>
      <c r="E186" s="14" t="s">
        <v>32</v>
      </c>
      <c r="F186" s="15" t="s">
        <v>699</v>
      </c>
      <c r="G186" s="15" t="s">
        <v>700</v>
      </c>
      <c r="H186" s="20" t="s">
        <v>46</v>
      </c>
      <c r="I186" s="61" t="s">
        <v>701</v>
      </c>
      <c r="J186" s="30">
        <v>43188</v>
      </c>
      <c r="K186" s="30">
        <v>43737</v>
      </c>
      <c r="L186" s="31">
        <f t="shared" si="102"/>
        <v>84.999999426373932</v>
      </c>
      <c r="M186" s="20" t="s">
        <v>259</v>
      </c>
      <c r="N186" s="20" t="s">
        <v>693</v>
      </c>
      <c r="O186" s="20" t="s">
        <v>693</v>
      </c>
      <c r="P186" s="32" t="s">
        <v>39</v>
      </c>
      <c r="Q186" s="20" t="s">
        <v>40</v>
      </c>
      <c r="R186" s="2">
        <f t="shared" si="103"/>
        <v>444540.46</v>
      </c>
      <c r="S186" s="2">
        <v>444540.46</v>
      </c>
      <c r="T186" s="2">
        <v>0</v>
      </c>
      <c r="U186" s="2">
        <f t="shared" si="104"/>
        <v>67988.539999999994</v>
      </c>
      <c r="V186" s="2">
        <v>67988.539999999994</v>
      </c>
      <c r="W186" s="2">
        <v>0</v>
      </c>
      <c r="X186" s="2">
        <f t="shared" si="105"/>
        <v>10459.780000000001</v>
      </c>
      <c r="Y186" s="33">
        <v>10459.780000000001</v>
      </c>
      <c r="Z186" s="2">
        <v>0</v>
      </c>
      <c r="AA186" s="2">
        <f t="shared" si="106"/>
        <v>0</v>
      </c>
      <c r="AB186" s="2">
        <v>0</v>
      </c>
      <c r="AC186" s="2">
        <v>0</v>
      </c>
      <c r="AD186" s="2">
        <f t="shared" si="107"/>
        <v>522988.78</v>
      </c>
      <c r="AE186" s="2">
        <v>0</v>
      </c>
      <c r="AF186" s="2">
        <f t="shared" si="108"/>
        <v>522988.78</v>
      </c>
      <c r="AG186" s="24" t="s">
        <v>41</v>
      </c>
      <c r="AH186" s="34" t="s">
        <v>702</v>
      </c>
      <c r="AI186" s="35">
        <v>306121.42</v>
      </c>
      <c r="AJ186" s="36">
        <v>46818.559999999998</v>
      </c>
      <c r="AK186" s="28">
        <f t="shared" si="78"/>
        <v>138419.04000000004</v>
      </c>
      <c r="AL186" s="28">
        <f t="shared" si="79"/>
        <v>21169.979999999996</v>
      </c>
      <c r="AM186" s="29">
        <f t="shared" si="80"/>
        <v>0.68862442802169221</v>
      </c>
    </row>
    <row r="187" spans="1:39" ht="192" customHeight="1" x14ac:dyDescent="0.25">
      <c r="A187" s="10">
        <v>184</v>
      </c>
      <c r="B187" s="37">
        <v>121536</v>
      </c>
      <c r="C187" s="20">
        <v>102</v>
      </c>
      <c r="D187" s="15" t="s">
        <v>31</v>
      </c>
      <c r="E187" s="14" t="s">
        <v>32</v>
      </c>
      <c r="F187" s="15" t="s">
        <v>1858</v>
      </c>
      <c r="G187" s="15" t="s">
        <v>689</v>
      </c>
      <c r="H187" s="20" t="s">
        <v>46</v>
      </c>
      <c r="I187" s="61" t="s">
        <v>703</v>
      </c>
      <c r="J187" s="30">
        <v>43186</v>
      </c>
      <c r="K187" s="30">
        <v>43643</v>
      </c>
      <c r="L187" s="31">
        <f t="shared" si="102"/>
        <v>85.000000246407055</v>
      </c>
      <c r="M187" s="20" t="s">
        <v>259</v>
      </c>
      <c r="N187" s="20" t="s">
        <v>686</v>
      </c>
      <c r="O187" s="20" t="s">
        <v>693</v>
      </c>
      <c r="P187" s="32" t="s">
        <v>39</v>
      </c>
      <c r="Q187" s="20" t="s">
        <v>40</v>
      </c>
      <c r="R187" s="2">
        <f t="shared" si="103"/>
        <v>344957.66</v>
      </c>
      <c r="S187" s="2">
        <v>344957.66</v>
      </c>
      <c r="T187" s="2">
        <v>0</v>
      </c>
      <c r="U187" s="2">
        <f t="shared" si="104"/>
        <v>52758.23</v>
      </c>
      <c r="V187" s="2">
        <v>52758.23</v>
      </c>
      <c r="W187" s="2">
        <v>0</v>
      </c>
      <c r="X187" s="2">
        <f t="shared" si="105"/>
        <v>8116.65</v>
      </c>
      <c r="Y187" s="2">
        <v>8116.65</v>
      </c>
      <c r="Z187" s="2">
        <v>0</v>
      </c>
      <c r="AA187" s="2">
        <f t="shared" si="106"/>
        <v>0</v>
      </c>
      <c r="AB187" s="2">
        <v>0</v>
      </c>
      <c r="AC187" s="2">
        <v>0</v>
      </c>
      <c r="AD187" s="2">
        <f t="shared" si="107"/>
        <v>405832.54</v>
      </c>
      <c r="AE187" s="2">
        <v>0</v>
      </c>
      <c r="AF187" s="2">
        <f t="shared" si="108"/>
        <v>405832.54</v>
      </c>
      <c r="AG187" s="24" t="s">
        <v>41</v>
      </c>
      <c r="AH187" s="34" t="s">
        <v>35</v>
      </c>
      <c r="AI187" s="35">
        <v>219496.65000000002</v>
      </c>
      <c r="AJ187" s="36">
        <v>33570.07</v>
      </c>
      <c r="AK187" s="28">
        <f t="shared" si="78"/>
        <v>125461.00999999995</v>
      </c>
      <c r="AL187" s="28">
        <f t="shared" si="79"/>
        <v>19188.160000000003</v>
      </c>
      <c r="AM187" s="29">
        <f t="shared" si="80"/>
        <v>0.63630026363235426</v>
      </c>
    </row>
    <row r="188" spans="1:39" ht="192" customHeight="1" x14ac:dyDescent="0.25">
      <c r="A188" s="10">
        <v>185</v>
      </c>
      <c r="B188" s="37">
        <v>119377</v>
      </c>
      <c r="C188" s="20">
        <v>463</v>
      </c>
      <c r="D188" s="20" t="s">
        <v>47</v>
      </c>
      <c r="E188" s="14" t="s">
        <v>48</v>
      </c>
      <c r="F188" s="32" t="s">
        <v>704</v>
      </c>
      <c r="G188" s="20" t="s">
        <v>705</v>
      </c>
      <c r="H188" s="20" t="s">
        <v>683</v>
      </c>
      <c r="I188" s="15" t="s">
        <v>706</v>
      </c>
      <c r="J188" s="30">
        <v>43332</v>
      </c>
      <c r="K188" s="30">
        <v>43819</v>
      </c>
      <c r="L188" s="31">
        <f>R188/AD188*100</f>
        <v>85.000001900439869</v>
      </c>
      <c r="M188" s="20">
        <v>6</v>
      </c>
      <c r="N188" s="20" t="s">
        <v>707</v>
      </c>
      <c r="O188" s="20" t="s">
        <v>708</v>
      </c>
      <c r="P188" s="20" t="s">
        <v>39</v>
      </c>
      <c r="Q188" s="32" t="s">
        <v>40</v>
      </c>
      <c r="R188" s="33">
        <f>S188+T188</f>
        <v>313085.42</v>
      </c>
      <c r="S188" s="2">
        <v>313085.42</v>
      </c>
      <c r="T188" s="2">
        <v>0</v>
      </c>
      <c r="U188" s="33">
        <f>V188+W188</f>
        <v>47883.64</v>
      </c>
      <c r="V188" s="2">
        <v>47883.64</v>
      </c>
      <c r="W188" s="2">
        <v>0</v>
      </c>
      <c r="X188" s="35">
        <f>Y188+Z188</f>
        <v>7366.72</v>
      </c>
      <c r="Y188" s="35">
        <v>7366.72</v>
      </c>
      <c r="Z188" s="35">
        <v>0</v>
      </c>
      <c r="AA188" s="2">
        <f>AB188+AC188</f>
        <v>0</v>
      </c>
      <c r="AB188" s="42">
        <v>0</v>
      </c>
      <c r="AC188" s="42">
        <v>0</v>
      </c>
      <c r="AD188" s="2">
        <f>R188+U188+X188+AA188</f>
        <v>368335.77999999997</v>
      </c>
      <c r="AE188" s="35">
        <v>4938.5</v>
      </c>
      <c r="AF188" s="2">
        <f>AD188+AE188</f>
        <v>373274.27999999997</v>
      </c>
      <c r="AG188" s="39" t="s">
        <v>41</v>
      </c>
      <c r="AH188" s="39" t="s">
        <v>35</v>
      </c>
      <c r="AI188" s="35">
        <v>133874.00999999998</v>
      </c>
      <c r="AJ188" s="36">
        <v>20474.830000000002</v>
      </c>
      <c r="AK188" s="28">
        <f t="shared" si="78"/>
        <v>179211.41</v>
      </c>
      <c r="AL188" s="28">
        <f t="shared" si="79"/>
        <v>27408.809999999998</v>
      </c>
      <c r="AM188" s="29">
        <f t="shared" si="80"/>
        <v>0.42759579797743374</v>
      </c>
    </row>
    <row r="189" spans="1:39" ht="192" customHeight="1" x14ac:dyDescent="0.25">
      <c r="A189" s="10">
        <v>186</v>
      </c>
      <c r="B189" s="37">
        <v>126124</v>
      </c>
      <c r="C189" s="20">
        <v>532</v>
      </c>
      <c r="D189" s="20" t="s">
        <v>31</v>
      </c>
      <c r="E189" s="14" t="s">
        <v>65</v>
      </c>
      <c r="F189" s="32" t="s">
        <v>709</v>
      </c>
      <c r="G189" s="20" t="s">
        <v>705</v>
      </c>
      <c r="H189" s="20" t="s">
        <v>683</v>
      </c>
      <c r="I189" s="15" t="s">
        <v>710</v>
      </c>
      <c r="J189" s="30">
        <v>43462</v>
      </c>
      <c r="K189" s="30">
        <v>44375</v>
      </c>
      <c r="L189" s="31">
        <f>R189/AD189*100</f>
        <v>84.999999694403598</v>
      </c>
      <c r="M189" s="20">
        <v>6</v>
      </c>
      <c r="N189" s="20" t="s">
        <v>707</v>
      </c>
      <c r="O189" s="20" t="s">
        <v>708</v>
      </c>
      <c r="P189" s="20" t="s">
        <v>39</v>
      </c>
      <c r="Q189" s="32" t="s">
        <v>40</v>
      </c>
      <c r="R189" s="33">
        <f>S189+T189</f>
        <v>2086084.74</v>
      </c>
      <c r="S189" s="2">
        <v>2086084.74</v>
      </c>
      <c r="T189" s="2">
        <v>0</v>
      </c>
      <c r="U189" s="33">
        <f>V189+W189</f>
        <v>319048.28000000003</v>
      </c>
      <c r="V189" s="2">
        <v>319048.28000000003</v>
      </c>
      <c r="W189" s="2">
        <v>0</v>
      </c>
      <c r="X189" s="35">
        <f>Y189+Z189</f>
        <v>49084.33</v>
      </c>
      <c r="Y189" s="35">
        <v>49084.33</v>
      </c>
      <c r="Z189" s="35">
        <v>0</v>
      </c>
      <c r="AA189" s="2">
        <f>AB189+AC189</f>
        <v>0</v>
      </c>
      <c r="AB189" s="42">
        <v>0</v>
      </c>
      <c r="AC189" s="42">
        <v>0</v>
      </c>
      <c r="AD189" s="2">
        <f>R189+U189+X189+AA189</f>
        <v>2454217.35</v>
      </c>
      <c r="AE189" s="35">
        <v>0</v>
      </c>
      <c r="AF189" s="2">
        <f>AD189+AE189</f>
        <v>2454217.35</v>
      </c>
      <c r="AG189" s="39" t="s">
        <v>69</v>
      </c>
      <c r="AH189" s="39" t="s">
        <v>35</v>
      </c>
      <c r="AI189" s="35">
        <v>108981.20000000001</v>
      </c>
      <c r="AJ189" s="36">
        <v>16667.72</v>
      </c>
      <c r="AK189" s="28">
        <f t="shared" si="78"/>
        <v>1977103.54</v>
      </c>
      <c r="AL189" s="28">
        <f t="shared" si="79"/>
        <v>302380.56000000006</v>
      </c>
      <c r="AM189" s="29">
        <f t="shared" si="80"/>
        <v>5.224198131088386E-2</v>
      </c>
    </row>
    <row r="190" spans="1:39" ht="192" customHeight="1" x14ac:dyDescent="0.25">
      <c r="A190" s="10">
        <v>187</v>
      </c>
      <c r="B190" s="20">
        <v>129237</v>
      </c>
      <c r="C190" s="20">
        <v>670</v>
      </c>
      <c r="D190" s="15" t="s">
        <v>31</v>
      </c>
      <c r="E190" s="14" t="s">
        <v>79</v>
      </c>
      <c r="F190" s="15" t="s">
        <v>711</v>
      </c>
      <c r="G190" s="15" t="s">
        <v>712</v>
      </c>
      <c r="H190" s="20" t="s">
        <v>683</v>
      </c>
      <c r="I190" s="16" t="s">
        <v>713</v>
      </c>
      <c r="J190" s="30">
        <v>43697</v>
      </c>
      <c r="K190" s="30">
        <v>44793</v>
      </c>
      <c r="L190" s="31">
        <f>R190/AD190*100</f>
        <v>85</v>
      </c>
      <c r="M190" s="20">
        <v>6</v>
      </c>
      <c r="N190" s="20" t="s">
        <v>708</v>
      </c>
      <c r="O190" s="20" t="s">
        <v>714</v>
      </c>
      <c r="P190" s="32" t="s">
        <v>39</v>
      </c>
      <c r="Q190" s="20" t="s">
        <v>40</v>
      </c>
      <c r="R190" s="33">
        <f>S190+T190</f>
        <v>2465000</v>
      </c>
      <c r="S190" s="2">
        <v>2465000</v>
      </c>
      <c r="T190" s="2">
        <v>0</v>
      </c>
      <c r="U190" s="33">
        <f>V190+W190</f>
        <v>377000</v>
      </c>
      <c r="V190" s="2">
        <v>377000</v>
      </c>
      <c r="W190" s="2">
        <v>0</v>
      </c>
      <c r="X190" s="33">
        <f>Y190+Z190</f>
        <v>58000</v>
      </c>
      <c r="Y190" s="2">
        <v>58000</v>
      </c>
      <c r="Z190" s="2">
        <v>0</v>
      </c>
      <c r="AA190" s="2">
        <f>AB190+AC190</f>
        <v>0</v>
      </c>
      <c r="AB190" s="2">
        <v>0</v>
      </c>
      <c r="AC190" s="2">
        <v>0</v>
      </c>
      <c r="AD190" s="2">
        <f>R190+U190+X190+AA190</f>
        <v>2900000</v>
      </c>
      <c r="AE190" s="2">
        <v>0</v>
      </c>
      <c r="AF190" s="2">
        <f>AD190+AE190</f>
        <v>2900000</v>
      </c>
      <c r="AG190" s="39" t="s">
        <v>69</v>
      </c>
      <c r="AH190" s="34" t="s">
        <v>35</v>
      </c>
      <c r="AI190" s="35">
        <v>378814.52</v>
      </c>
      <c r="AJ190" s="36">
        <v>36524.57</v>
      </c>
      <c r="AK190" s="28">
        <f t="shared" si="78"/>
        <v>2086185.48</v>
      </c>
      <c r="AL190" s="28">
        <f t="shared" si="79"/>
        <v>340475.43</v>
      </c>
      <c r="AM190" s="29">
        <f t="shared" si="80"/>
        <v>0.15367729006085193</v>
      </c>
    </row>
    <row r="191" spans="1:39" ht="192" customHeight="1" x14ac:dyDescent="0.25">
      <c r="A191" s="10">
        <v>188</v>
      </c>
      <c r="B191" s="20">
        <v>118759</v>
      </c>
      <c r="C191" s="20">
        <v>439</v>
      </c>
      <c r="D191" s="15" t="s">
        <v>54</v>
      </c>
      <c r="E191" s="14" t="s">
        <v>55</v>
      </c>
      <c r="F191" s="32" t="s">
        <v>715</v>
      </c>
      <c r="G191" s="15" t="s">
        <v>716</v>
      </c>
      <c r="H191" s="20" t="s">
        <v>287</v>
      </c>
      <c r="I191" s="15" t="s">
        <v>717</v>
      </c>
      <c r="J191" s="30">
        <v>43304</v>
      </c>
      <c r="K191" s="30">
        <v>44005</v>
      </c>
      <c r="L191" s="31">
        <f t="shared" ref="L191:L196" si="109">R191/AD191*100</f>
        <v>84.213980856539493</v>
      </c>
      <c r="M191" s="32">
        <v>7</v>
      </c>
      <c r="N191" s="32" t="s">
        <v>718</v>
      </c>
      <c r="O191" s="32" t="s">
        <v>718</v>
      </c>
      <c r="P191" s="32" t="s">
        <v>39</v>
      </c>
      <c r="Q191" s="32" t="s">
        <v>40</v>
      </c>
      <c r="R191" s="33">
        <f t="shared" ref="R191:R196" si="110">S191+T191</f>
        <v>288260.65000000002</v>
      </c>
      <c r="S191" s="113">
        <v>288260.65000000002</v>
      </c>
      <c r="T191" s="64">
        <v>0</v>
      </c>
      <c r="U191" s="33">
        <v>47188.93</v>
      </c>
      <c r="V191" s="64">
        <v>47188.93</v>
      </c>
      <c r="W191" s="64" t="s">
        <v>719</v>
      </c>
      <c r="X191" s="33">
        <v>6845.9</v>
      </c>
      <c r="Y191" s="64">
        <v>6845.9</v>
      </c>
      <c r="Z191" s="64" t="s">
        <v>719</v>
      </c>
      <c r="AA191" s="2">
        <f t="shared" ref="AA191:AA196" si="111">AB191+AC191</f>
        <v>0</v>
      </c>
      <c r="AB191" s="2">
        <v>0</v>
      </c>
      <c r="AC191" s="2">
        <v>0</v>
      </c>
      <c r="AD191" s="2">
        <f t="shared" ref="AD191:AD196" si="112">R191+U191+X191+AA191</f>
        <v>342295.48000000004</v>
      </c>
      <c r="AE191" s="39"/>
      <c r="AF191" s="2">
        <f t="shared" ref="AF191:AF196" si="113">AD191+AE191</f>
        <v>342295.48000000004</v>
      </c>
      <c r="AG191" s="39" t="s">
        <v>69</v>
      </c>
      <c r="AH191" s="34" t="s">
        <v>720</v>
      </c>
      <c r="AI191" s="35">
        <v>167700.72999999995</v>
      </c>
      <c r="AJ191" s="36">
        <v>26943.680000000004</v>
      </c>
      <c r="AK191" s="28">
        <f t="shared" si="78"/>
        <v>120559.92000000007</v>
      </c>
      <c r="AL191" s="28">
        <f t="shared" si="79"/>
        <v>20245.249999999996</v>
      </c>
      <c r="AM191" s="29">
        <f t="shared" si="80"/>
        <v>0.58176768143692159</v>
      </c>
    </row>
    <row r="192" spans="1:39" ht="192" customHeight="1" x14ac:dyDescent="0.25">
      <c r="A192" s="10">
        <v>189</v>
      </c>
      <c r="B192" s="37">
        <v>119841</v>
      </c>
      <c r="C192" s="20">
        <v>477</v>
      </c>
      <c r="D192" s="20" t="s">
        <v>47</v>
      </c>
      <c r="E192" s="14" t="s">
        <v>48</v>
      </c>
      <c r="F192" s="15" t="s">
        <v>721</v>
      </c>
      <c r="G192" s="15" t="s">
        <v>716</v>
      </c>
      <c r="H192" s="20" t="s">
        <v>287</v>
      </c>
      <c r="I192" s="15" t="s">
        <v>722</v>
      </c>
      <c r="J192" s="30">
        <v>43304</v>
      </c>
      <c r="K192" s="30">
        <v>44035</v>
      </c>
      <c r="L192" s="31">
        <f t="shared" si="109"/>
        <v>84.228550955221309</v>
      </c>
      <c r="M192" s="32">
        <v>7</v>
      </c>
      <c r="N192" s="32" t="s">
        <v>718</v>
      </c>
      <c r="O192" s="32" t="s">
        <v>718</v>
      </c>
      <c r="P192" s="32" t="s">
        <v>39</v>
      </c>
      <c r="Q192" s="20" t="s">
        <v>40</v>
      </c>
      <c r="R192" s="33">
        <f t="shared" si="110"/>
        <v>481603.39</v>
      </c>
      <c r="S192" s="35">
        <v>481603.39</v>
      </c>
      <c r="T192" s="64">
        <v>0</v>
      </c>
      <c r="U192" s="33">
        <f t="shared" ref="U192:U213" si="114">V192+W192</f>
        <v>78742.570000000007</v>
      </c>
      <c r="V192" s="35">
        <v>78742.570000000007</v>
      </c>
      <c r="W192" s="64">
        <v>0</v>
      </c>
      <c r="X192" s="33">
        <f t="shared" ref="X192:X213" si="115">Y192+Z192</f>
        <v>6246.23</v>
      </c>
      <c r="Y192" s="35">
        <v>6246.23</v>
      </c>
      <c r="Z192" s="64">
        <v>0</v>
      </c>
      <c r="AA192" s="2">
        <f t="shared" si="111"/>
        <v>5189.45</v>
      </c>
      <c r="AB192" s="42">
        <v>5189.45</v>
      </c>
      <c r="AC192" s="42">
        <v>0</v>
      </c>
      <c r="AD192" s="2">
        <f t="shared" si="112"/>
        <v>571781.6399999999</v>
      </c>
      <c r="AE192" s="39"/>
      <c r="AF192" s="2">
        <f t="shared" si="113"/>
        <v>571781.6399999999</v>
      </c>
      <c r="AG192" s="39" t="s">
        <v>161</v>
      </c>
      <c r="AH192" s="34" t="s">
        <v>1843</v>
      </c>
      <c r="AI192" s="35">
        <v>364128.16</v>
      </c>
      <c r="AJ192" s="36">
        <v>57655.866300000023</v>
      </c>
      <c r="AK192" s="28">
        <f t="shared" si="78"/>
        <v>117475.23000000004</v>
      </c>
      <c r="AL192" s="28">
        <f t="shared" si="79"/>
        <v>21086.703699999984</v>
      </c>
      <c r="AM192" s="29">
        <f t="shared" si="80"/>
        <v>0.75607474440742617</v>
      </c>
    </row>
    <row r="193" spans="1:39" ht="192" customHeight="1" x14ac:dyDescent="0.25">
      <c r="A193" s="10">
        <v>190</v>
      </c>
      <c r="B193" s="37">
        <v>126267</v>
      </c>
      <c r="C193" s="20">
        <v>540</v>
      </c>
      <c r="D193" s="20" t="s">
        <v>31</v>
      </c>
      <c r="E193" s="14" t="s">
        <v>65</v>
      </c>
      <c r="F193" s="15" t="s">
        <v>723</v>
      </c>
      <c r="G193" s="15" t="s">
        <v>724</v>
      </c>
      <c r="H193" s="20" t="s">
        <v>35</v>
      </c>
      <c r="I193" s="15" t="s">
        <v>725</v>
      </c>
      <c r="J193" s="30">
        <v>43544</v>
      </c>
      <c r="K193" s="30">
        <v>44459</v>
      </c>
      <c r="L193" s="31">
        <f t="shared" si="109"/>
        <v>85.000000823943722</v>
      </c>
      <c r="M193" s="32">
        <v>7</v>
      </c>
      <c r="N193" s="32" t="s">
        <v>718</v>
      </c>
      <c r="O193" s="32" t="s">
        <v>718</v>
      </c>
      <c r="P193" s="32" t="s">
        <v>39</v>
      </c>
      <c r="Q193" s="20" t="s">
        <v>40</v>
      </c>
      <c r="R193" s="33">
        <f t="shared" si="110"/>
        <v>2630640.86</v>
      </c>
      <c r="S193" s="35">
        <v>2630640.86</v>
      </c>
      <c r="T193" s="64">
        <v>0</v>
      </c>
      <c r="U193" s="33">
        <f t="shared" si="114"/>
        <v>402333.28</v>
      </c>
      <c r="V193" s="35">
        <v>402333.28</v>
      </c>
      <c r="W193" s="64">
        <v>0</v>
      </c>
      <c r="X193" s="33">
        <f t="shared" si="115"/>
        <v>61897.43</v>
      </c>
      <c r="Y193" s="35">
        <v>61897.43</v>
      </c>
      <c r="Z193" s="64">
        <v>0</v>
      </c>
      <c r="AA193" s="2">
        <f t="shared" si="111"/>
        <v>0</v>
      </c>
      <c r="AB193" s="42">
        <v>0</v>
      </c>
      <c r="AC193" s="42">
        <v>0</v>
      </c>
      <c r="AD193" s="2">
        <f t="shared" si="112"/>
        <v>3094871.57</v>
      </c>
      <c r="AE193" s="2">
        <v>7140</v>
      </c>
      <c r="AF193" s="2">
        <f t="shared" si="113"/>
        <v>3102011.57</v>
      </c>
      <c r="AG193" s="39" t="s">
        <v>69</v>
      </c>
      <c r="AH193" s="34" t="s">
        <v>35</v>
      </c>
      <c r="AI193" s="110">
        <v>370146.44999999995</v>
      </c>
      <c r="AJ193" s="36">
        <v>56610.590000000011</v>
      </c>
      <c r="AK193" s="28">
        <f t="shared" si="78"/>
        <v>2260494.41</v>
      </c>
      <c r="AL193" s="28">
        <f t="shared" si="79"/>
        <v>345722.69</v>
      </c>
      <c r="AM193" s="29">
        <f t="shared" si="80"/>
        <v>0.14070580884993933</v>
      </c>
    </row>
    <row r="194" spans="1:39" ht="192" customHeight="1" x14ac:dyDescent="0.25">
      <c r="A194" s="10">
        <v>191</v>
      </c>
      <c r="B194" s="37">
        <v>126475</v>
      </c>
      <c r="C194" s="20">
        <v>563</v>
      </c>
      <c r="D194" s="20" t="s">
        <v>31</v>
      </c>
      <c r="E194" s="14" t="s">
        <v>65</v>
      </c>
      <c r="F194" s="15" t="s">
        <v>726</v>
      </c>
      <c r="G194" s="15" t="s">
        <v>727</v>
      </c>
      <c r="H194" s="20" t="s">
        <v>287</v>
      </c>
      <c r="I194" s="15" t="s">
        <v>728</v>
      </c>
      <c r="J194" s="30">
        <v>43546</v>
      </c>
      <c r="K194" s="30">
        <v>44277</v>
      </c>
      <c r="L194" s="31">
        <f t="shared" si="109"/>
        <v>84.852694687750144</v>
      </c>
      <c r="M194" s="32">
        <v>7</v>
      </c>
      <c r="N194" s="32" t="s">
        <v>718</v>
      </c>
      <c r="O194" s="32" t="s">
        <v>718</v>
      </c>
      <c r="P194" s="32" t="s">
        <v>39</v>
      </c>
      <c r="Q194" s="20" t="s">
        <v>40</v>
      </c>
      <c r="R194" s="33">
        <f t="shared" si="110"/>
        <v>3141080.48</v>
      </c>
      <c r="S194" s="35">
        <v>3141080.48</v>
      </c>
      <c r="T194" s="64">
        <v>0</v>
      </c>
      <c r="U194" s="33">
        <f t="shared" si="114"/>
        <v>486687.45</v>
      </c>
      <c r="V194" s="39">
        <v>486687.45</v>
      </c>
      <c r="W194" s="64">
        <v>0</v>
      </c>
      <c r="X194" s="33">
        <f t="shared" si="115"/>
        <v>67620.820000000007</v>
      </c>
      <c r="Y194" s="35">
        <v>67620.820000000007</v>
      </c>
      <c r="Z194" s="64">
        <v>0</v>
      </c>
      <c r="AA194" s="2">
        <f t="shared" si="111"/>
        <v>6415.29</v>
      </c>
      <c r="AB194" s="42">
        <v>6415.29</v>
      </c>
      <c r="AC194" s="42">
        <v>0</v>
      </c>
      <c r="AD194" s="2">
        <f t="shared" si="112"/>
        <v>3701804.04</v>
      </c>
      <c r="AE194" s="39">
        <v>0</v>
      </c>
      <c r="AF194" s="2">
        <f t="shared" si="113"/>
        <v>3701804.04</v>
      </c>
      <c r="AG194" s="39" t="s">
        <v>69</v>
      </c>
      <c r="AH194" s="34" t="s">
        <v>35</v>
      </c>
      <c r="AI194" s="110">
        <v>240991.18999999997</v>
      </c>
      <c r="AJ194" s="36">
        <v>33853.439999999995</v>
      </c>
      <c r="AK194" s="28">
        <f t="shared" si="78"/>
        <v>2900089.29</v>
      </c>
      <c r="AL194" s="28">
        <f t="shared" si="79"/>
        <v>452834.01</v>
      </c>
      <c r="AM194" s="29">
        <f t="shared" si="80"/>
        <v>7.6722386304473159E-2</v>
      </c>
    </row>
    <row r="195" spans="1:39" ht="192" customHeight="1" x14ac:dyDescent="0.25">
      <c r="A195" s="10">
        <v>192</v>
      </c>
      <c r="B195" s="37">
        <v>129622</v>
      </c>
      <c r="C195" s="20">
        <v>660</v>
      </c>
      <c r="D195" s="20" t="s">
        <v>31</v>
      </c>
      <c r="E195" s="14" t="s">
        <v>79</v>
      </c>
      <c r="F195" s="15" t="s">
        <v>729</v>
      </c>
      <c r="G195" s="15" t="s">
        <v>730</v>
      </c>
      <c r="H195" s="20" t="s">
        <v>35</v>
      </c>
      <c r="I195" s="15" t="s">
        <v>731</v>
      </c>
      <c r="J195" s="30">
        <v>43658</v>
      </c>
      <c r="K195" s="30">
        <v>44542</v>
      </c>
      <c r="L195" s="31">
        <f t="shared" si="109"/>
        <v>85.000000125030468</v>
      </c>
      <c r="M195" s="32">
        <v>7</v>
      </c>
      <c r="N195" s="32" t="s">
        <v>718</v>
      </c>
      <c r="O195" s="32" t="s">
        <v>730</v>
      </c>
      <c r="P195" s="32" t="s">
        <v>39</v>
      </c>
      <c r="Q195" s="20" t="s">
        <v>40</v>
      </c>
      <c r="R195" s="33">
        <f t="shared" si="110"/>
        <v>3399171.34</v>
      </c>
      <c r="S195" s="35">
        <v>3399171.34</v>
      </c>
      <c r="T195" s="64">
        <v>0</v>
      </c>
      <c r="U195" s="33">
        <f t="shared" si="114"/>
        <v>519873.26</v>
      </c>
      <c r="V195" s="35">
        <v>519873.26</v>
      </c>
      <c r="W195" s="64">
        <v>0</v>
      </c>
      <c r="X195" s="33">
        <f t="shared" si="115"/>
        <v>79980.5</v>
      </c>
      <c r="Y195" s="35">
        <v>79980.5</v>
      </c>
      <c r="Z195" s="64">
        <v>0</v>
      </c>
      <c r="AA195" s="2">
        <f t="shared" si="111"/>
        <v>0</v>
      </c>
      <c r="AB195" s="42">
        <v>0</v>
      </c>
      <c r="AC195" s="42">
        <v>0</v>
      </c>
      <c r="AD195" s="2">
        <f t="shared" si="112"/>
        <v>3999025.0999999996</v>
      </c>
      <c r="AE195" s="38">
        <v>0</v>
      </c>
      <c r="AF195" s="2">
        <f t="shared" si="113"/>
        <v>3999025.0999999996</v>
      </c>
      <c r="AG195" s="39" t="s">
        <v>69</v>
      </c>
      <c r="AH195" s="34" t="s">
        <v>35</v>
      </c>
      <c r="AI195" s="110">
        <v>343094.2</v>
      </c>
      <c r="AJ195" s="36">
        <f>4707.04+14150.24+4556.89+6032.52</f>
        <v>29446.69</v>
      </c>
      <c r="AK195" s="28">
        <f t="shared" si="78"/>
        <v>3056077.1399999997</v>
      </c>
      <c r="AL195" s="28">
        <f t="shared" si="79"/>
        <v>490426.57</v>
      </c>
      <c r="AM195" s="29">
        <f t="shared" si="80"/>
        <v>0.10093465897485475</v>
      </c>
    </row>
    <row r="196" spans="1:39" ht="192" customHeight="1" x14ac:dyDescent="0.25">
      <c r="A196" s="10">
        <v>193</v>
      </c>
      <c r="B196" s="37">
        <v>135967</v>
      </c>
      <c r="C196" s="20">
        <v>770</v>
      </c>
      <c r="D196" s="46" t="s">
        <v>31</v>
      </c>
      <c r="E196" s="14" t="s">
        <v>1826</v>
      </c>
      <c r="F196" s="15" t="s">
        <v>1844</v>
      </c>
      <c r="G196" s="15" t="s">
        <v>724</v>
      </c>
      <c r="H196" s="20" t="s">
        <v>35</v>
      </c>
      <c r="I196" s="16" t="s">
        <v>1845</v>
      </c>
      <c r="J196" s="30">
        <v>43949</v>
      </c>
      <c r="K196" s="30">
        <v>44589</v>
      </c>
      <c r="L196" s="31">
        <f t="shared" si="109"/>
        <v>85</v>
      </c>
      <c r="M196" s="32">
        <v>7</v>
      </c>
      <c r="N196" s="32" t="s">
        <v>718</v>
      </c>
      <c r="O196" s="32" t="s">
        <v>724</v>
      </c>
      <c r="P196" s="32" t="s">
        <v>39</v>
      </c>
      <c r="Q196" s="20" t="s">
        <v>40</v>
      </c>
      <c r="R196" s="33">
        <f t="shared" si="110"/>
        <v>848725</v>
      </c>
      <c r="S196" s="35">
        <v>848725</v>
      </c>
      <c r="T196" s="64">
        <v>0</v>
      </c>
      <c r="U196" s="33">
        <f t="shared" si="114"/>
        <v>129805</v>
      </c>
      <c r="V196" s="35">
        <v>129805</v>
      </c>
      <c r="W196" s="64">
        <v>0</v>
      </c>
      <c r="X196" s="33">
        <f t="shared" si="115"/>
        <v>19970</v>
      </c>
      <c r="Y196" s="35">
        <v>19970</v>
      </c>
      <c r="Z196" s="64">
        <v>0</v>
      </c>
      <c r="AA196" s="2">
        <f t="shared" si="111"/>
        <v>0</v>
      </c>
      <c r="AB196" s="42">
        <v>0</v>
      </c>
      <c r="AC196" s="42">
        <v>0</v>
      </c>
      <c r="AD196" s="2">
        <f t="shared" si="112"/>
        <v>998500</v>
      </c>
      <c r="AE196" s="38">
        <v>0</v>
      </c>
      <c r="AF196" s="2">
        <f t="shared" si="113"/>
        <v>998500</v>
      </c>
      <c r="AG196" s="39" t="s">
        <v>69</v>
      </c>
      <c r="AH196" s="34" t="s">
        <v>35</v>
      </c>
      <c r="AI196" s="110">
        <v>0</v>
      </c>
      <c r="AJ196" s="36">
        <v>0</v>
      </c>
      <c r="AK196" s="28">
        <f t="shared" si="78"/>
        <v>848725</v>
      </c>
      <c r="AL196" s="28">
        <f t="shared" si="79"/>
        <v>129805</v>
      </c>
      <c r="AM196" s="29">
        <f t="shared" si="80"/>
        <v>0</v>
      </c>
    </row>
    <row r="197" spans="1:39" ht="192" customHeight="1" x14ac:dyDescent="0.25">
      <c r="A197" s="10">
        <v>194</v>
      </c>
      <c r="B197" s="37">
        <v>117764</v>
      </c>
      <c r="C197" s="20">
        <v>416</v>
      </c>
      <c r="D197" s="15" t="s">
        <v>54</v>
      </c>
      <c r="E197" s="14" t="s">
        <v>55</v>
      </c>
      <c r="F197" s="15" t="s">
        <v>732</v>
      </c>
      <c r="G197" s="20" t="s">
        <v>733</v>
      </c>
      <c r="H197" s="20" t="s">
        <v>35</v>
      </c>
      <c r="I197" s="114" t="s">
        <v>734</v>
      </c>
      <c r="J197" s="30">
        <v>43326</v>
      </c>
      <c r="K197" s="30">
        <v>43813</v>
      </c>
      <c r="L197" s="31">
        <f t="shared" ref="L197:L213" si="116">R197/AD197*100</f>
        <v>85.000000298812211</v>
      </c>
      <c r="M197" s="20">
        <v>1</v>
      </c>
      <c r="N197" s="20" t="s">
        <v>735</v>
      </c>
      <c r="O197" s="20" t="s">
        <v>735</v>
      </c>
      <c r="P197" s="20" t="s">
        <v>39</v>
      </c>
      <c r="Q197" s="32" t="s">
        <v>40</v>
      </c>
      <c r="R197" s="33">
        <f t="shared" ref="R197:R213" si="117">S197+T197</f>
        <v>284459.59000000003</v>
      </c>
      <c r="S197" s="35">
        <v>284459.59000000003</v>
      </c>
      <c r="T197" s="64">
        <v>0</v>
      </c>
      <c r="U197" s="33">
        <f t="shared" si="114"/>
        <v>43505.58</v>
      </c>
      <c r="V197" s="35">
        <v>43505.58</v>
      </c>
      <c r="W197" s="64">
        <v>0</v>
      </c>
      <c r="X197" s="35">
        <f t="shared" si="115"/>
        <v>6693.17</v>
      </c>
      <c r="Y197" s="35">
        <v>6693.17</v>
      </c>
      <c r="Z197" s="64">
        <v>0</v>
      </c>
      <c r="AA197" s="2">
        <f t="shared" ref="AA197:AA205" si="118">AB197+AC197</f>
        <v>0</v>
      </c>
      <c r="AB197" s="41">
        <v>0</v>
      </c>
      <c r="AC197" s="41">
        <v>0</v>
      </c>
      <c r="AD197" s="2">
        <f t="shared" ref="AD197:AD213" si="119">R197+U197+X197+AA197</f>
        <v>334658.34000000003</v>
      </c>
      <c r="AE197" s="39">
        <v>0</v>
      </c>
      <c r="AF197" s="2">
        <f t="shared" ref="AF197:AF213" si="120">AD197+AE197</f>
        <v>334658.34000000003</v>
      </c>
      <c r="AG197" s="24" t="s">
        <v>41</v>
      </c>
      <c r="AH197" s="39" t="s">
        <v>35</v>
      </c>
      <c r="AI197" s="2">
        <v>113379.81</v>
      </c>
      <c r="AJ197" s="85">
        <v>17340.43</v>
      </c>
      <c r="AK197" s="28">
        <f t="shared" ref="AK197:AK260" si="121">R197-AI197</f>
        <v>171079.78000000003</v>
      </c>
      <c r="AL197" s="28">
        <f t="shared" ref="AL197:AL260" si="122">U197-AJ197</f>
        <v>26165.15</v>
      </c>
      <c r="AM197" s="29">
        <f t="shared" ref="AM197:AM260" si="123">AI197/R197</f>
        <v>0.39857967172068265</v>
      </c>
    </row>
    <row r="198" spans="1:39" ht="192" customHeight="1" x14ac:dyDescent="0.25">
      <c r="A198" s="10">
        <v>195</v>
      </c>
      <c r="B198" s="37">
        <v>128093</v>
      </c>
      <c r="C198" s="20">
        <v>626</v>
      </c>
      <c r="D198" s="15" t="s">
        <v>736</v>
      </c>
      <c r="E198" s="14" t="s">
        <v>79</v>
      </c>
      <c r="F198" s="15" t="s">
        <v>737</v>
      </c>
      <c r="G198" s="20" t="s">
        <v>738</v>
      </c>
      <c r="H198" s="20" t="s">
        <v>35</v>
      </c>
      <c r="I198" s="15" t="s">
        <v>739</v>
      </c>
      <c r="J198" s="30">
        <v>43670</v>
      </c>
      <c r="K198" s="30">
        <v>44401</v>
      </c>
      <c r="L198" s="31">
        <f t="shared" si="116"/>
        <v>85.000000000000014</v>
      </c>
      <c r="M198" s="20">
        <v>1</v>
      </c>
      <c r="N198" s="20" t="s">
        <v>735</v>
      </c>
      <c r="O198" s="20" t="s">
        <v>735</v>
      </c>
      <c r="P198" s="20" t="s">
        <v>39</v>
      </c>
      <c r="Q198" s="32" t="s">
        <v>40</v>
      </c>
      <c r="R198" s="33">
        <f t="shared" si="117"/>
        <v>2360805.2999999998</v>
      </c>
      <c r="S198" s="35">
        <v>2360805.2999999998</v>
      </c>
      <c r="T198" s="64">
        <v>0</v>
      </c>
      <c r="U198" s="33">
        <f t="shared" si="114"/>
        <v>361064.38</v>
      </c>
      <c r="V198" s="35">
        <v>361064.38</v>
      </c>
      <c r="W198" s="64">
        <v>0</v>
      </c>
      <c r="X198" s="35">
        <f t="shared" si="115"/>
        <v>55548.32</v>
      </c>
      <c r="Y198" s="35">
        <v>55548.32</v>
      </c>
      <c r="Z198" s="64">
        <v>0</v>
      </c>
      <c r="AA198" s="2">
        <f t="shared" si="118"/>
        <v>0</v>
      </c>
      <c r="AB198" s="64">
        <v>0</v>
      </c>
      <c r="AC198" s="64">
        <v>0</v>
      </c>
      <c r="AD198" s="2">
        <f t="shared" si="119"/>
        <v>2777417.9999999995</v>
      </c>
      <c r="AE198" s="39">
        <v>0</v>
      </c>
      <c r="AF198" s="2">
        <f t="shared" si="120"/>
        <v>2777417.9999999995</v>
      </c>
      <c r="AG198" s="39" t="s">
        <v>69</v>
      </c>
      <c r="AH198" s="39"/>
      <c r="AI198" s="2">
        <v>322900.09999999998</v>
      </c>
      <c r="AJ198" s="85">
        <v>49384.72</v>
      </c>
      <c r="AK198" s="28">
        <f t="shared" si="121"/>
        <v>2037905.1999999997</v>
      </c>
      <c r="AL198" s="28">
        <f t="shared" si="122"/>
        <v>311679.66000000003</v>
      </c>
      <c r="AM198" s="29">
        <f t="shared" si="123"/>
        <v>0.13677540456216361</v>
      </c>
    </row>
    <row r="199" spans="1:39" ht="192" customHeight="1" x14ac:dyDescent="0.25">
      <c r="A199" s="10">
        <v>196</v>
      </c>
      <c r="B199" s="37">
        <v>110909</v>
      </c>
      <c r="C199" s="20">
        <v>115</v>
      </c>
      <c r="D199" s="15" t="s">
        <v>31</v>
      </c>
      <c r="E199" s="14" t="s">
        <v>32</v>
      </c>
      <c r="F199" s="32" t="s">
        <v>740</v>
      </c>
      <c r="G199" s="15" t="s">
        <v>741</v>
      </c>
      <c r="H199" s="20" t="s">
        <v>35</v>
      </c>
      <c r="I199" s="16" t="s">
        <v>742</v>
      </c>
      <c r="J199" s="30">
        <v>43214</v>
      </c>
      <c r="K199" s="30">
        <v>43762</v>
      </c>
      <c r="L199" s="31">
        <f t="shared" si="116"/>
        <v>85.000000000000014</v>
      </c>
      <c r="M199" s="20">
        <v>3</v>
      </c>
      <c r="N199" s="20" t="s">
        <v>743</v>
      </c>
      <c r="O199" s="20" t="s">
        <v>744</v>
      </c>
      <c r="P199" s="32" t="s">
        <v>39</v>
      </c>
      <c r="Q199" s="20" t="s">
        <v>40</v>
      </c>
      <c r="R199" s="33">
        <f t="shared" si="117"/>
        <v>349633.9</v>
      </c>
      <c r="S199" s="64">
        <v>349633.9</v>
      </c>
      <c r="T199" s="64">
        <v>0</v>
      </c>
      <c r="U199" s="33">
        <f t="shared" si="114"/>
        <v>53473.42</v>
      </c>
      <c r="V199" s="64">
        <v>53473.42</v>
      </c>
      <c r="W199" s="64">
        <v>0</v>
      </c>
      <c r="X199" s="33">
        <f t="shared" si="115"/>
        <v>8226.68</v>
      </c>
      <c r="Y199" s="64">
        <v>8226.68</v>
      </c>
      <c r="Z199" s="64">
        <v>0</v>
      </c>
      <c r="AA199" s="2">
        <f t="shared" si="118"/>
        <v>0</v>
      </c>
      <c r="AB199" s="115">
        <v>0</v>
      </c>
      <c r="AC199" s="115">
        <v>0</v>
      </c>
      <c r="AD199" s="2">
        <f t="shared" si="119"/>
        <v>411334</v>
      </c>
      <c r="AE199" s="2">
        <v>0</v>
      </c>
      <c r="AF199" s="2">
        <f t="shared" si="120"/>
        <v>411334</v>
      </c>
      <c r="AG199" s="24" t="s">
        <v>41</v>
      </c>
      <c r="AH199" s="34" t="s">
        <v>745</v>
      </c>
      <c r="AI199" s="35">
        <v>288582.45</v>
      </c>
      <c r="AJ199" s="36">
        <v>44136.13</v>
      </c>
      <c r="AK199" s="28">
        <f t="shared" si="121"/>
        <v>61051.450000000012</v>
      </c>
      <c r="AL199" s="28">
        <f t="shared" si="122"/>
        <v>9337.2900000000009</v>
      </c>
      <c r="AM199" s="29">
        <f t="shared" si="123"/>
        <v>0.82538463804568152</v>
      </c>
    </row>
    <row r="200" spans="1:39" ht="192" customHeight="1" x14ac:dyDescent="0.25">
      <c r="A200" s="10">
        <v>197</v>
      </c>
      <c r="B200" s="37">
        <v>126118</v>
      </c>
      <c r="C200" s="20">
        <v>530</v>
      </c>
      <c r="D200" s="15" t="s">
        <v>736</v>
      </c>
      <c r="E200" s="14" t="s">
        <v>65</v>
      </c>
      <c r="F200" s="32" t="s">
        <v>746</v>
      </c>
      <c r="G200" s="32" t="s">
        <v>747</v>
      </c>
      <c r="H200" s="20" t="s">
        <v>132</v>
      </c>
      <c r="I200" s="16" t="s">
        <v>748</v>
      </c>
      <c r="J200" s="30">
        <v>43447</v>
      </c>
      <c r="K200" s="30">
        <v>44117</v>
      </c>
      <c r="L200" s="31">
        <f t="shared" si="116"/>
        <v>85.000000836129914</v>
      </c>
      <c r="M200" s="20">
        <v>3</v>
      </c>
      <c r="N200" s="20" t="s">
        <v>743</v>
      </c>
      <c r="O200" s="20" t="s">
        <v>743</v>
      </c>
      <c r="P200" s="32" t="s">
        <v>39</v>
      </c>
      <c r="Q200" s="20" t="s">
        <v>40</v>
      </c>
      <c r="R200" s="33">
        <f t="shared" si="117"/>
        <v>813270.76</v>
      </c>
      <c r="S200" s="64">
        <v>813270.76</v>
      </c>
      <c r="T200" s="64">
        <v>0</v>
      </c>
      <c r="U200" s="33">
        <f t="shared" si="114"/>
        <v>124382.58</v>
      </c>
      <c r="V200" s="64">
        <v>124382.58</v>
      </c>
      <c r="W200" s="64">
        <v>0</v>
      </c>
      <c r="X200" s="33">
        <f t="shared" si="115"/>
        <v>19135.78</v>
      </c>
      <c r="Y200" s="64">
        <v>19135.78</v>
      </c>
      <c r="Z200" s="64">
        <v>0</v>
      </c>
      <c r="AA200" s="2">
        <f t="shared" si="118"/>
        <v>0</v>
      </c>
      <c r="AB200" s="2">
        <v>0</v>
      </c>
      <c r="AC200" s="2">
        <v>0</v>
      </c>
      <c r="AD200" s="2">
        <f t="shared" si="119"/>
        <v>956789.12</v>
      </c>
      <c r="AE200" s="39"/>
      <c r="AF200" s="2">
        <f t="shared" si="120"/>
        <v>956789.12</v>
      </c>
      <c r="AG200" s="39" t="s">
        <v>69</v>
      </c>
      <c r="AH200" s="39"/>
      <c r="AI200" s="35">
        <v>92794.07</v>
      </c>
      <c r="AJ200" s="36">
        <v>14192.040000000005</v>
      </c>
      <c r="AK200" s="28">
        <f t="shared" si="121"/>
        <v>720476.69</v>
      </c>
      <c r="AL200" s="28">
        <f t="shared" si="122"/>
        <v>110190.54</v>
      </c>
      <c r="AM200" s="29">
        <f t="shared" si="123"/>
        <v>0.11409984787846056</v>
      </c>
    </row>
    <row r="201" spans="1:39" ht="192" customHeight="1" x14ac:dyDescent="0.25">
      <c r="A201" s="10">
        <v>198</v>
      </c>
      <c r="B201" s="37">
        <v>129759</v>
      </c>
      <c r="C201" s="20">
        <v>675</v>
      </c>
      <c r="D201" s="15" t="s">
        <v>736</v>
      </c>
      <c r="E201" s="14" t="s">
        <v>79</v>
      </c>
      <c r="F201" s="32" t="s">
        <v>749</v>
      </c>
      <c r="G201" s="32" t="s">
        <v>750</v>
      </c>
      <c r="H201" s="20" t="s">
        <v>132</v>
      </c>
      <c r="I201" s="16" t="s">
        <v>751</v>
      </c>
      <c r="J201" s="30">
        <v>43622</v>
      </c>
      <c r="K201" s="30">
        <v>44261</v>
      </c>
      <c r="L201" s="31">
        <f t="shared" si="116"/>
        <v>85.000000231937065</v>
      </c>
      <c r="M201" s="20">
        <v>3</v>
      </c>
      <c r="N201" s="20" t="s">
        <v>743</v>
      </c>
      <c r="O201" s="20" t="s">
        <v>743</v>
      </c>
      <c r="P201" s="32" t="s">
        <v>39</v>
      </c>
      <c r="Q201" s="20" t="s">
        <v>40</v>
      </c>
      <c r="R201" s="33">
        <f t="shared" si="117"/>
        <v>3298308.61</v>
      </c>
      <c r="S201" s="64">
        <v>3298308.61</v>
      </c>
      <c r="T201" s="64">
        <v>0</v>
      </c>
      <c r="U201" s="116">
        <f t="shared" si="114"/>
        <v>504447.19</v>
      </c>
      <c r="V201" s="64">
        <v>504447.19</v>
      </c>
      <c r="W201" s="64">
        <v>0</v>
      </c>
      <c r="X201" s="33">
        <f t="shared" si="115"/>
        <v>77607.259999999995</v>
      </c>
      <c r="Y201" s="64">
        <v>77607.259999999995</v>
      </c>
      <c r="Z201" s="64">
        <v>0</v>
      </c>
      <c r="AA201" s="2">
        <f t="shared" si="118"/>
        <v>0</v>
      </c>
      <c r="AB201" s="2">
        <v>0</v>
      </c>
      <c r="AC201" s="2">
        <v>0</v>
      </c>
      <c r="AD201" s="2">
        <f t="shared" si="119"/>
        <v>3880363.0599999996</v>
      </c>
      <c r="AE201" s="39"/>
      <c r="AF201" s="2">
        <f t="shared" si="120"/>
        <v>3880363.0599999996</v>
      </c>
      <c r="AG201" s="39" t="s">
        <v>69</v>
      </c>
      <c r="AH201" s="39"/>
      <c r="AI201" s="35">
        <v>350262.31</v>
      </c>
      <c r="AJ201" s="36">
        <f>13345.6+16884.01+7544.38</f>
        <v>37773.99</v>
      </c>
      <c r="AK201" s="28">
        <f t="shared" si="121"/>
        <v>2948046.3</v>
      </c>
      <c r="AL201" s="28">
        <f t="shared" si="122"/>
        <v>466673.2</v>
      </c>
      <c r="AM201" s="29">
        <f t="shared" si="123"/>
        <v>0.10619452313772422</v>
      </c>
    </row>
    <row r="202" spans="1:39" ht="192" customHeight="1" x14ac:dyDescent="0.25">
      <c r="A202" s="10">
        <v>199</v>
      </c>
      <c r="B202" s="37">
        <v>129754</v>
      </c>
      <c r="C202" s="20">
        <v>674</v>
      </c>
      <c r="D202" s="15" t="s">
        <v>736</v>
      </c>
      <c r="E202" s="14" t="s">
        <v>79</v>
      </c>
      <c r="F202" s="32" t="s">
        <v>752</v>
      </c>
      <c r="G202" s="32" t="s">
        <v>747</v>
      </c>
      <c r="H202" s="20" t="s">
        <v>132</v>
      </c>
      <c r="I202" s="16" t="s">
        <v>753</v>
      </c>
      <c r="J202" s="30">
        <v>43634</v>
      </c>
      <c r="K202" s="30">
        <v>44245</v>
      </c>
      <c r="L202" s="31">
        <f t="shared" si="116"/>
        <v>85.000000138264667</v>
      </c>
      <c r="M202" s="20">
        <v>3</v>
      </c>
      <c r="N202" s="20" t="s">
        <v>743</v>
      </c>
      <c r="O202" s="20" t="s">
        <v>743</v>
      </c>
      <c r="P202" s="32" t="s">
        <v>39</v>
      </c>
      <c r="Q202" s="20" t="s">
        <v>40</v>
      </c>
      <c r="R202" s="116">
        <f t="shared" si="117"/>
        <v>2459052.1800000002</v>
      </c>
      <c r="S202" s="52">
        <v>2459052.1800000002</v>
      </c>
      <c r="T202" s="117">
        <v>0</v>
      </c>
      <c r="U202" s="33">
        <f t="shared" si="114"/>
        <v>376090.33</v>
      </c>
      <c r="V202" s="64">
        <v>376090.33</v>
      </c>
      <c r="W202" s="64">
        <v>0</v>
      </c>
      <c r="X202" s="33">
        <f t="shared" si="115"/>
        <v>57860.05</v>
      </c>
      <c r="Y202" s="64">
        <v>57860.05</v>
      </c>
      <c r="Z202" s="64">
        <v>0</v>
      </c>
      <c r="AA202" s="2">
        <f t="shared" si="118"/>
        <v>0</v>
      </c>
      <c r="AB202" s="2">
        <v>0</v>
      </c>
      <c r="AC202" s="2">
        <v>0</v>
      </c>
      <c r="AD202" s="2">
        <f t="shared" si="119"/>
        <v>2893002.56</v>
      </c>
      <c r="AE202" s="39">
        <v>0</v>
      </c>
      <c r="AF202" s="2">
        <f t="shared" si="120"/>
        <v>2893002.56</v>
      </c>
      <c r="AG202" s="39" t="s">
        <v>69</v>
      </c>
      <c r="AH202" s="39"/>
      <c r="AI202" s="35">
        <v>102987.97</v>
      </c>
      <c r="AJ202" s="36">
        <v>15751.1</v>
      </c>
      <c r="AK202" s="28">
        <f t="shared" si="121"/>
        <v>2356064.21</v>
      </c>
      <c r="AL202" s="28">
        <f t="shared" si="122"/>
        <v>360339.23000000004</v>
      </c>
      <c r="AM202" s="29">
        <f t="shared" si="123"/>
        <v>4.1881164961696742E-2</v>
      </c>
    </row>
    <row r="203" spans="1:39" ht="192" customHeight="1" x14ac:dyDescent="0.25">
      <c r="A203" s="10">
        <v>200</v>
      </c>
      <c r="B203" s="37">
        <v>119235</v>
      </c>
      <c r="C203" s="20">
        <v>479</v>
      </c>
      <c r="D203" s="20" t="s">
        <v>47</v>
      </c>
      <c r="E203" s="14" t="s">
        <v>48</v>
      </c>
      <c r="F203" s="15" t="s">
        <v>754</v>
      </c>
      <c r="G203" s="20" t="s">
        <v>755</v>
      </c>
      <c r="H203" s="20" t="s">
        <v>35</v>
      </c>
      <c r="I203" s="15" t="s">
        <v>756</v>
      </c>
      <c r="J203" s="30">
        <v>43276</v>
      </c>
      <c r="K203" s="30">
        <v>43702</v>
      </c>
      <c r="L203" s="31">
        <f t="shared" si="116"/>
        <v>84.999999139224727</v>
      </c>
      <c r="M203" s="32">
        <v>5</v>
      </c>
      <c r="N203" s="32" t="s">
        <v>757</v>
      </c>
      <c r="O203" s="32" t="s">
        <v>758</v>
      </c>
      <c r="P203" s="32" t="s">
        <v>39</v>
      </c>
      <c r="Q203" s="32" t="s">
        <v>293</v>
      </c>
      <c r="R203" s="33">
        <f t="shared" si="117"/>
        <v>246870.47</v>
      </c>
      <c r="S203" s="35">
        <v>246870.47</v>
      </c>
      <c r="T203" s="64">
        <v>0</v>
      </c>
      <c r="U203" s="33">
        <f t="shared" si="114"/>
        <v>37756.660000000003</v>
      </c>
      <c r="V203" s="35">
        <v>37756.660000000003</v>
      </c>
      <c r="W203" s="64">
        <v>0</v>
      </c>
      <c r="X203" s="33">
        <f t="shared" si="115"/>
        <v>5808.72</v>
      </c>
      <c r="Y203" s="35">
        <v>5808.72</v>
      </c>
      <c r="Z203" s="64">
        <v>0</v>
      </c>
      <c r="AA203" s="2">
        <f t="shared" si="118"/>
        <v>0</v>
      </c>
      <c r="AB203" s="118">
        <v>0</v>
      </c>
      <c r="AC203" s="118">
        <v>0</v>
      </c>
      <c r="AD203" s="2">
        <f t="shared" si="119"/>
        <v>290435.84999999998</v>
      </c>
      <c r="AE203" s="39"/>
      <c r="AF203" s="2">
        <f t="shared" si="120"/>
        <v>290435.84999999998</v>
      </c>
      <c r="AG203" s="24" t="s">
        <v>41</v>
      </c>
      <c r="AH203" s="70" t="s">
        <v>46</v>
      </c>
      <c r="AI203" s="35">
        <v>202756.04</v>
      </c>
      <c r="AJ203" s="36">
        <v>31009.739999999998</v>
      </c>
      <c r="AK203" s="28">
        <f t="shared" si="121"/>
        <v>44114.429999999993</v>
      </c>
      <c r="AL203" s="28">
        <f t="shared" si="122"/>
        <v>6746.9200000000055</v>
      </c>
      <c r="AM203" s="29">
        <f t="shared" si="123"/>
        <v>0.8213053590411199</v>
      </c>
    </row>
    <row r="204" spans="1:39" ht="192" customHeight="1" x14ac:dyDescent="0.25">
      <c r="A204" s="10">
        <v>201</v>
      </c>
      <c r="B204" s="37">
        <v>119160</v>
      </c>
      <c r="C204" s="20">
        <v>482</v>
      </c>
      <c r="D204" s="20" t="s">
        <v>47</v>
      </c>
      <c r="E204" s="14" t="s">
        <v>48</v>
      </c>
      <c r="F204" s="15" t="s">
        <v>759</v>
      </c>
      <c r="G204" s="15" t="s">
        <v>760</v>
      </c>
      <c r="H204" s="20" t="s">
        <v>35</v>
      </c>
      <c r="I204" s="15" t="s">
        <v>761</v>
      </c>
      <c r="J204" s="30">
        <v>43304</v>
      </c>
      <c r="K204" s="30">
        <v>43974</v>
      </c>
      <c r="L204" s="31">
        <f t="shared" si="116"/>
        <v>84.99999840000666</v>
      </c>
      <c r="M204" s="32">
        <v>5</v>
      </c>
      <c r="N204" s="32" t="s">
        <v>757</v>
      </c>
      <c r="O204" s="32" t="s">
        <v>762</v>
      </c>
      <c r="P204" s="32" t="s">
        <v>39</v>
      </c>
      <c r="Q204" s="20" t="s">
        <v>40</v>
      </c>
      <c r="R204" s="33">
        <f t="shared" si="117"/>
        <v>212500.88</v>
      </c>
      <c r="S204" s="35">
        <v>212500.88</v>
      </c>
      <c r="T204" s="64">
        <v>0</v>
      </c>
      <c r="U204" s="33">
        <f t="shared" si="114"/>
        <v>32500.1</v>
      </c>
      <c r="V204" s="39">
        <v>32500.1</v>
      </c>
      <c r="W204" s="64">
        <v>0</v>
      </c>
      <c r="X204" s="33">
        <f t="shared" si="115"/>
        <v>5000.0600000000004</v>
      </c>
      <c r="Y204" s="35">
        <v>5000.0600000000004</v>
      </c>
      <c r="Z204" s="64">
        <v>0</v>
      </c>
      <c r="AA204" s="2">
        <f t="shared" si="118"/>
        <v>0</v>
      </c>
      <c r="AB204" s="2">
        <v>0</v>
      </c>
      <c r="AC204" s="2">
        <v>0</v>
      </c>
      <c r="AD204" s="2">
        <f t="shared" si="119"/>
        <v>250001.04</v>
      </c>
      <c r="AE204" s="39"/>
      <c r="AF204" s="2">
        <f t="shared" si="120"/>
        <v>250001.04</v>
      </c>
      <c r="AG204" s="39" t="s">
        <v>69</v>
      </c>
      <c r="AH204" s="70" t="s">
        <v>763</v>
      </c>
      <c r="AI204" s="35">
        <v>136389.47999999998</v>
      </c>
      <c r="AJ204" s="36">
        <v>20859.59</v>
      </c>
      <c r="AK204" s="28">
        <f t="shared" si="121"/>
        <v>76111.400000000023</v>
      </c>
      <c r="AL204" s="28">
        <f t="shared" si="122"/>
        <v>11640.509999999998</v>
      </c>
      <c r="AM204" s="29">
        <f t="shared" si="123"/>
        <v>0.64183018912674605</v>
      </c>
    </row>
    <row r="205" spans="1:39" ht="192" customHeight="1" x14ac:dyDescent="0.25">
      <c r="A205" s="10">
        <v>202</v>
      </c>
      <c r="B205" s="37">
        <v>117063</v>
      </c>
      <c r="C205" s="20">
        <v>411</v>
      </c>
      <c r="D205" s="15" t="s">
        <v>54</v>
      </c>
      <c r="E205" s="14" t="s">
        <v>55</v>
      </c>
      <c r="F205" s="15" t="s">
        <v>764</v>
      </c>
      <c r="G205" s="20" t="s">
        <v>760</v>
      </c>
      <c r="H205" s="20" t="s">
        <v>35</v>
      </c>
      <c r="I205" s="15" t="s">
        <v>765</v>
      </c>
      <c r="J205" s="30">
        <v>43313</v>
      </c>
      <c r="K205" s="30">
        <v>43800</v>
      </c>
      <c r="L205" s="31">
        <f t="shared" si="116"/>
        <v>85</v>
      </c>
      <c r="M205" s="20">
        <v>5</v>
      </c>
      <c r="N205" s="20" t="s">
        <v>757</v>
      </c>
      <c r="O205" s="20" t="s">
        <v>762</v>
      </c>
      <c r="P205" s="20" t="s">
        <v>39</v>
      </c>
      <c r="Q205" s="20" t="s">
        <v>293</v>
      </c>
      <c r="R205" s="33">
        <f t="shared" si="117"/>
        <v>213015.1</v>
      </c>
      <c r="S205" s="41">
        <v>213015.1</v>
      </c>
      <c r="T205" s="41">
        <v>0</v>
      </c>
      <c r="U205" s="33">
        <f t="shared" si="114"/>
        <v>32578.78</v>
      </c>
      <c r="V205" s="41">
        <v>32578.78</v>
      </c>
      <c r="W205" s="64">
        <v>0</v>
      </c>
      <c r="X205" s="33">
        <f t="shared" si="115"/>
        <v>5012.12</v>
      </c>
      <c r="Y205" s="35">
        <v>5012.12</v>
      </c>
      <c r="Z205" s="35">
        <v>0</v>
      </c>
      <c r="AA205" s="2">
        <f t="shared" si="118"/>
        <v>0</v>
      </c>
      <c r="AB205" s="2">
        <v>0</v>
      </c>
      <c r="AC205" s="2">
        <v>0</v>
      </c>
      <c r="AD205" s="2">
        <f t="shared" si="119"/>
        <v>250606</v>
      </c>
      <c r="AE205" s="39"/>
      <c r="AF205" s="2">
        <f t="shared" si="120"/>
        <v>250606</v>
      </c>
      <c r="AG205" s="24" t="s">
        <v>41</v>
      </c>
      <c r="AH205" s="39" t="s">
        <v>766</v>
      </c>
      <c r="AI205" s="110">
        <v>148385.51999999999</v>
      </c>
      <c r="AJ205" s="111">
        <v>22694.260000000002</v>
      </c>
      <c r="AK205" s="28">
        <f t="shared" si="121"/>
        <v>64629.580000000016</v>
      </c>
      <c r="AL205" s="28">
        <f t="shared" si="122"/>
        <v>9884.5199999999968</v>
      </c>
      <c r="AM205" s="29">
        <f t="shared" si="123"/>
        <v>0.69659625068833142</v>
      </c>
    </row>
    <row r="206" spans="1:39" ht="192" customHeight="1" x14ac:dyDescent="0.25">
      <c r="A206" s="10">
        <v>203</v>
      </c>
      <c r="B206" s="37">
        <v>126522</v>
      </c>
      <c r="C206" s="20">
        <v>554</v>
      </c>
      <c r="D206" s="15" t="s">
        <v>736</v>
      </c>
      <c r="E206" s="14" t="s">
        <v>65</v>
      </c>
      <c r="F206" s="53" t="s">
        <v>767</v>
      </c>
      <c r="G206" s="20" t="s">
        <v>768</v>
      </c>
      <c r="H206" s="20" t="s">
        <v>35</v>
      </c>
      <c r="I206" s="15" t="s">
        <v>769</v>
      </c>
      <c r="J206" s="30">
        <v>43556</v>
      </c>
      <c r="K206" s="30">
        <v>44440</v>
      </c>
      <c r="L206" s="31">
        <f t="shared" si="116"/>
        <v>85.0000001266326</v>
      </c>
      <c r="M206" s="20">
        <v>5</v>
      </c>
      <c r="N206" s="20" t="s">
        <v>757</v>
      </c>
      <c r="O206" s="20" t="s">
        <v>758</v>
      </c>
      <c r="P206" s="20" t="s">
        <v>39</v>
      </c>
      <c r="Q206" s="20" t="s">
        <v>293</v>
      </c>
      <c r="R206" s="33">
        <f t="shared" si="117"/>
        <v>3356165.93</v>
      </c>
      <c r="S206" s="41">
        <v>3356165.93</v>
      </c>
      <c r="T206" s="41">
        <v>0</v>
      </c>
      <c r="U206" s="33">
        <f t="shared" si="114"/>
        <v>513295.96</v>
      </c>
      <c r="V206" s="41">
        <v>513295.96</v>
      </c>
      <c r="W206" s="64">
        <v>0</v>
      </c>
      <c r="X206" s="33">
        <f t="shared" si="115"/>
        <v>78968.61</v>
      </c>
      <c r="Y206" s="35">
        <v>78968.61</v>
      </c>
      <c r="Z206" s="35">
        <v>0</v>
      </c>
      <c r="AA206" s="2">
        <v>0</v>
      </c>
      <c r="AB206" s="2">
        <v>0</v>
      </c>
      <c r="AC206" s="2">
        <v>0</v>
      </c>
      <c r="AD206" s="2">
        <f t="shared" si="119"/>
        <v>3948430.5</v>
      </c>
      <c r="AE206" s="39"/>
      <c r="AF206" s="2">
        <f t="shared" si="120"/>
        <v>3948430.5</v>
      </c>
      <c r="AG206" s="39" t="s">
        <v>69</v>
      </c>
      <c r="AH206" s="39"/>
      <c r="AI206" s="110">
        <v>129133.70000000001</v>
      </c>
      <c r="AJ206" s="111">
        <v>19749.870000000003</v>
      </c>
      <c r="AK206" s="28">
        <f t="shared" si="121"/>
        <v>3227032.23</v>
      </c>
      <c r="AL206" s="28">
        <f t="shared" si="122"/>
        <v>493546.09</v>
      </c>
      <c r="AM206" s="29">
        <f t="shared" si="123"/>
        <v>3.8476554107680846E-2</v>
      </c>
    </row>
    <row r="207" spans="1:39" ht="192" customHeight="1" x14ac:dyDescent="0.25">
      <c r="A207" s="10">
        <v>204</v>
      </c>
      <c r="B207" s="37">
        <v>119289</v>
      </c>
      <c r="C207" s="20">
        <v>484</v>
      </c>
      <c r="D207" s="20" t="s">
        <v>47</v>
      </c>
      <c r="E207" s="14" t="s">
        <v>48</v>
      </c>
      <c r="F207" s="15" t="s">
        <v>770</v>
      </c>
      <c r="G207" s="15" t="s">
        <v>771</v>
      </c>
      <c r="H207" s="20" t="s">
        <v>46</v>
      </c>
      <c r="I207" s="55" t="s">
        <v>772</v>
      </c>
      <c r="J207" s="30">
        <v>43271</v>
      </c>
      <c r="K207" s="30">
        <v>43941</v>
      </c>
      <c r="L207" s="31">
        <f t="shared" si="116"/>
        <v>85.000003319296809</v>
      </c>
      <c r="M207" s="20">
        <v>3</v>
      </c>
      <c r="N207" s="20" t="s">
        <v>773</v>
      </c>
      <c r="O207" s="20" t="s">
        <v>774</v>
      </c>
      <c r="P207" s="20" t="s">
        <v>39</v>
      </c>
      <c r="Q207" s="20" t="s">
        <v>293</v>
      </c>
      <c r="R207" s="33">
        <f t="shared" si="117"/>
        <v>332901.85000000009</v>
      </c>
      <c r="S207" s="42">
        <v>332901.85000000009</v>
      </c>
      <c r="T207" s="42">
        <v>0</v>
      </c>
      <c r="U207" s="33">
        <f t="shared" si="114"/>
        <v>50914.380000000005</v>
      </c>
      <c r="V207" s="42">
        <v>50914.380000000005</v>
      </c>
      <c r="W207" s="42">
        <v>0</v>
      </c>
      <c r="X207" s="33">
        <f t="shared" si="115"/>
        <v>7832.9900000000016</v>
      </c>
      <c r="Y207" s="35">
        <v>7832.9900000000016</v>
      </c>
      <c r="Z207" s="35">
        <v>0</v>
      </c>
      <c r="AA207" s="2">
        <f t="shared" ref="AA207:AA213" si="124">AB207+AC207</f>
        <v>0</v>
      </c>
      <c r="AB207" s="41">
        <v>0</v>
      </c>
      <c r="AC207" s="41">
        <v>0</v>
      </c>
      <c r="AD207" s="2">
        <f t="shared" si="119"/>
        <v>391649.22000000009</v>
      </c>
      <c r="AE207" s="42">
        <f>1018.08+193.44</f>
        <v>1211.52</v>
      </c>
      <c r="AF207" s="2">
        <f t="shared" si="120"/>
        <v>392860.74000000011</v>
      </c>
      <c r="AG207" s="39" t="s">
        <v>41</v>
      </c>
      <c r="AH207" s="39" t="s">
        <v>775</v>
      </c>
      <c r="AI207" s="110">
        <v>184371.13</v>
      </c>
      <c r="AJ207" s="36">
        <v>28197.95</v>
      </c>
      <c r="AK207" s="28">
        <f t="shared" si="121"/>
        <v>148530.72000000009</v>
      </c>
      <c r="AL207" s="28">
        <f t="shared" si="122"/>
        <v>22716.430000000004</v>
      </c>
      <c r="AM207" s="29">
        <f t="shared" si="123"/>
        <v>0.55383029562617314</v>
      </c>
    </row>
    <row r="208" spans="1:39" ht="192" customHeight="1" x14ac:dyDescent="0.25">
      <c r="A208" s="10">
        <v>205</v>
      </c>
      <c r="B208" s="37">
        <v>118717</v>
      </c>
      <c r="C208" s="20">
        <v>435</v>
      </c>
      <c r="D208" s="15" t="s">
        <v>54</v>
      </c>
      <c r="E208" s="14" t="s">
        <v>55</v>
      </c>
      <c r="F208" s="15" t="s">
        <v>776</v>
      </c>
      <c r="G208" s="20" t="s">
        <v>771</v>
      </c>
      <c r="H208" s="20" t="s">
        <v>46</v>
      </c>
      <c r="I208" s="16" t="s">
        <v>777</v>
      </c>
      <c r="J208" s="30">
        <v>43333</v>
      </c>
      <c r="K208" s="30">
        <v>43790</v>
      </c>
      <c r="L208" s="31">
        <f t="shared" si="116"/>
        <v>84.999995136543049</v>
      </c>
      <c r="M208" s="20">
        <v>3</v>
      </c>
      <c r="N208" s="20" t="s">
        <v>773</v>
      </c>
      <c r="O208" s="20" t="s">
        <v>774</v>
      </c>
      <c r="P208" s="20" t="s">
        <v>39</v>
      </c>
      <c r="Q208" s="20" t="s">
        <v>293</v>
      </c>
      <c r="R208" s="33">
        <f t="shared" si="117"/>
        <v>227204.63</v>
      </c>
      <c r="S208" s="41">
        <v>227204.63</v>
      </c>
      <c r="T208" s="42">
        <v>0</v>
      </c>
      <c r="U208" s="33">
        <f t="shared" si="114"/>
        <v>34748.959999999999</v>
      </c>
      <c r="V208" s="41">
        <v>34748.959999999999</v>
      </c>
      <c r="W208" s="64">
        <v>0</v>
      </c>
      <c r="X208" s="33">
        <f t="shared" si="115"/>
        <v>5345.99</v>
      </c>
      <c r="Y208" s="35">
        <v>5345.99</v>
      </c>
      <c r="Z208" s="35">
        <v>0</v>
      </c>
      <c r="AA208" s="2">
        <f t="shared" si="124"/>
        <v>0</v>
      </c>
      <c r="AB208" s="2">
        <v>0</v>
      </c>
      <c r="AC208" s="2">
        <v>0</v>
      </c>
      <c r="AD208" s="2">
        <f t="shared" si="119"/>
        <v>267299.58</v>
      </c>
      <c r="AE208" s="39">
        <v>37391</v>
      </c>
      <c r="AF208" s="2">
        <f t="shared" si="120"/>
        <v>304690.58</v>
      </c>
      <c r="AG208" s="24" t="s">
        <v>41</v>
      </c>
      <c r="AH208" s="39" t="s">
        <v>778</v>
      </c>
      <c r="AI208" s="110">
        <v>209499.62</v>
      </c>
      <c r="AJ208" s="111">
        <v>32041.13</v>
      </c>
      <c r="AK208" s="28">
        <f t="shared" si="121"/>
        <v>17705.010000000009</v>
      </c>
      <c r="AL208" s="28">
        <f t="shared" si="122"/>
        <v>2707.8299999999981</v>
      </c>
      <c r="AM208" s="29">
        <f t="shared" si="123"/>
        <v>0.92207460737045721</v>
      </c>
    </row>
    <row r="209" spans="1:39" ht="192" customHeight="1" x14ac:dyDescent="0.25">
      <c r="A209" s="10">
        <v>206</v>
      </c>
      <c r="B209" s="37">
        <v>129688</v>
      </c>
      <c r="C209" s="20">
        <v>686</v>
      </c>
      <c r="D209" s="15" t="s">
        <v>31</v>
      </c>
      <c r="E209" s="14" t="s">
        <v>79</v>
      </c>
      <c r="F209" s="15" t="s">
        <v>779</v>
      </c>
      <c r="G209" s="20" t="s">
        <v>780</v>
      </c>
      <c r="H209" s="20" t="s">
        <v>46</v>
      </c>
      <c r="I209" s="16" t="s">
        <v>781</v>
      </c>
      <c r="J209" s="30">
        <v>43614</v>
      </c>
      <c r="K209" s="30">
        <v>44345</v>
      </c>
      <c r="L209" s="31">
        <f t="shared" si="116"/>
        <v>84.999999952929599</v>
      </c>
      <c r="M209" s="20">
        <v>3</v>
      </c>
      <c r="N209" s="20" t="s">
        <v>773</v>
      </c>
      <c r="O209" s="20" t="s">
        <v>774</v>
      </c>
      <c r="P209" s="20" t="s">
        <v>39</v>
      </c>
      <c r="Q209" s="20" t="s">
        <v>293</v>
      </c>
      <c r="R209" s="33">
        <f t="shared" si="117"/>
        <v>2708708.76</v>
      </c>
      <c r="S209" s="41">
        <v>2708708.76</v>
      </c>
      <c r="T209" s="42">
        <v>0</v>
      </c>
      <c r="U209" s="33">
        <f t="shared" si="114"/>
        <v>414273.1</v>
      </c>
      <c r="V209" s="41">
        <v>414273.1</v>
      </c>
      <c r="W209" s="64">
        <v>0</v>
      </c>
      <c r="X209" s="33">
        <f t="shared" si="115"/>
        <v>63734.33</v>
      </c>
      <c r="Y209" s="35">
        <v>63734.33</v>
      </c>
      <c r="Z209" s="35">
        <v>0</v>
      </c>
      <c r="AA209" s="2">
        <f t="shared" si="124"/>
        <v>0</v>
      </c>
      <c r="AB209" s="35">
        <v>0</v>
      </c>
      <c r="AC209" s="35">
        <v>0</v>
      </c>
      <c r="AD209" s="2">
        <f t="shared" si="119"/>
        <v>3186716.19</v>
      </c>
      <c r="AE209" s="39">
        <v>0</v>
      </c>
      <c r="AF209" s="2">
        <f t="shared" si="120"/>
        <v>3186716.19</v>
      </c>
      <c r="AG209" s="39" t="s">
        <v>69</v>
      </c>
      <c r="AH209" s="39"/>
      <c r="AI209" s="35">
        <v>120014.5</v>
      </c>
      <c r="AJ209" s="36">
        <f>18355.16</f>
        <v>18355.16</v>
      </c>
      <c r="AK209" s="28">
        <f t="shared" si="121"/>
        <v>2588694.2599999998</v>
      </c>
      <c r="AL209" s="28">
        <f t="shared" si="122"/>
        <v>395917.94</v>
      </c>
      <c r="AM209" s="29">
        <f t="shared" si="123"/>
        <v>4.4306904371660842E-2</v>
      </c>
    </row>
    <row r="210" spans="1:39" ht="192" customHeight="1" x14ac:dyDescent="0.25">
      <c r="A210" s="10">
        <v>207</v>
      </c>
      <c r="B210" s="37">
        <v>119720</v>
      </c>
      <c r="C210" s="20">
        <v>481</v>
      </c>
      <c r="D210" s="20" t="s">
        <v>47</v>
      </c>
      <c r="E210" s="14" t="s">
        <v>48</v>
      </c>
      <c r="F210" s="15" t="s">
        <v>782</v>
      </c>
      <c r="G210" s="15" t="s">
        <v>783</v>
      </c>
      <c r="H210" s="20" t="s">
        <v>46</v>
      </c>
      <c r="I210" s="55" t="s">
        <v>784</v>
      </c>
      <c r="J210" s="30">
        <v>43264</v>
      </c>
      <c r="K210" s="30">
        <v>44056</v>
      </c>
      <c r="L210" s="31">
        <f t="shared" si="116"/>
        <v>85.00000159999999</v>
      </c>
      <c r="M210" s="20">
        <v>3</v>
      </c>
      <c r="N210" s="20" t="s">
        <v>785</v>
      </c>
      <c r="O210" s="20" t="s">
        <v>786</v>
      </c>
      <c r="P210" s="20" t="s">
        <v>39</v>
      </c>
      <c r="Q210" s="20" t="s">
        <v>293</v>
      </c>
      <c r="R210" s="33">
        <f t="shared" si="117"/>
        <v>531250.01</v>
      </c>
      <c r="S210" s="42">
        <v>531250.01</v>
      </c>
      <c r="T210" s="42">
        <v>0</v>
      </c>
      <c r="U210" s="33">
        <f t="shared" si="114"/>
        <v>81249.989999999991</v>
      </c>
      <c r="V210" s="42">
        <v>81249.989999999991</v>
      </c>
      <c r="W210" s="42">
        <v>0</v>
      </c>
      <c r="X210" s="33">
        <f t="shared" si="115"/>
        <v>12500</v>
      </c>
      <c r="Y210" s="35">
        <v>12500</v>
      </c>
      <c r="Z210" s="35">
        <v>0</v>
      </c>
      <c r="AA210" s="2">
        <f t="shared" si="124"/>
        <v>0</v>
      </c>
      <c r="AB210" s="41">
        <v>0</v>
      </c>
      <c r="AC210" s="41">
        <v>0</v>
      </c>
      <c r="AD210" s="2">
        <f t="shared" si="119"/>
        <v>625000</v>
      </c>
      <c r="AE210" s="42">
        <v>19813.5</v>
      </c>
      <c r="AF210" s="2">
        <f t="shared" si="120"/>
        <v>644813.5</v>
      </c>
      <c r="AG210" s="39" t="s">
        <v>69</v>
      </c>
      <c r="AH210" s="39" t="s">
        <v>787</v>
      </c>
      <c r="AI210" s="110">
        <v>266726.48000000004</v>
      </c>
      <c r="AJ210" s="36">
        <v>40793.440000000002</v>
      </c>
      <c r="AK210" s="28">
        <f t="shared" si="121"/>
        <v>264523.52999999997</v>
      </c>
      <c r="AL210" s="28">
        <f t="shared" si="122"/>
        <v>40456.549999999988</v>
      </c>
      <c r="AM210" s="29">
        <f t="shared" si="123"/>
        <v>0.50207336466685437</v>
      </c>
    </row>
    <row r="211" spans="1:39" ht="192" customHeight="1" x14ac:dyDescent="0.25">
      <c r="A211" s="10">
        <v>208</v>
      </c>
      <c r="B211" s="37">
        <v>118770</v>
      </c>
      <c r="C211" s="20">
        <v>440</v>
      </c>
      <c r="D211" s="15" t="s">
        <v>54</v>
      </c>
      <c r="E211" s="14" t="s">
        <v>55</v>
      </c>
      <c r="F211" s="15" t="s">
        <v>788</v>
      </c>
      <c r="G211" s="20" t="s">
        <v>789</v>
      </c>
      <c r="H211" s="20" t="s">
        <v>35</v>
      </c>
      <c r="I211" s="15" t="s">
        <v>790</v>
      </c>
      <c r="J211" s="30">
        <v>43318</v>
      </c>
      <c r="K211" s="30">
        <v>43683</v>
      </c>
      <c r="L211" s="31">
        <f t="shared" si="116"/>
        <v>85</v>
      </c>
      <c r="M211" s="20">
        <v>3</v>
      </c>
      <c r="N211" s="20" t="s">
        <v>785</v>
      </c>
      <c r="O211" s="20" t="s">
        <v>791</v>
      </c>
      <c r="P211" s="20" t="s">
        <v>39</v>
      </c>
      <c r="Q211" s="20" t="s">
        <v>293</v>
      </c>
      <c r="R211" s="33">
        <f t="shared" si="117"/>
        <v>254981.3</v>
      </c>
      <c r="S211" s="35">
        <v>254981.3</v>
      </c>
      <c r="T211" s="41">
        <v>0</v>
      </c>
      <c r="U211" s="33">
        <f t="shared" si="114"/>
        <v>38997.14</v>
      </c>
      <c r="V211" s="35">
        <v>38997.14</v>
      </c>
      <c r="W211" s="41">
        <v>0</v>
      </c>
      <c r="X211" s="33">
        <f t="shared" si="115"/>
        <v>5999.56</v>
      </c>
      <c r="Y211" s="35">
        <v>5999.56</v>
      </c>
      <c r="Z211" s="35">
        <v>0</v>
      </c>
      <c r="AA211" s="2">
        <f t="shared" si="124"/>
        <v>0</v>
      </c>
      <c r="AB211" s="41">
        <v>0</v>
      </c>
      <c r="AC211" s="41">
        <v>0</v>
      </c>
      <c r="AD211" s="2">
        <f t="shared" si="119"/>
        <v>299978</v>
      </c>
      <c r="AE211" s="39">
        <v>0</v>
      </c>
      <c r="AF211" s="2">
        <f t="shared" si="120"/>
        <v>299978</v>
      </c>
      <c r="AG211" s="24" t="s">
        <v>41</v>
      </c>
      <c r="AH211" s="39" t="s">
        <v>792</v>
      </c>
      <c r="AI211" s="110">
        <v>213387.11000000002</v>
      </c>
      <c r="AJ211" s="111">
        <v>32635.670000000002</v>
      </c>
      <c r="AK211" s="28">
        <f t="shared" si="121"/>
        <v>41594.189999999973</v>
      </c>
      <c r="AL211" s="28">
        <f t="shared" si="122"/>
        <v>6361.4699999999975</v>
      </c>
      <c r="AM211" s="29">
        <f t="shared" si="123"/>
        <v>0.83687356680666392</v>
      </c>
    </row>
    <row r="212" spans="1:39" ht="192" customHeight="1" x14ac:dyDescent="0.25">
      <c r="A212" s="10">
        <v>209</v>
      </c>
      <c r="B212" s="37">
        <v>126498</v>
      </c>
      <c r="C212" s="20">
        <v>572</v>
      </c>
      <c r="D212" s="15" t="s">
        <v>31</v>
      </c>
      <c r="E212" s="14" t="s">
        <v>65</v>
      </c>
      <c r="F212" s="15" t="s">
        <v>793</v>
      </c>
      <c r="G212" s="20" t="s">
        <v>789</v>
      </c>
      <c r="H212" s="20" t="s">
        <v>35</v>
      </c>
      <c r="I212" s="15" t="s">
        <v>794</v>
      </c>
      <c r="J212" s="30">
        <v>43552</v>
      </c>
      <c r="K212" s="30">
        <v>44467</v>
      </c>
      <c r="L212" s="31">
        <f t="shared" si="116"/>
        <v>85.000000127055301</v>
      </c>
      <c r="M212" s="20">
        <v>3</v>
      </c>
      <c r="N212" s="20" t="s">
        <v>785</v>
      </c>
      <c r="O212" s="20" t="s">
        <v>791</v>
      </c>
      <c r="P212" s="20" t="s">
        <v>39</v>
      </c>
      <c r="Q212" s="20" t="s">
        <v>293</v>
      </c>
      <c r="R212" s="33">
        <f t="shared" si="117"/>
        <v>3345000.16</v>
      </c>
      <c r="S212" s="35">
        <v>3345000.16</v>
      </c>
      <c r="T212" s="41">
        <v>0</v>
      </c>
      <c r="U212" s="33">
        <f t="shared" si="114"/>
        <v>516462.97</v>
      </c>
      <c r="V212" s="35">
        <v>516462.97</v>
      </c>
      <c r="W212" s="41">
        <v>0</v>
      </c>
      <c r="X212" s="33">
        <f t="shared" si="115"/>
        <v>73831.17</v>
      </c>
      <c r="Y212" s="35">
        <v>73831.17</v>
      </c>
      <c r="Z212" s="35">
        <v>0</v>
      </c>
      <c r="AA212" s="2">
        <f t="shared" si="124"/>
        <v>0</v>
      </c>
      <c r="AB212" s="41">
        <v>0</v>
      </c>
      <c r="AC212" s="41">
        <v>0</v>
      </c>
      <c r="AD212" s="2">
        <f t="shared" si="119"/>
        <v>3935294.3</v>
      </c>
      <c r="AE212" s="39">
        <v>4974.2</v>
      </c>
      <c r="AF212" s="2">
        <f t="shared" si="120"/>
        <v>3940268.5</v>
      </c>
      <c r="AG212" s="39" t="s">
        <v>69</v>
      </c>
      <c r="AH212" s="39" t="s">
        <v>792</v>
      </c>
      <c r="AI212" s="110">
        <v>81729.2</v>
      </c>
      <c r="AJ212" s="111">
        <v>12499.76</v>
      </c>
      <c r="AK212" s="28">
        <f t="shared" si="121"/>
        <v>3263270.96</v>
      </c>
      <c r="AL212" s="28">
        <f t="shared" si="122"/>
        <v>503963.20999999996</v>
      </c>
      <c r="AM212" s="29">
        <f t="shared" si="123"/>
        <v>2.4433242478529505E-2</v>
      </c>
    </row>
    <row r="213" spans="1:39" ht="192" customHeight="1" x14ac:dyDescent="0.25">
      <c r="A213" s="10">
        <v>210</v>
      </c>
      <c r="B213" s="37">
        <v>126289</v>
      </c>
      <c r="C213" s="20">
        <v>492</v>
      </c>
      <c r="D213" s="15" t="s">
        <v>31</v>
      </c>
      <c r="E213" s="14" t="s">
        <v>65</v>
      </c>
      <c r="F213" s="15" t="s">
        <v>795</v>
      </c>
      <c r="G213" s="20" t="s">
        <v>796</v>
      </c>
      <c r="H213" s="20" t="s">
        <v>132</v>
      </c>
      <c r="I213" s="15" t="s">
        <v>797</v>
      </c>
      <c r="J213" s="30">
        <v>43563</v>
      </c>
      <c r="K213" s="30">
        <v>44477</v>
      </c>
      <c r="L213" s="31">
        <f t="shared" si="116"/>
        <v>85.000000203645214</v>
      </c>
      <c r="M213" s="20">
        <v>3</v>
      </c>
      <c r="N213" s="20" t="s">
        <v>785</v>
      </c>
      <c r="O213" s="20" t="s">
        <v>786</v>
      </c>
      <c r="P213" s="20" t="s">
        <v>39</v>
      </c>
      <c r="Q213" s="20" t="s">
        <v>40</v>
      </c>
      <c r="R213" s="33">
        <f t="shared" si="117"/>
        <v>2504355.21</v>
      </c>
      <c r="S213" s="2">
        <v>2504355.21</v>
      </c>
      <c r="T213" s="2">
        <v>0</v>
      </c>
      <c r="U213" s="33">
        <f t="shared" si="114"/>
        <v>383019.03</v>
      </c>
      <c r="V213" s="2">
        <v>383019.03</v>
      </c>
      <c r="W213" s="2">
        <v>0</v>
      </c>
      <c r="X213" s="33">
        <f t="shared" si="115"/>
        <v>58926</v>
      </c>
      <c r="Y213" s="2">
        <v>58926</v>
      </c>
      <c r="Z213" s="2">
        <v>0</v>
      </c>
      <c r="AA213" s="2">
        <f t="shared" si="124"/>
        <v>0</v>
      </c>
      <c r="AB213" s="2">
        <v>0</v>
      </c>
      <c r="AC213" s="2">
        <v>0</v>
      </c>
      <c r="AD213" s="2">
        <f t="shared" si="119"/>
        <v>2946300.24</v>
      </c>
      <c r="AE213" s="2">
        <v>3255.78</v>
      </c>
      <c r="AF213" s="2">
        <f t="shared" si="120"/>
        <v>2949556.02</v>
      </c>
      <c r="AG213" s="39" t="s">
        <v>69</v>
      </c>
      <c r="AH213" s="39"/>
      <c r="AI213" s="110">
        <v>4165.3599999999997</v>
      </c>
      <c r="AJ213" s="111">
        <v>637.04999999999995</v>
      </c>
      <c r="AK213" s="28">
        <f t="shared" si="121"/>
        <v>2500189.85</v>
      </c>
      <c r="AL213" s="28">
        <f t="shared" si="122"/>
        <v>382381.98000000004</v>
      </c>
      <c r="AM213" s="29">
        <f t="shared" si="123"/>
        <v>1.6632464849105808E-3</v>
      </c>
    </row>
    <row r="214" spans="1:39" ht="192" customHeight="1" x14ac:dyDescent="0.25">
      <c r="A214" s="10">
        <v>211</v>
      </c>
      <c r="B214" s="37">
        <v>120582</v>
      </c>
      <c r="C214" s="20">
        <v>109</v>
      </c>
      <c r="D214" s="15" t="s">
        <v>31</v>
      </c>
      <c r="E214" s="14" t="s">
        <v>32</v>
      </c>
      <c r="F214" s="15" t="s">
        <v>798</v>
      </c>
      <c r="G214" s="15" t="s">
        <v>799</v>
      </c>
      <c r="H214" s="20" t="s">
        <v>35</v>
      </c>
      <c r="I214" s="55" t="s">
        <v>800</v>
      </c>
      <c r="J214" s="30">
        <v>43129</v>
      </c>
      <c r="K214" s="30">
        <v>43675</v>
      </c>
      <c r="L214" s="31">
        <f t="shared" ref="L214:L221" si="125">R214/AD214*100</f>
        <v>85.000000819683009</v>
      </c>
      <c r="M214" s="20">
        <v>1</v>
      </c>
      <c r="N214" s="20" t="s">
        <v>801</v>
      </c>
      <c r="O214" s="20" t="s">
        <v>801</v>
      </c>
      <c r="P214" s="32" t="s">
        <v>39</v>
      </c>
      <c r="Q214" s="20" t="s">
        <v>40</v>
      </c>
      <c r="R214" s="2">
        <f t="shared" ref="R214:R221" si="126">S214+T214</f>
        <v>518493.12</v>
      </c>
      <c r="S214" s="2">
        <v>518493.12</v>
      </c>
      <c r="T214" s="2">
        <v>0</v>
      </c>
      <c r="U214" s="33">
        <f t="shared" ref="U214:U221" si="127">V214+W214</f>
        <v>79298.94</v>
      </c>
      <c r="V214" s="2">
        <v>79298.94</v>
      </c>
      <c r="W214" s="2">
        <v>0</v>
      </c>
      <c r="X214" s="2">
        <f t="shared" ref="X214:X221" si="128">Y214+Z214</f>
        <v>12199.84</v>
      </c>
      <c r="Y214" s="2">
        <v>12199.84</v>
      </c>
      <c r="Z214" s="2">
        <v>0</v>
      </c>
      <c r="AA214" s="2">
        <f t="shared" ref="AA214:AA221" si="129">AB214+AC214</f>
        <v>0</v>
      </c>
      <c r="AB214" s="2">
        <v>0</v>
      </c>
      <c r="AC214" s="2">
        <v>0</v>
      </c>
      <c r="AD214" s="2">
        <f t="shared" ref="AD214:AD221" si="130">R214+U214+X214+AA214</f>
        <v>609991.9</v>
      </c>
      <c r="AE214" s="2">
        <v>0</v>
      </c>
      <c r="AF214" s="2">
        <f t="shared" ref="AF214:AF221" si="131">AD214+AE214</f>
        <v>609991.9</v>
      </c>
      <c r="AG214" s="24" t="s">
        <v>41</v>
      </c>
      <c r="AH214" s="34" t="s">
        <v>802</v>
      </c>
      <c r="AI214" s="35">
        <v>460519.85000000003</v>
      </c>
      <c r="AJ214" s="36">
        <v>70432.44</v>
      </c>
      <c r="AK214" s="28">
        <f t="shared" si="121"/>
        <v>57973.26999999996</v>
      </c>
      <c r="AL214" s="28">
        <f t="shared" si="122"/>
        <v>8866.5</v>
      </c>
      <c r="AM214" s="29">
        <f t="shared" si="123"/>
        <v>0.88818893103152463</v>
      </c>
    </row>
    <row r="215" spans="1:39" ht="192" customHeight="1" x14ac:dyDescent="0.25">
      <c r="A215" s="10">
        <v>212</v>
      </c>
      <c r="B215" s="37">
        <v>120630</v>
      </c>
      <c r="C215" s="20">
        <v>101</v>
      </c>
      <c r="D215" s="15" t="s">
        <v>31</v>
      </c>
      <c r="E215" s="14" t="s">
        <v>32</v>
      </c>
      <c r="F215" s="15" t="s">
        <v>803</v>
      </c>
      <c r="G215" s="15" t="s">
        <v>804</v>
      </c>
      <c r="H215" s="20" t="s">
        <v>35</v>
      </c>
      <c r="I215" s="16" t="s">
        <v>805</v>
      </c>
      <c r="J215" s="30">
        <v>43145</v>
      </c>
      <c r="K215" s="30">
        <v>43630</v>
      </c>
      <c r="L215" s="31">
        <f t="shared" si="125"/>
        <v>85.000000236289679</v>
      </c>
      <c r="M215" s="20">
        <v>1</v>
      </c>
      <c r="N215" s="20" t="s">
        <v>801</v>
      </c>
      <c r="O215" s="20" t="s">
        <v>806</v>
      </c>
      <c r="P215" s="32" t="s">
        <v>39</v>
      </c>
      <c r="Q215" s="20" t="s">
        <v>40</v>
      </c>
      <c r="R215" s="2">
        <f t="shared" si="126"/>
        <v>359727.94</v>
      </c>
      <c r="S215" s="2">
        <v>359727.94</v>
      </c>
      <c r="T215" s="2">
        <v>0</v>
      </c>
      <c r="U215" s="33">
        <f t="shared" si="127"/>
        <v>55017.21</v>
      </c>
      <c r="V215" s="2">
        <v>55017.21</v>
      </c>
      <c r="W215" s="2">
        <v>0</v>
      </c>
      <c r="X215" s="2">
        <f t="shared" si="128"/>
        <v>8464.19</v>
      </c>
      <c r="Y215" s="2">
        <v>8464.19</v>
      </c>
      <c r="Z215" s="2">
        <v>0</v>
      </c>
      <c r="AA215" s="2">
        <f t="shared" si="129"/>
        <v>0</v>
      </c>
      <c r="AB215" s="2">
        <v>0</v>
      </c>
      <c r="AC215" s="2">
        <v>0</v>
      </c>
      <c r="AD215" s="2">
        <f t="shared" si="130"/>
        <v>423209.34</v>
      </c>
      <c r="AE215" s="2">
        <v>0</v>
      </c>
      <c r="AF215" s="2">
        <f t="shared" si="131"/>
        <v>423209.34</v>
      </c>
      <c r="AG215" s="24" t="s">
        <v>41</v>
      </c>
      <c r="AH215" s="34"/>
      <c r="AI215" s="35">
        <v>270648.24</v>
      </c>
      <c r="AJ215" s="36">
        <v>41393.249999999993</v>
      </c>
      <c r="AK215" s="28">
        <f t="shared" si="121"/>
        <v>89079.700000000012</v>
      </c>
      <c r="AL215" s="28">
        <f t="shared" si="122"/>
        <v>13623.960000000006</v>
      </c>
      <c r="AM215" s="29">
        <f t="shared" si="123"/>
        <v>0.75236924882732203</v>
      </c>
    </row>
    <row r="216" spans="1:39" ht="192" customHeight="1" x14ac:dyDescent="0.25">
      <c r="A216" s="10">
        <v>213</v>
      </c>
      <c r="B216" s="37">
        <v>120672</v>
      </c>
      <c r="C216" s="20">
        <v>106</v>
      </c>
      <c r="D216" s="15" t="s">
        <v>31</v>
      </c>
      <c r="E216" s="14" t="s">
        <v>32</v>
      </c>
      <c r="F216" s="15" t="s">
        <v>807</v>
      </c>
      <c r="G216" s="15" t="s">
        <v>808</v>
      </c>
      <c r="H216" s="20" t="s">
        <v>35</v>
      </c>
      <c r="I216" s="16" t="s">
        <v>809</v>
      </c>
      <c r="J216" s="30">
        <v>43145</v>
      </c>
      <c r="K216" s="30">
        <v>43630</v>
      </c>
      <c r="L216" s="31">
        <f t="shared" si="125"/>
        <v>84.999999174149096</v>
      </c>
      <c r="M216" s="20">
        <v>1</v>
      </c>
      <c r="N216" s="20" t="s">
        <v>801</v>
      </c>
      <c r="O216" s="20" t="s">
        <v>801</v>
      </c>
      <c r="P216" s="32" t="s">
        <v>39</v>
      </c>
      <c r="Q216" s="20" t="s">
        <v>40</v>
      </c>
      <c r="R216" s="2">
        <f t="shared" si="126"/>
        <v>360234.51</v>
      </c>
      <c r="S216" s="42">
        <v>360234.51</v>
      </c>
      <c r="T216" s="2">
        <v>0</v>
      </c>
      <c r="U216" s="33">
        <f t="shared" si="127"/>
        <v>55094.69</v>
      </c>
      <c r="V216" s="41">
        <v>55094.69</v>
      </c>
      <c r="W216" s="2">
        <v>0</v>
      </c>
      <c r="X216" s="59">
        <f t="shared" si="128"/>
        <v>8476.11</v>
      </c>
      <c r="Y216" s="42">
        <v>8476.11</v>
      </c>
      <c r="Z216" s="59">
        <v>0</v>
      </c>
      <c r="AA216" s="59">
        <f t="shared" si="129"/>
        <v>0</v>
      </c>
      <c r="AB216" s="2">
        <v>0</v>
      </c>
      <c r="AC216" s="2">
        <v>0</v>
      </c>
      <c r="AD216" s="2">
        <f t="shared" si="130"/>
        <v>423805.31</v>
      </c>
      <c r="AE216" s="2">
        <v>0</v>
      </c>
      <c r="AF216" s="2">
        <f t="shared" si="131"/>
        <v>423805.31</v>
      </c>
      <c r="AG216" s="24" t="s">
        <v>41</v>
      </c>
      <c r="AH216" s="34"/>
      <c r="AI216" s="35">
        <v>331258.69999999995</v>
      </c>
      <c r="AJ216" s="36">
        <v>50663.100000000006</v>
      </c>
      <c r="AK216" s="28">
        <f t="shared" si="121"/>
        <v>28975.810000000056</v>
      </c>
      <c r="AL216" s="28">
        <f t="shared" si="122"/>
        <v>4431.5899999999965</v>
      </c>
      <c r="AM216" s="29">
        <f t="shared" si="123"/>
        <v>0.91956403621629679</v>
      </c>
    </row>
    <row r="217" spans="1:39" ht="192" customHeight="1" x14ac:dyDescent="0.25">
      <c r="A217" s="10">
        <v>214</v>
      </c>
      <c r="B217" s="37">
        <v>118196</v>
      </c>
      <c r="C217" s="20">
        <v>425</v>
      </c>
      <c r="D217" s="15" t="s">
        <v>54</v>
      </c>
      <c r="E217" s="14" t="s">
        <v>55</v>
      </c>
      <c r="F217" s="15" t="s">
        <v>810</v>
      </c>
      <c r="G217" s="15" t="s">
        <v>811</v>
      </c>
      <c r="H217" s="20" t="s">
        <v>132</v>
      </c>
      <c r="I217" s="16" t="s">
        <v>812</v>
      </c>
      <c r="J217" s="30">
        <v>43269</v>
      </c>
      <c r="K217" s="30">
        <v>43756</v>
      </c>
      <c r="L217" s="31">
        <f t="shared" si="125"/>
        <v>85</v>
      </c>
      <c r="M217" s="20">
        <v>1</v>
      </c>
      <c r="N217" s="20" t="s">
        <v>801</v>
      </c>
      <c r="O217" s="20" t="s">
        <v>801</v>
      </c>
      <c r="P217" s="32" t="s">
        <v>39</v>
      </c>
      <c r="Q217" s="20" t="s">
        <v>40</v>
      </c>
      <c r="R217" s="42">
        <f t="shared" si="126"/>
        <v>339668.5</v>
      </c>
      <c r="S217" s="42">
        <v>339668.5</v>
      </c>
      <c r="T217" s="42">
        <v>0</v>
      </c>
      <c r="U217" s="33">
        <f t="shared" si="127"/>
        <v>51949.3</v>
      </c>
      <c r="V217" s="42">
        <v>51949.3</v>
      </c>
      <c r="W217" s="42">
        <v>0</v>
      </c>
      <c r="X217" s="59">
        <f t="shared" si="128"/>
        <v>7992.2</v>
      </c>
      <c r="Y217" s="42">
        <v>7992.2</v>
      </c>
      <c r="Z217" s="42">
        <v>0</v>
      </c>
      <c r="AA217" s="2">
        <f t="shared" si="129"/>
        <v>0</v>
      </c>
      <c r="AB217" s="2">
        <v>0</v>
      </c>
      <c r="AC217" s="2">
        <v>0</v>
      </c>
      <c r="AD217" s="2">
        <f t="shared" si="130"/>
        <v>399610</v>
      </c>
      <c r="AE217" s="42">
        <v>0</v>
      </c>
      <c r="AF217" s="2">
        <f t="shared" si="131"/>
        <v>399610</v>
      </c>
      <c r="AG217" s="24" t="s">
        <v>41</v>
      </c>
      <c r="AH217" s="34"/>
      <c r="AI217" s="35">
        <v>263215.08999999997</v>
      </c>
      <c r="AJ217" s="36">
        <v>40256.43</v>
      </c>
      <c r="AK217" s="28">
        <f t="shared" si="121"/>
        <v>76453.410000000033</v>
      </c>
      <c r="AL217" s="28">
        <f t="shared" si="122"/>
        <v>11692.870000000003</v>
      </c>
      <c r="AM217" s="29">
        <f t="shared" si="123"/>
        <v>0.77491757404645989</v>
      </c>
    </row>
    <row r="218" spans="1:39" ht="192" customHeight="1" x14ac:dyDescent="0.25">
      <c r="A218" s="10">
        <v>215</v>
      </c>
      <c r="B218" s="37">
        <v>126155</v>
      </c>
      <c r="C218" s="20">
        <v>544</v>
      </c>
      <c r="D218" s="15" t="s">
        <v>31</v>
      </c>
      <c r="E218" s="14" t="s">
        <v>65</v>
      </c>
      <c r="F218" s="15" t="s">
        <v>813</v>
      </c>
      <c r="G218" s="15" t="s">
        <v>814</v>
      </c>
      <c r="H218" s="20" t="s">
        <v>132</v>
      </c>
      <c r="I218" s="16" t="s">
        <v>815</v>
      </c>
      <c r="J218" s="30">
        <v>43437</v>
      </c>
      <c r="K218" s="30">
        <v>44411</v>
      </c>
      <c r="L218" s="31">
        <f t="shared" si="125"/>
        <v>85.000000318097122</v>
      </c>
      <c r="M218" s="20">
        <v>1</v>
      </c>
      <c r="N218" s="20" t="s">
        <v>801</v>
      </c>
      <c r="O218" s="20" t="s">
        <v>801</v>
      </c>
      <c r="P218" s="32" t="s">
        <v>39</v>
      </c>
      <c r="Q218" s="20" t="s">
        <v>40</v>
      </c>
      <c r="R218" s="42">
        <f t="shared" si="126"/>
        <v>2672139.91</v>
      </c>
      <c r="S218" s="42">
        <v>2672139.91</v>
      </c>
      <c r="T218" s="42">
        <v>0</v>
      </c>
      <c r="U218" s="33">
        <f t="shared" si="127"/>
        <v>408680.21</v>
      </c>
      <c r="V218" s="42">
        <v>408680.21</v>
      </c>
      <c r="W218" s="42">
        <v>0</v>
      </c>
      <c r="X218" s="59">
        <f t="shared" si="128"/>
        <v>62873.88</v>
      </c>
      <c r="Y218" s="42">
        <v>62873.88</v>
      </c>
      <c r="Z218" s="42">
        <v>0</v>
      </c>
      <c r="AA218" s="2">
        <f t="shared" si="129"/>
        <v>0</v>
      </c>
      <c r="AB218" s="2">
        <v>0</v>
      </c>
      <c r="AC218" s="2">
        <v>0</v>
      </c>
      <c r="AD218" s="2">
        <f t="shared" si="130"/>
        <v>3143694</v>
      </c>
      <c r="AE218" s="42">
        <v>0</v>
      </c>
      <c r="AF218" s="2">
        <f t="shared" si="131"/>
        <v>3143694</v>
      </c>
      <c r="AG218" s="39" t="s">
        <v>69</v>
      </c>
      <c r="AH218" s="34"/>
      <c r="AI218" s="35">
        <v>810585.98</v>
      </c>
      <c r="AJ218" s="36">
        <v>123971.91999999998</v>
      </c>
      <c r="AK218" s="28">
        <f t="shared" si="121"/>
        <v>1861553.9300000002</v>
      </c>
      <c r="AL218" s="28">
        <f t="shared" si="122"/>
        <v>284708.29000000004</v>
      </c>
      <c r="AM218" s="29">
        <f t="shared" si="123"/>
        <v>0.30334713274800046</v>
      </c>
    </row>
    <row r="219" spans="1:39" ht="192" customHeight="1" x14ac:dyDescent="0.25">
      <c r="A219" s="10">
        <v>216</v>
      </c>
      <c r="B219" s="37">
        <v>125900</v>
      </c>
      <c r="C219" s="20">
        <v>518</v>
      </c>
      <c r="D219" s="15" t="s">
        <v>31</v>
      </c>
      <c r="E219" s="14" t="s">
        <v>65</v>
      </c>
      <c r="F219" s="15" t="s">
        <v>816</v>
      </c>
      <c r="G219" s="15" t="s">
        <v>817</v>
      </c>
      <c r="H219" s="20" t="s">
        <v>132</v>
      </c>
      <c r="I219" s="16" t="s">
        <v>818</v>
      </c>
      <c r="J219" s="30">
        <v>43439</v>
      </c>
      <c r="K219" s="30">
        <v>43987</v>
      </c>
      <c r="L219" s="31">
        <f t="shared" si="125"/>
        <v>85.000001224772731</v>
      </c>
      <c r="M219" s="20">
        <v>1</v>
      </c>
      <c r="N219" s="20" t="s">
        <v>801</v>
      </c>
      <c r="O219" s="20" t="s">
        <v>801</v>
      </c>
      <c r="P219" s="32" t="s">
        <v>39</v>
      </c>
      <c r="Q219" s="20" t="s">
        <v>40</v>
      </c>
      <c r="R219" s="42">
        <f t="shared" si="126"/>
        <v>694006.31</v>
      </c>
      <c r="S219" s="42">
        <v>694006.31</v>
      </c>
      <c r="T219" s="42">
        <v>0</v>
      </c>
      <c r="U219" s="33">
        <f t="shared" si="127"/>
        <v>106142.13</v>
      </c>
      <c r="V219" s="42">
        <v>106142.13</v>
      </c>
      <c r="W219" s="42">
        <v>0</v>
      </c>
      <c r="X219" s="59">
        <f t="shared" si="128"/>
        <v>16329.56</v>
      </c>
      <c r="Y219" s="42">
        <v>16329.56</v>
      </c>
      <c r="Z219" s="42">
        <v>0</v>
      </c>
      <c r="AA219" s="2">
        <f t="shared" si="129"/>
        <v>0</v>
      </c>
      <c r="AB219" s="42">
        <v>0</v>
      </c>
      <c r="AC219" s="42">
        <v>0</v>
      </c>
      <c r="AD219" s="2">
        <f t="shared" si="130"/>
        <v>816478.00000000012</v>
      </c>
      <c r="AE219" s="42">
        <v>0</v>
      </c>
      <c r="AF219" s="2">
        <f t="shared" si="131"/>
        <v>816478.00000000012</v>
      </c>
      <c r="AG219" s="39" t="s">
        <v>69</v>
      </c>
      <c r="AH219" s="34"/>
      <c r="AI219" s="35">
        <v>233487.13</v>
      </c>
      <c r="AJ219" s="36">
        <v>35709.800000000003</v>
      </c>
      <c r="AK219" s="28">
        <f t="shared" si="121"/>
        <v>460519.18000000005</v>
      </c>
      <c r="AL219" s="28">
        <f t="shared" si="122"/>
        <v>70432.33</v>
      </c>
      <c r="AM219" s="29">
        <f t="shared" si="123"/>
        <v>0.33643372781437675</v>
      </c>
    </row>
    <row r="220" spans="1:39" ht="192" customHeight="1" x14ac:dyDescent="0.25">
      <c r="A220" s="10">
        <v>217</v>
      </c>
      <c r="B220" s="37">
        <v>126350</v>
      </c>
      <c r="C220" s="20">
        <v>570</v>
      </c>
      <c r="D220" s="15" t="s">
        <v>31</v>
      </c>
      <c r="E220" s="14" t="s">
        <v>65</v>
      </c>
      <c r="F220" s="15" t="s">
        <v>819</v>
      </c>
      <c r="G220" s="15" t="s">
        <v>817</v>
      </c>
      <c r="H220" s="20" t="s">
        <v>132</v>
      </c>
      <c r="I220" s="16" t="s">
        <v>820</v>
      </c>
      <c r="J220" s="30">
        <v>43564</v>
      </c>
      <c r="K220" s="30">
        <v>44386</v>
      </c>
      <c r="L220" s="31">
        <f t="shared" si="125"/>
        <v>84.999999916591278</v>
      </c>
      <c r="M220" s="20">
        <v>1</v>
      </c>
      <c r="N220" s="20" t="s">
        <v>801</v>
      </c>
      <c r="O220" s="20" t="s">
        <v>801</v>
      </c>
      <c r="P220" s="32" t="s">
        <v>39</v>
      </c>
      <c r="Q220" s="20" t="s">
        <v>40</v>
      </c>
      <c r="R220" s="42">
        <f t="shared" si="126"/>
        <v>2038156.45</v>
      </c>
      <c r="S220" s="42">
        <v>2038156.45</v>
      </c>
      <c r="T220" s="42">
        <v>0</v>
      </c>
      <c r="U220" s="33">
        <f t="shared" si="127"/>
        <v>311718.05</v>
      </c>
      <c r="V220" s="42">
        <v>311718.05</v>
      </c>
      <c r="W220" s="42"/>
      <c r="X220" s="59">
        <f t="shared" si="128"/>
        <v>47956.62</v>
      </c>
      <c r="Y220" s="42">
        <v>47956.62</v>
      </c>
      <c r="Z220" s="42">
        <v>0</v>
      </c>
      <c r="AA220" s="2">
        <f t="shared" si="129"/>
        <v>0</v>
      </c>
      <c r="AB220" s="2">
        <v>0</v>
      </c>
      <c r="AC220" s="2">
        <v>0</v>
      </c>
      <c r="AD220" s="2">
        <f t="shared" si="130"/>
        <v>2397831.12</v>
      </c>
      <c r="AE220" s="42">
        <v>35700</v>
      </c>
      <c r="AF220" s="2">
        <f t="shared" si="131"/>
        <v>2433531.12</v>
      </c>
      <c r="AG220" s="39" t="s">
        <v>69</v>
      </c>
      <c r="AH220" s="34"/>
      <c r="AI220" s="35">
        <v>167370.71</v>
      </c>
      <c r="AJ220" s="36">
        <v>25597.86</v>
      </c>
      <c r="AK220" s="28">
        <f t="shared" si="121"/>
        <v>1870785.74</v>
      </c>
      <c r="AL220" s="28">
        <f t="shared" si="122"/>
        <v>286120.19</v>
      </c>
      <c r="AM220" s="29">
        <f t="shared" si="123"/>
        <v>8.2118676414658948E-2</v>
      </c>
    </row>
    <row r="221" spans="1:39" ht="192" customHeight="1" x14ac:dyDescent="0.25">
      <c r="A221" s="10">
        <v>218</v>
      </c>
      <c r="B221" s="37">
        <v>128787</v>
      </c>
      <c r="C221" s="20">
        <v>631</v>
      </c>
      <c r="D221" s="15" t="s">
        <v>31</v>
      </c>
      <c r="E221" s="14" t="s">
        <v>79</v>
      </c>
      <c r="F221" s="15" t="s">
        <v>821</v>
      </c>
      <c r="G221" s="15" t="s">
        <v>822</v>
      </c>
      <c r="H221" s="20" t="s">
        <v>132</v>
      </c>
      <c r="I221" s="16" t="s">
        <v>823</v>
      </c>
      <c r="J221" s="30">
        <v>43622</v>
      </c>
      <c r="K221" s="30">
        <v>44536</v>
      </c>
      <c r="L221" s="31">
        <f t="shared" si="125"/>
        <v>84.999999929965156</v>
      </c>
      <c r="M221" s="20">
        <v>1</v>
      </c>
      <c r="N221" s="20" t="s">
        <v>801</v>
      </c>
      <c r="O221" s="20" t="s">
        <v>806</v>
      </c>
      <c r="P221" s="32" t="s">
        <v>39</v>
      </c>
      <c r="Q221" s="20" t="s">
        <v>40</v>
      </c>
      <c r="R221" s="42">
        <f t="shared" si="126"/>
        <v>3034203.56</v>
      </c>
      <c r="S221" s="42">
        <v>3034203.56</v>
      </c>
      <c r="T221" s="42">
        <v>0</v>
      </c>
      <c r="U221" s="42">
        <f t="shared" si="127"/>
        <v>464054.66</v>
      </c>
      <c r="V221" s="42">
        <v>464054.66</v>
      </c>
      <c r="W221" s="42">
        <v>0</v>
      </c>
      <c r="X221" s="119">
        <f t="shared" si="128"/>
        <v>71393.03</v>
      </c>
      <c r="Y221" s="120">
        <v>71393.03</v>
      </c>
      <c r="Z221" s="42">
        <v>0</v>
      </c>
      <c r="AA221" s="2">
        <f t="shared" si="129"/>
        <v>0</v>
      </c>
      <c r="AB221" s="42">
        <v>0</v>
      </c>
      <c r="AC221" s="42">
        <v>0</v>
      </c>
      <c r="AD221" s="2">
        <f t="shared" si="130"/>
        <v>3569651.25</v>
      </c>
      <c r="AE221" s="42">
        <v>0</v>
      </c>
      <c r="AF221" s="2">
        <f t="shared" si="131"/>
        <v>3569651.25</v>
      </c>
      <c r="AG221" s="39" t="s">
        <v>69</v>
      </c>
      <c r="AH221" s="34"/>
      <c r="AI221" s="35">
        <v>158524.76999999999</v>
      </c>
      <c r="AJ221" s="36">
        <v>22614.240000000002</v>
      </c>
      <c r="AK221" s="28">
        <f t="shared" si="121"/>
        <v>2875678.79</v>
      </c>
      <c r="AL221" s="28">
        <f t="shared" si="122"/>
        <v>441440.42</v>
      </c>
      <c r="AM221" s="29">
        <f t="shared" si="123"/>
        <v>5.2245924462628997E-2</v>
      </c>
    </row>
    <row r="222" spans="1:39" ht="192" customHeight="1" x14ac:dyDescent="0.25">
      <c r="A222" s="10">
        <v>219</v>
      </c>
      <c r="B222" s="37">
        <v>118788</v>
      </c>
      <c r="C222" s="20">
        <v>445</v>
      </c>
      <c r="D222" s="15" t="s">
        <v>54</v>
      </c>
      <c r="E222" s="14" t="s">
        <v>55</v>
      </c>
      <c r="F222" s="15" t="s">
        <v>824</v>
      </c>
      <c r="G222" s="20" t="s">
        <v>825</v>
      </c>
      <c r="H222" s="20" t="s">
        <v>35</v>
      </c>
      <c r="I222" s="15" t="s">
        <v>826</v>
      </c>
      <c r="J222" s="30">
        <v>43325</v>
      </c>
      <c r="K222" s="30">
        <v>43690</v>
      </c>
      <c r="L222" s="31">
        <f>R222/AD222*100</f>
        <v>85.000001253240569</v>
      </c>
      <c r="M222" s="20">
        <v>2</v>
      </c>
      <c r="N222" s="20" t="s">
        <v>827</v>
      </c>
      <c r="O222" s="20" t="s">
        <v>828</v>
      </c>
      <c r="P222" s="20" t="s">
        <v>39</v>
      </c>
      <c r="Q222" s="20" t="s">
        <v>40</v>
      </c>
      <c r="R222" s="35">
        <f>S222+T222</f>
        <v>339120.85</v>
      </c>
      <c r="S222" s="35">
        <v>339120.85</v>
      </c>
      <c r="T222" s="41">
        <v>0</v>
      </c>
      <c r="U222" s="35">
        <f>V222+W222</f>
        <v>51865.54</v>
      </c>
      <c r="V222" s="35">
        <v>51865.54</v>
      </c>
      <c r="W222" s="41">
        <v>0</v>
      </c>
      <c r="X222" s="35">
        <f>Y222+Z222</f>
        <v>7979.31</v>
      </c>
      <c r="Y222" s="35">
        <v>7979.31</v>
      </c>
      <c r="Z222" s="35">
        <v>0</v>
      </c>
      <c r="AA222" s="2">
        <f>AB222+AC222</f>
        <v>0</v>
      </c>
      <c r="AB222" s="2">
        <v>0</v>
      </c>
      <c r="AC222" s="2">
        <v>0</v>
      </c>
      <c r="AD222" s="2">
        <f>R222+U222+X222+AA222</f>
        <v>398965.69999999995</v>
      </c>
      <c r="AE222" s="39"/>
      <c r="AF222" s="2">
        <f>AD222+AE222</f>
        <v>398965.69999999995</v>
      </c>
      <c r="AG222" s="24" t="s">
        <v>41</v>
      </c>
      <c r="AH222" s="39" t="s">
        <v>35</v>
      </c>
      <c r="AI222" s="35">
        <v>285754.77</v>
      </c>
      <c r="AJ222" s="36">
        <v>43703.66</v>
      </c>
      <c r="AK222" s="28">
        <f t="shared" si="121"/>
        <v>53366.079999999958</v>
      </c>
      <c r="AL222" s="28">
        <f t="shared" si="122"/>
        <v>8161.8799999999974</v>
      </c>
      <c r="AM222" s="29">
        <f t="shared" si="123"/>
        <v>0.84263403444524287</v>
      </c>
    </row>
    <row r="223" spans="1:39" ht="192" customHeight="1" x14ac:dyDescent="0.25">
      <c r="A223" s="10">
        <v>220</v>
      </c>
      <c r="B223" s="37">
        <v>125665</v>
      </c>
      <c r="C223" s="20">
        <v>557</v>
      </c>
      <c r="D223" s="15" t="s">
        <v>31</v>
      </c>
      <c r="E223" s="14" t="s">
        <v>65</v>
      </c>
      <c r="F223" s="15" t="s">
        <v>829</v>
      </c>
      <c r="G223" s="20" t="s">
        <v>830</v>
      </c>
      <c r="H223" s="20" t="s">
        <v>35</v>
      </c>
      <c r="I223" s="15" t="s">
        <v>831</v>
      </c>
      <c r="J223" s="30">
        <v>43425</v>
      </c>
      <c r="K223" s="30">
        <v>44248</v>
      </c>
      <c r="L223" s="31">
        <f>R223/AD223*100</f>
        <v>84.999999890649349</v>
      </c>
      <c r="M223" s="20">
        <v>2</v>
      </c>
      <c r="N223" s="20" t="s">
        <v>827</v>
      </c>
      <c r="O223" s="20" t="s">
        <v>828</v>
      </c>
      <c r="P223" s="20" t="s">
        <v>39</v>
      </c>
      <c r="Q223" s="20" t="s">
        <v>40</v>
      </c>
      <c r="R223" s="35">
        <f>S223+T223</f>
        <v>3497921.5</v>
      </c>
      <c r="S223" s="35">
        <v>3497921.5</v>
      </c>
      <c r="T223" s="41">
        <v>0</v>
      </c>
      <c r="U223" s="35">
        <f>V223+W223</f>
        <v>534976.2300000001</v>
      </c>
      <c r="V223" s="35">
        <v>534976.2300000001</v>
      </c>
      <c r="W223" s="41">
        <v>0</v>
      </c>
      <c r="X223" s="35">
        <f>Y223+Z223</f>
        <v>82304.039999999994</v>
      </c>
      <c r="Y223" s="35">
        <v>82304.039999999994</v>
      </c>
      <c r="Z223" s="35">
        <v>0</v>
      </c>
      <c r="AA223" s="2">
        <f>AB223+AC223</f>
        <v>0</v>
      </c>
      <c r="AB223" s="2">
        <v>0</v>
      </c>
      <c r="AC223" s="2">
        <v>0</v>
      </c>
      <c r="AD223" s="2">
        <f>R223+U223+X223+AA223</f>
        <v>4115201.77</v>
      </c>
      <c r="AE223" s="39">
        <v>114240</v>
      </c>
      <c r="AF223" s="2">
        <f>AD223+AE223</f>
        <v>4229441.7699999996</v>
      </c>
      <c r="AG223" s="39" t="s">
        <v>69</v>
      </c>
      <c r="AH223" s="39" t="s">
        <v>35</v>
      </c>
      <c r="AI223" s="35">
        <v>142406.78</v>
      </c>
      <c r="AJ223" s="36">
        <v>21779.86</v>
      </c>
      <c r="AK223" s="28">
        <f t="shared" si="121"/>
        <v>3355514.72</v>
      </c>
      <c r="AL223" s="28">
        <f t="shared" si="122"/>
        <v>513196.37000000011</v>
      </c>
      <c r="AM223" s="29">
        <f t="shared" si="123"/>
        <v>4.0711828438688515E-2</v>
      </c>
    </row>
    <row r="224" spans="1:39" ht="192" customHeight="1" x14ac:dyDescent="0.25">
      <c r="A224" s="10">
        <v>221</v>
      </c>
      <c r="B224" s="37">
        <v>136071</v>
      </c>
      <c r="C224" s="20">
        <v>768</v>
      </c>
      <c r="D224" s="46" t="s">
        <v>31</v>
      </c>
      <c r="E224" s="14" t="s">
        <v>1826</v>
      </c>
      <c r="F224" s="40" t="s">
        <v>1846</v>
      </c>
      <c r="G224" s="15" t="s">
        <v>830</v>
      </c>
      <c r="H224" s="20" t="s">
        <v>35</v>
      </c>
      <c r="I224" s="16" t="s">
        <v>1847</v>
      </c>
      <c r="J224" s="30">
        <v>43949</v>
      </c>
      <c r="K224" s="30">
        <v>44467</v>
      </c>
      <c r="L224" s="31">
        <f>R224/AD224*100</f>
        <v>85</v>
      </c>
      <c r="M224" s="20">
        <v>2</v>
      </c>
      <c r="N224" s="20" t="s">
        <v>827</v>
      </c>
      <c r="O224" s="20" t="s">
        <v>828</v>
      </c>
      <c r="P224" s="20" t="s">
        <v>39</v>
      </c>
      <c r="Q224" s="20" t="s">
        <v>40</v>
      </c>
      <c r="R224" s="35">
        <f>S224+T224</f>
        <v>576959.6</v>
      </c>
      <c r="S224" s="35">
        <v>576959.6</v>
      </c>
      <c r="T224" s="41">
        <v>0</v>
      </c>
      <c r="U224" s="35">
        <f>V224+W224</f>
        <v>88240.88</v>
      </c>
      <c r="V224" s="35">
        <v>88240.88</v>
      </c>
      <c r="W224" s="41">
        <v>0</v>
      </c>
      <c r="X224" s="35">
        <f>Y224+Z224</f>
        <v>13575.52</v>
      </c>
      <c r="Y224" s="35">
        <v>13575.52</v>
      </c>
      <c r="Z224" s="35">
        <v>0</v>
      </c>
      <c r="AA224" s="2">
        <f>AB224+AC224</f>
        <v>0</v>
      </c>
      <c r="AB224" s="2">
        <v>0</v>
      </c>
      <c r="AC224" s="2">
        <v>0</v>
      </c>
      <c r="AD224" s="2">
        <f>R224+U224+X224+AA224</f>
        <v>678776</v>
      </c>
      <c r="AE224" s="39">
        <v>0</v>
      </c>
      <c r="AF224" s="2">
        <f>AD224+AE224</f>
        <v>678776</v>
      </c>
      <c r="AG224" s="39" t="s">
        <v>69</v>
      </c>
      <c r="AH224" s="39" t="s">
        <v>35</v>
      </c>
      <c r="AI224" s="35">
        <v>0</v>
      </c>
      <c r="AJ224" s="36">
        <v>0</v>
      </c>
      <c r="AK224" s="28">
        <f t="shared" si="121"/>
        <v>576959.6</v>
      </c>
      <c r="AL224" s="28">
        <f t="shared" si="122"/>
        <v>88240.88</v>
      </c>
      <c r="AM224" s="29">
        <f t="shared" si="123"/>
        <v>0</v>
      </c>
    </row>
    <row r="225" spans="1:39" ht="192" customHeight="1" x14ac:dyDescent="0.25">
      <c r="A225" s="10">
        <v>222</v>
      </c>
      <c r="B225" s="37">
        <v>118894</v>
      </c>
      <c r="C225" s="20">
        <v>15</v>
      </c>
      <c r="D225" s="20" t="s">
        <v>254</v>
      </c>
      <c r="E225" s="14" t="s">
        <v>255</v>
      </c>
      <c r="F225" s="15" t="s">
        <v>832</v>
      </c>
      <c r="G225" s="32" t="s">
        <v>833</v>
      </c>
      <c r="H225" s="20" t="s">
        <v>35</v>
      </c>
      <c r="I225" s="55" t="s">
        <v>834</v>
      </c>
      <c r="J225" s="30">
        <v>42717</v>
      </c>
      <c r="K225" s="30">
        <v>43995</v>
      </c>
      <c r="L225" s="31">
        <f t="shared" ref="L225:L288" si="132">R225/AD225*100</f>
        <v>83.983863051796376</v>
      </c>
      <c r="M225" s="20" t="s">
        <v>259</v>
      </c>
      <c r="N225" s="20" t="s">
        <v>229</v>
      </c>
      <c r="O225" s="20" t="s">
        <v>229</v>
      </c>
      <c r="P225" s="32" t="s">
        <v>260</v>
      </c>
      <c r="Q225" s="20" t="s">
        <v>40</v>
      </c>
      <c r="R225" s="2">
        <f t="shared" ref="R225:R288" si="133">S225+T225</f>
        <v>2106832.29</v>
      </c>
      <c r="S225" s="2">
        <v>1698976.68</v>
      </c>
      <c r="T225" s="2">
        <v>407855.61</v>
      </c>
      <c r="U225" s="2">
        <f t="shared" ref="U225:U240" si="134">V225+W225</f>
        <v>0</v>
      </c>
      <c r="V225" s="2">
        <v>0</v>
      </c>
      <c r="W225" s="2">
        <v>0</v>
      </c>
      <c r="X225" s="2">
        <f t="shared" ref="X225:X288" si="135">Y225+Z225</f>
        <v>401783.30999999994</v>
      </c>
      <c r="Y225" s="2">
        <v>299819.40999999997</v>
      </c>
      <c r="Z225" s="2">
        <v>101963.9</v>
      </c>
      <c r="AA225" s="2">
        <f t="shared" ref="AA225:AA288" si="136">AB225+AC225</f>
        <v>0</v>
      </c>
      <c r="AB225" s="2">
        <v>0</v>
      </c>
      <c r="AC225" s="2">
        <v>0</v>
      </c>
      <c r="AD225" s="2">
        <f t="shared" ref="AD225:AD288" si="137">R225+U225+X225+AA225</f>
        <v>2508615.6</v>
      </c>
      <c r="AE225" s="2">
        <v>154711.20000000001</v>
      </c>
      <c r="AF225" s="2">
        <f t="shared" ref="AF225:AF288" si="138">AD225+AE225</f>
        <v>2663326.8000000003</v>
      </c>
      <c r="AG225" s="39" t="s">
        <v>69</v>
      </c>
      <c r="AH225" s="34" t="s">
        <v>835</v>
      </c>
      <c r="AI225" s="35">
        <v>749071.72999999986</v>
      </c>
      <c r="AJ225" s="36">
        <v>0</v>
      </c>
      <c r="AK225" s="28">
        <f t="shared" si="121"/>
        <v>1357760.56</v>
      </c>
      <c r="AL225" s="28">
        <f t="shared" si="122"/>
        <v>0</v>
      </c>
      <c r="AM225" s="29">
        <f t="shared" si="123"/>
        <v>0.35554407133184762</v>
      </c>
    </row>
    <row r="226" spans="1:39" ht="192" customHeight="1" x14ac:dyDescent="0.25">
      <c r="A226" s="10">
        <v>223</v>
      </c>
      <c r="B226" s="37">
        <v>119196</v>
      </c>
      <c r="C226" s="20">
        <v>20</v>
      </c>
      <c r="D226" s="20" t="s">
        <v>254</v>
      </c>
      <c r="E226" s="14" t="s">
        <v>255</v>
      </c>
      <c r="F226" s="15" t="s">
        <v>836</v>
      </c>
      <c r="G226" s="32" t="s">
        <v>833</v>
      </c>
      <c r="H226" s="20" t="s">
        <v>837</v>
      </c>
      <c r="I226" s="55" t="s">
        <v>838</v>
      </c>
      <c r="J226" s="30">
        <v>42464</v>
      </c>
      <c r="K226" s="30">
        <v>44047</v>
      </c>
      <c r="L226" s="31">
        <f t="shared" si="132"/>
        <v>83.983863025248297</v>
      </c>
      <c r="M226" s="20" t="s">
        <v>259</v>
      </c>
      <c r="N226" s="20" t="s">
        <v>229</v>
      </c>
      <c r="O226" s="20" t="s">
        <v>229</v>
      </c>
      <c r="P226" s="32" t="s">
        <v>260</v>
      </c>
      <c r="Q226" s="20" t="s">
        <v>40</v>
      </c>
      <c r="R226" s="2">
        <f t="shared" si="133"/>
        <v>14990338.920000002</v>
      </c>
      <c r="S226" s="2">
        <v>12088402.300000001</v>
      </c>
      <c r="T226" s="2">
        <v>2901936.62</v>
      </c>
      <c r="U226" s="2">
        <f t="shared" si="134"/>
        <v>0</v>
      </c>
      <c r="V226" s="2">
        <v>0</v>
      </c>
      <c r="W226" s="2">
        <v>0</v>
      </c>
      <c r="X226" s="2">
        <f t="shared" si="135"/>
        <v>2858731.58</v>
      </c>
      <c r="Y226" s="2">
        <v>2133247.4300000002</v>
      </c>
      <c r="Z226" s="2">
        <v>725484.15</v>
      </c>
      <c r="AA226" s="2">
        <f t="shared" si="136"/>
        <v>0</v>
      </c>
      <c r="AB226" s="2">
        <v>0</v>
      </c>
      <c r="AC226" s="2">
        <v>0</v>
      </c>
      <c r="AD226" s="2">
        <f t="shared" si="137"/>
        <v>17849070.5</v>
      </c>
      <c r="AE226" s="2">
        <v>0</v>
      </c>
      <c r="AF226" s="2">
        <f t="shared" si="138"/>
        <v>17849070.5</v>
      </c>
      <c r="AG226" s="39" t="s">
        <v>69</v>
      </c>
      <c r="AH226" s="34" t="s">
        <v>839</v>
      </c>
      <c r="AI226" s="110">
        <v>6909488.3599999994</v>
      </c>
      <c r="AJ226" s="36">
        <v>0</v>
      </c>
      <c r="AK226" s="28">
        <f t="shared" si="121"/>
        <v>8080850.5600000024</v>
      </c>
      <c r="AL226" s="28">
        <f t="shared" si="122"/>
        <v>0</v>
      </c>
      <c r="AM226" s="29">
        <f t="shared" si="123"/>
        <v>0.46092942907257489</v>
      </c>
    </row>
    <row r="227" spans="1:39" ht="192" customHeight="1" x14ac:dyDescent="0.25">
      <c r="A227" s="10">
        <v>224</v>
      </c>
      <c r="B227" s="37">
        <v>119622</v>
      </c>
      <c r="C227" s="20">
        <v>45</v>
      </c>
      <c r="D227" s="20" t="s">
        <v>840</v>
      </c>
      <c r="E227" s="14" t="s">
        <v>841</v>
      </c>
      <c r="F227" s="15" t="s">
        <v>842</v>
      </c>
      <c r="G227" s="15" t="s">
        <v>843</v>
      </c>
      <c r="H227" s="20" t="s">
        <v>35</v>
      </c>
      <c r="I227" s="55" t="s">
        <v>844</v>
      </c>
      <c r="J227" s="30">
        <v>42793</v>
      </c>
      <c r="K227" s="30">
        <v>44557</v>
      </c>
      <c r="L227" s="31">
        <f t="shared" si="132"/>
        <v>83.983862835522956</v>
      </c>
      <c r="M227" s="20" t="s">
        <v>259</v>
      </c>
      <c r="N227" s="20" t="s">
        <v>229</v>
      </c>
      <c r="O227" s="20" t="s">
        <v>229</v>
      </c>
      <c r="P227" s="32" t="s">
        <v>260</v>
      </c>
      <c r="Q227" s="20" t="s">
        <v>40</v>
      </c>
      <c r="R227" s="2">
        <f t="shared" si="133"/>
        <v>37233996.450000003</v>
      </c>
      <c r="S227" s="2">
        <v>30025974.120000001</v>
      </c>
      <c r="T227" s="2">
        <v>7208022.3300000001</v>
      </c>
      <c r="U227" s="2">
        <f t="shared" si="134"/>
        <v>0</v>
      </c>
      <c r="V227" s="2">
        <v>0</v>
      </c>
      <c r="W227" s="2">
        <v>0</v>
      </c>
      <c r="X227" s="2">
        <f t="shared" si="135"/>
        <v>7100706.9000000004</v>
      </c>
      <c r="Y227" s="2">
        <v>5298701.32</v>
      </c>
      <c r="Z227" s="2">
        <v>1802005.58</v>
      </c>
      <c r="AA227" s="2">
        <f t="shared" si="136"/>
        <v>0</v>
      </c>
      <c r="AB227" s="2">
        <v>0</v>
      </c>
      <c r="AC227" s="2">
        <v>0</v>
      </c>
      <c r="AD227" s="2">
        <f t="shared" si="137"/>
        <v>44334703.350000001</v>
      </c>
      <c r="AE227" s="2">
        <v>427346.26</v>
      </c>
      <c r="AF227" s="2">
        <f t="shared" si="138"/>
        <v>44762049.609999999</v>
      </c>
      <c r="AG227" s="39" t="s">
        <v>69</v>
      </c>
      <c r="AH227" s="106" t="s">
        <v>845</v>
      </c>
      <c r="AI227" s="110">
        <v>21632358.609999999</v>
      </c>
      <c r="AJ227" s="36">
        <v>0</v>
      </c>
      <c r="AK227" s="28">
        <f t="shared" si="121"/>
        <v>15601637.840000004</v>
      </c>
      <c r="AL227" s="28">
        <f t="shared" si="122"/>
        <v>0</v>
      </c>
      <c r="AM227" s="29">
        <f t="shared" si="123"/>
        <v>0.58098406490018339</v>
      </c>
    </row>
    <row r="228" spans="1:39" ht="192" customHeight="1" x14ac:dyDescent="0.25">
      <c r="A228" s="10">
        <v>225</v>
      </c>
      <c r="B228" s="37">
        <v>126388</v>
      </c>
      <c r="C228" s="20">
        <v>494</v>
      </c>
      <c r="D228" s="15" t="s">
        <v>425</v>
      </c>
      <c r="E228" s="14" t="s">
        <v>426</v>
      </c>
      <c r="F228" s="15" t="s">
        <v>846</v>
      </c>
      <c r="G228" s="20" t="s">
        <v>847</v>
      </c>
      <c r="H228" s="20" t="s">
        <v>35</v>
      </c>
      <c r="I228" s="55" t="s">
        <v>848</v>
      </c>
      <c r="J228" s="30">
        <v>43531</v>
      </c>
      <c r="K228" s="30">
        <v>44262</v>
      </c>
      <c r="L228" s="31">
        <f t="shared" si="132"/>
        <v>83.300001414159638</v>
      </c>
      <c r="M228" s="20">
        <v>3</v>
      </c>
      <c r="N228" s="20" t="s">
        <v>849</v>
      </c>
      <c r="O228" s="20" t="s">
        <v>849</v>
      </c>
      <c r="P228" s="20" t="s">
        <v>850</v>
      </c>
      <c r="Q228" s="20" t="s">
        <v>40</v>
      </c>
      <c r="R228" s="35">
        <f t="shared" si="133"/>
        <v>2043977.2</v>
      </c>
      <c r="S228" s="2">
        <v>2043977.2</v>
      </c>
      <c r="T228" s="2">
        <v>0</v>
      </c>
      <c r="U228" s="35">
        <f t="shared" si="134"/>
        <v>360701.81</v>
      </c>
      <c r="V228" s="2">
        <v>360701.81</v>
      </c>
      <c r="W228" s="2">
        <v>0</v>
      </c>
      <c r="X228" s="35">
        <f t="shared" si="135"/>
        <v>0</v>
      </c>
      <c r="Y228" s="2">
        <v>0</v>
      </c>
      <c r="Z228" s="2">
        <v>0</v>
      </c>
      <c r="AA228" s="2">
        <f t="shared" si="136"/>
        <v>49075.09</v>
      </c>
      <c r="AB228" s="2">
        <v>49075.09</v>
      </c>
      <c r="AC228" s="2">
        <v>0</v>
      </c>
      <c r="AD228" s="2">
        <f t="shared" si="137"/>
        <v>2453754.0999999996</v>
      </c>
      <c r="AE228" s="2">
        <v>0</v>
      </c>
      <c r="AF228" s="2">
        <f t="shared" si="138"/>
        <v>2453754.0999999996</v>
      </c>
      <c r="AG228" s="39" t="s">
        <v>69</v>
      </c>
      <c r="AH228" s="34" t="s">
        <v>35</v>
      </c>
      <c r="AI228" s="110">
        <v>977058.3</v>
      </c>
      <c r="AJ228" s="36">
        <f>20492.1+14114.96+30257.86+15716.19+49417.45</f>
        <v>129998.56</v>
      </c>
      <c r="AK228" s="28">
        <f t="shared" si="121"/>
        <v>1066918.8999999999</v>
      </c>
      <c r="AL228" s="28">
        <f t="shared" si="122"/>
        <v>230703.25</v>
      </c>
      <c r="AM228" s="29">
        <f t="shared" si="123"/>
        <v>0.47801819902883458</v>
      </c>
    </row>
    <row r="229" spans="1:39" ht="192" customHeight="1" x14ac:dyDescent="0.25">
      <c r="A229" s="10">
        <v>226</v>
      </c>
      <c r="B229" s="37">
        <v>121858</v>
      </c>
      <c r="C229" s="20">
        <v>50</v>
      </c>
      <c r="D229" s="20" t="s">
        <v>254</v>
      </c>
      <c r="E229" s="14" t="s">
        <v>851</v>
      </c>
      <c r="F229" s="15" t="s">
        <v>852</v>
      </c>
      <c r="G229" s="32" t="s">
        <v>853</v>
      </c>
      <c r="H229" s="20" t="s">
        <v>46</v>
      </c>
      <c r="I229" s="16" t="s">
        <v>854</v>
      </c>
      <c r="J229" s="30">
        <v>43229</v>
      </c>
      <c r="K229" s="30">
        <v>44509</v>
      </c>
      <c r="L229" s="31">
        <f t="shared" si="132"/>
        <v>83.983862841119134</v>
      </c>
      <c r="M229" s="20" t="s">
        <v>855</v>
      </c>
      <c r="N229" s="20" t="s">
        <v>856</v>
      </c>
      <c r="O229" s="20" t="s">
        <v>856</v>
      </c>
      <c r="P229" s="32" t="s">
        <v>260</v>
      </c>
      <c r="Q229" s="20" t="s">
        <v>40</v>
      </c>
      <c r="R229" s="2">
        <f t="shared" si="133"/>
        <v>9905083.2300000004</v>
      </c>
      <c r="S229" s="2">
        <v>7987586.6500000004</v>
      </c>
      <c r="T229" s="2">
        <v>1917496.58</v>
      </c>
      <c r="U229" s="2">
        <f t="shared" si="134"/>
        <v>0</v>
      </c>
      <c r="V229" s="2">
        <v>0</v>
      </c>
      <c r="W229" s="2">
        <v>0</v>
      </c>
      <c r="X229" s="2">
        <f t="shared" si="135"/>
        <v>1888948.2600000002</v>
      </c>
      <c r="Y229" s="33">
        <v>1409574.12</v>
      </c>
      <c r="Z229" s="2">
        <v>479374.14</v>
      </c>
      <c r="AA229" s="2">
        <f t="shared" si="136"/>
        <v>0</v>
      </c>
      <c r="AB229" s="2">
        <v>0</v>
      </c>
      <c r="AC229" s="2">
        <v>0</v>
      </c>
      <c r="AD229" s="2">
        <f t="shared" si="137"/>
        <v>11794031.49</v>
      </c>
      <c r="AE229" s="2">
        <v>0</v>
      </c>
      <c r="AF229" s="2">
        <f t="shared" si="138"/>
        <v>11794031.49</v>
      </c>
      <c r="AG229" s="39" t="s">
        <v>69</v>
      </c>
      <c r="AH229" s="34" t="s">
        <v>1848</v>
      </c>
      <c r="AI229" s="110">
        <v>758641.61</v>
      </c>
      <c r="AJ229" s="36">
        <v>0</v>
      </c>
      <c r="AK229" s="28">
        <f t="shared" si="121"/>
        <v>9146441.620000001</v>
      </c>
      <c r="AL229" s="28">
        <f t="shared" si="122"/>
        <v>0</v>
      </c>
      <c r="AM229" s="29">
        <f t="shared" si="123"/>
        <v>7.6591139355827495E-2</v>
      </c>
    </row>
    <row r="230" spans="1:39" ht="192" customHeight="1" x14ac:dyDescent="0.25">
      <c r="A230" s="10">
        <v>227</v>
      </c>
      <c r="B230" s="37">
        <v>120194</v>
      </c>
      <c r="C230" s="20">
        <v>52</v>
      </c>
      <c r="D230" s="20" t="s">
        <v>254</v>
      </c>
      <c r="E230" s="14" t="s">
        <v>851</v>
      </c>
      <c r="F230" s="15" t="s">
        <v>857</v>
      </c>
      <c r="G230" s="15" t="s">
        <v>858</v>
      </c>
      <c r="H230" s="20" t="s">
        <v>35</v>
      </c>
      <c r="I230" s="55" t="s">
        <v>859</v>
      </c>
      <c r="J230" s="30">
        <v>42963</v>
      </c>
      <c r="K230" s="30">
        <v>44212</v>
      </c>
      <c r="L230" s="31">
        <f t="shared" si="132"/>
        <v>83.983862831024851</v>
      </c>
      <c r="M230" s="20" t="s">
        <v>259</v>
      </c>
      <c r="N230" s="20" t="s">
        <v>229</v>
      </c>
      <c r="O230" s="20" t="s">
        <v>229</v>
      </c>
      <c r="P230" s="32" t="s">
        <v>260</v>
      </c>
      <c r="Q230" s="20" t="s">
        <v>40</v>
      </c>
      <c r="R230" s="2">
        <f t="shared" si="133"/>
        <v>12243037.969999999</v>
      </c>
      <c r="S230" s="2">
        <v>9872943.4499999993</v>
      </c>
      <c r="T230" s="2">
        <v>2370094.52</v>
      </c>
      <c r="U230" s="2">
        <f t="shared" si="134"/>
        <v>0</v>
      </c>
      <c r="V230" s="2">
        <v>0</v>
      </c>
      <c r="W230" s="2">
        <v>0</v>
      </c>
      <c r="X230" s="2">
        <f t="shared" si="135"/>
        <v>2334807.77</v>
      </c>
      <c r="Y230" s="2">
        <v>1742284.14</v>
      </c>
      <c r="Z230" s="2">
        <v>592523.63</v>
      </c>
      <c r="AA230" s="2">
        <f t="shared" si="136"/>
        <v>0</v>
      </c>
      <c r="AB230" s="2">
        <v>0</v>
      </c>
      <c r="AC230" s="2">
        <v>0</v>
      </c>
      <c r="AD230" s="2">
        <f t="shared" si="137"/>
        <v>14577845.739999998</v>
      </c>
      <c r="AE230" s="2">
        <v>0</v>
      </c>
      <c r="AF230" s="2">
        <f t="shared" si="138"/>
        <v>14577845.739999998</v>
      </c>
      <c r="AG230" s="39" t="s">
        <v>69</v>
      </c>
      <c r="AH230" s="25" t="s">
        <v>860</v>
      </c>
      <c r="AI230" s="110">
        <v>2619250.29</v>
      </c>
      <c r="AJ230" s="111">
        <v>0</v>
      </c>
      <c r="AK230" s="28">
        <f t="shared" si="121"/>
        <v>9623787.6799999997</v>
      </c>
      <c r="AL230" s="28">
        <f t="shared" si="122"/>
        <v>0</v>
      </c>
      <c r="AM230" s="29">
        <f t="shared" si="123"/>
        <v>0.2139379373337025</v>
      </c>
    </row>
    <row r="231" spans="1:39" ht="192" customHeight="1" x14ac:dyDescent="0.25">
      <c r="A231" s="10">
        <v>228</v>
      </c>
      <c r="B231" s="37">
        <v>119689</v>
      </c>
      <c r="C231" s="20">
        <v>53</v>
      </c>
      <c r="D231" s="20" t="s">
        <v>861</v>
      </c>
      <c r="E231" s="14" t="s">
        <v>862</v>
      </c>
      <c r="F231" s="15" t="s">
        <v>863</v>
      </c>
      <c r="G231" s="15" t="s">
        <v>864</v>
      </c>
      <c r="H231" s="20" t="s">
        <v>35</v>
      </c>
      <c r="I231" s="55" t="s">
        <v>865</v>
      </c>
      <c r="J231" s="30">
        <v>42943</v>
      </c>
      <c r="K231" s="30">
        <v>44254</v>
      </c>
      <c r="L231" s="31">
        <f t="shared" si="132"/>
        <v>83.983862843305559</v>
      </c>
      <c r="M231" s="20" t="s">
        <v>259</v>
      </c>
      <c r="N231" s="20" t="s">
        <v>229</v>
      </c>
      <c r="O231" s="20" t="s">
        <v>229</v>
      </c>
      <c r="P231" s="32" t="s">
        <v>260</v>
      </c>
      <c r="Q231" s="20" t="s">
        <v>40</v>
      </c>
      <c r="R231" s="2">
        <f t="shared" si="133"/>
        <v>46010993.850000001</v>
      </c>
      <c r="S231" s="2">
        <v>37103857.82</v>
      </c>
      <c r="T231" s="2">
        <v>8907136.0299999993</v>
      </c>
      <c r="U231" s="2">
        <f t="shared" si="134"/>
        <v>0</v>
      </c>
      <c r="V231" s="2">
        <v>0</v>
      </c>
      <c r="W231" s="2">
        <v>0</v>
      </c>
      <c r="X231" s="2">
        <f t="shared" si="135"/>
        <v>8774523.620000001</v>
      </c>
      <c r="Y231" s="2">
        <v>6547739.6100000003</v>
      </c>
      <c r="Z231" s="2">
        <v>2226784.0099999998</v>
      </c>
      <c r="AA231" s="2">
        <f t="shared" si="136"/>
        <v>0</v>
      </c>
      <c r="AB231" s="2">
        <v>0</v>
      </c>
      <c r="AC231" s="2">
        <v>0</v>
      </c>
      <c r="AD231" s="2">
        <f t="shared" si="137"/>
        <v>54785517.469999999</v>
      </c>
      <c r="AE231" s="2">
        <v>0</v>
      </c>
      <c r="AF231" s="2">
        <f t="shared" si="138"/>
        <v>54785517.469999999</v>
      </c>
      <c r="AG231" s="39" t="s">
        <v>69</v>
      </c>
      <c r="AH231" s="34" t="s">
        <v>866</v>
      </c>
      <c r="AI231" s="110">
        <v>893011.08</v>
      </c>
      <c r="AJ231" s="36">
        <v>0</v>
      </c>
      <c r="AK231" s="28">
        <f t="shared" si="121"/>
        <v>45117982.770000003</v>
      </c>
      <c r="AL231" s="28">
        <f t="shared" si="122"/>
        <v>0</v>
      </c>
      <c r="AM231" s="29">
        <f t="shared" si="123"/>
        <v>1.9408645744782144E-2</v>
      </c>
    </row>
    <row r="232" spans="1:39" ht="192" customHeight="1" x14ac:dyDescent="0.25">
      <c r="A232" s="10">
        <v>229</v>
      </c>
      <c r="B232" s="37">
        <v>125819</v>
      </c>
      <c r="C232" s="20">
        <v>497</v>
      </c>
      <c r="D232" s="15" t="s">
        <v>425</v>
      </c>
      <c r="E232" s="14" t="s">
        <v>426</v>
      </c>
      <c r="F232" s="40" t="s">
        <v>867</v>
      </c>
      <c r="G232" s="15" t="s">
        <v>868</v>
      </c>
      <c r="H232" s="20" t="s">
        <v>35</v>
      </c>
      <c r="I232" s="121" t="s">
        <v>869</v>
      </c>
      <c r="J232" s="30">
        <v>43608</v>
      </c>
      <c r="K232" s="30">
        <v>44339</v>
      </c>
      <c r="L232" s="31">
        <f t="shared" si="132"/>
        <v>83.30000063911281</v>
      </c>
      <c r="M232" s="20" t="s">
        <v>870</v>
      </c>
      <c r="N232" s="20" t="s">
        <v>871</v>
      </c>
      <c r="O232" s="20" t="s">
        <v>871</v>
      </c>
      <c r="P232" s="20" t="s">
        <v>850</v>
      </c>
      <c r="Q232" s="20" t="s">
        <v>40</v>
      </c>
      <c r="R232" s="35">
        <f t="shared" si="133"/>
        <v>1444133.16</v>
      </c>
      <c r="S232" s="89">
        <v>1444133.16</v>
      </c>
      <c r="T232" s="38">
        <v>0</v>
      </c>
      <c r="U232" s="35">
        <f t="shared" si="134"/>
        <v>254847.02</v>
      </c>
      <c r="V232" s="89">
        <v>254847.02</v>
      </c>
      <c r="W232" s="38">
        <v>0</v>
      </c>
      <c r="X232" s="35">
        <f t="shared" si="135"/>
        <v>0</v>
      </c>
      <c r="Y232" s="38">
        <v>0</v>
      </c>
      <c r="Z232" s="38">
        <v>0</v>
      </c>
      <c r="AA232" s="2">
        <f t="shared" si="136"/>
        <v>34673.06</v>
      </c>
      <c r="AB232" s="89">
        <v>34673.06</v>
      </c>
      <c r="AC232" s="38">
        <v>0</v>
      </c>
      <c r="AD232" s="2">
        <f t="shared" si="137"/>
        <v>1733653.24</v>
      </c>
      <c r="AE232" s="39">
        <v>0</v>
      </c>
      <c r="AF232" s="2">
        <f t="shared" si="138"/>
        <v>1733653.24</v>
      </c>
      <c r="AG232" s="39" t="s">
        <v>69</v>
      </c>
      <c r="AH232" s="39"/>
      <c r="AI232" s="110">
        <v>754354.65</v>
      </c>
      <c r="AJ232" s="36">
        <f>21634.7+84124.03+18309.74</f>
        <v>124068.47</v>
      </c>
      <c r="AK232" s="28">
        <f t="shared" si="121"/>
        <v>689778.50999999989</v>
      </c>
      <c r="AL232" s="28">
        <f t="shared" si="122"/>
        <v>130778.54999999999</v>
      </c>
      <c r="AM232" s="29">
        <f t="shared" si="123"/>
        <v>0.52235809750397255</v>
      </c>
    </row>
    <row r="233" spans="1:39" ht="192" customHeight="1" x14ac:dyDescent="0.25">
      <c r="A233" s="10">
        <v>230</v>
      </c>
      <c r="B233" s="37">
        <v>126526</v>
      </c>
      <c r="C233" s="20">
        <v>498</v>
      </c>
      <c r="D233" s="15" t="s">
        <v>425</v>
      </c>
      <c r="E233" s="14" t="s">
        <v>426</v>
      </c>
      <c r="F233" s="40" t="s">
        <v>872</v>
      </c>
      <c r="G233" s="15" t="s">
        <v>873</v>
      </c>
      <c r="H233" s="20" t="s">
        <v>35</v>
      </c>
      <c r="I233" s="121" t="s">
        <v>874</v>
      </c>
      <c r="J233" s="30">
        <v>43608</v>
      </c>
      <c r="K233" s="30">
        <v>44339</v>
      </c>
      <c r="L233" s="31">
        <f t="shared" si="132"/>
        <v>83.30000063911281</v>
      </c>
      <c r="M233" s="20" t="s">
        <v>870</v>
      </c>
      <c r="N233" s="20" t="s">
        <v>871</v>
      </c>
      <c r="O233" s="20" t="s">
        <v>871</v>
      </c>
      <c r="P233" s="20" t="s">
        <v>850</v>
      </c>
      <c r="Q233" s="20" t="s">
        <v>40</v>
      </c>
      <c r="R233" s="35">
        <f t="shared" si="133"/>
        <v>1444133.16</v>
      </c>
      <c r="S233" s="89">
        <v>1444133.16</v>
      </c>
      <c r="T233" s="38">
        <v>0</v>
      </c>
      <c r="U233" s="35">
        <f t="shared" si="134"/>
        <v>254847.02</v>
      </c>
      <c r="V233" s="89">
        <v>254847.02</v>
      </c>
      <c r="W233" s="38">
        <v>0</v>
      </c>
      <c r="X233" s="35">
        <f t="shared" si="135"/>
        <v>0</v>
      </c>
      <c r="Y233" s="38">
        <v>0</v>
      </c>
      <c r="Z233" s="38">
        <v>0</v>
      </c>
      <c r="AA233" s="2">
        <f t="shared" si="136"/>
        <v>34673.06</v>
      </c>
      <c r="AB233" s="89">
        <v>34673.06</v>
      </c>
      <c r="AC233" s="38">
        <v>0</v>
      </c>
      <c r="AD233" s="2">
        <f t="shared" si="137"/>
        <v>1733653.24</v>
      </c>
      <c r="AE233" s="39">
        <v>0</v>
      </c>
      <c r="AF233" s="2">
        <f t="shared" si="138"/>
        <v>1733653.24</v>
      </c>
      <c r="AG233" s="39" t="s">
        <v>69</v>
      </c>
      <c r="AH233" s="39"/>
      <c r="AI233" s="110">
        <v>790001.63</v>
      </c>
      <c r="AJ233" s="36">
        <f>21800.36+70103.02+16914.85</f>
        <v>108818.23000000001</v>
      </c>
      <c r="AK233" s="28">
        <f t="shared" si="121"/>
        <v>654131.52999999991</v>
      </c>
      <c r="AL233" s="28">
        <f t="shared" si="122"/>
        <v>146028.78999999998</v>
      </c>
      <c r="AM233" s="29">
        <f t="shared" si="123"/>
        <v>0.54704209548100124</v>
      </c>
    </row>
    <row r="234" spans="1:39" ht="192" customHeight="1" x14ac:dyDescent="0.25">
      <c r="A234" s="10">
        <v>231</v>
      </c>
      <c r="B234" s="37">
        <v>119193</v>
      </c>
      <c r="C234" s="20">
        <v>2</v>
      </c>
      <c r="D234" s="20" t="s">
        <v>254</v>
      </c>
      <c r="E234" s="14" t="s">
        <v>255</v>
      </c>
      <c r="F234" s="15" t="s">
        <v>875</v>
      </c>
      <c r="G234" s="32" t="s">
        <v>876</v>
      </c>
      <c r="H234" s="20" t="s">
        <v>35</v>
      </c>
      <c r="I234" s="55" t="s">
        <v>877</v>
      </c>
      <c r="J234" s="30">
        <v>42459</v>
      </c>
      <c r="K234" s="30">
        <v>43373</v>
      </c>
      <c r="L234" s="31">
        <f t="shared" si="132"/>
        <v>83.983862816086358</v>
      </c>
      <c r="M234" s="20" t="s">
        <v>259</v>
      </c>
      <c r="N234" s="20" t="s">
        <v>229</v>
      </c>
      <c r="O234" s="20" t="s">
        <v>229</v>
      </c>
      <c r="P234" s="32" t="s">
        <v>260</v>
      </c>
      <c r="Q234" s="20" t="s">
        <v>40</v>
      </c>
      <c r="R234" s="2">
        <f t="shared" si="133"/>
        <v>11141147.18</v>
      </c>
      <c r="S234" s="2">
        <v>8984364.5299999993</v>
      </c>
      <c r="T234" s="2">
        <v>2156782.65</v>
      </c>
      <c r="U234" s="2">
        <f t="shared" si="134"/>
        <v>0</v>
      </c>
      <c r="V234" s="2">
        <v>0</v>
      </c>
      <c r="W234" s="2">
        <v>0</v>
      </c>
      <c r="X234" s="2">
        <f t="shared" si="135"/>
        <v>2124671.7600000002</v>
      </c>
      <c r="Y234" s="2">
        <v>1585476.09</v>
      </c>
      <c r="Z234" s="2">
        <v>539195.67000000004</v>
      </c>
      <c r="AA234" s="2">
        <f t="shared" si="136"/>
        <v>0</v>
      </c>
      <c r="AB234" s="2">
        <v>0</v>
      </c>
      <c r="AC234" s="2">
        <v>0</v>
      </c>
      <c r="AD234" s="2">
        <f t="shared" si="137"/>
        <v>13265818.939999999</v>
      </c>
      <c r="AE234" s="2">
        <v>0</v>
      </c>
      <c r="AF234" s="2">
        <f t="shared" si="138"/>
        <v>13265818.939999999</v>
      </c>
      <c r="AG234" s="24" t="s">
        <v>41</v>
      </c>
      <c r="AH234" s="34" t="s">
        <v>878</v>
      </c>
      <c r="AI234" s="110">
        <v>11115534.15</v>
      </c>
      <c r="AJ234" s="36">
        <v>0</v>
      </c>
      <c r="AK234" s="28">
        <f t="shared" si="121"/>
        <v>25613.029999999329</v>
      </c>
      <c r="AL234" s="28">
        <f t="shared" si="122"/>
        <v>0</v>
      </c>
      <c r="AM234" s="29">
        <f t="shared" si="123"/>
        <v>0.99770104194961373</v>
      </c>
    </row>
    <row r="235" spans="1:39" ht="192" customHeight="1" x14ac:dyDescent="0.25">
      <c r="A235" s="10">
        <v>232</v>
      </c>
      <c r="B235" s="37">
        <v>117842</v>
      </c>
      <c r="C235" s="20">
        <v>3</v>
      </c>
      <c r="D235" s="20" t="s">
        <v>254</v>
      </c>
      <c r="E235" s="14" t="s">
        <v>255</v>
      </c>
      <c r="F235" s="15" t="s">
        <v>879</v>
      </c>
      <c r="G235" s="15" t="s">
        <v>880</v>
      </c>
      <c r="H235" s="20" t="s">
        <v>881</v>
      </c>
      <c r="I235" s="55" t="s">
        <v>882</v>
      </c>
      <c r="J235" s="30">
        <v>42534</v>
      </c>
      <c r="K235" s="30">
        <v>43585</v>
      </c>
      <c r="L235" s="31">
        <f t="shared" si="132"/>
        <v>83.983864495221582</v>
      </c>
      <c r="M235" s="20" t="s">
        <v>259</v>
      </c>
      <c r="N235" s="20" t="s">
        <v>229</v>
      </c>
      <c r="O235" s="20" t="s">
        <v>229</v>
      </c>
      <c r="P235" s="32" t="s">
        <v>260</v>
      </c>
      <c r="Q235" s="20" t="s">
        <v>40</v>
      </c>
      <c r="R235" s="2">
        <f t="shared" si="133"/>
        <v>15396417.879999999</v>
      </c>
      <c r="S235" s="2">
        <v>12415869.539999999</v>
      </c>
      <c r="T235" s="2">
        <v>2980548.34</v>
      </c>
      <c r="U235" s="2">
        <f t="shared" si="134"/>
        <v>0</v>
      </c>
      <c r="V235" s="2">
        <v>0</v>
      </c>
      <c r="W235" s="2">
        <v>0</v>
      </c>
      <c r="X235" s="2">
        <f t="shared" si="135"/>
        <v>2936172.52</v>
      </c>
      <c r="Y235" s="2">
        <v>2191035.59</v>
      </c>
      <c r="Z235" s="2">
        <v>745136.93</v>
      </c>
      <c r="AA235" s="2">
        <f t="shared" si="136"/>
        <v>0</v>
      </c>
      <c r="AB235" s="2">
        <v>0</v>
      </c>
      <c r="AC235" s="2">
        <v>0</v>
      </c>
      <c r="AD235" s="2">
        <f t="shared" si="137"/>
        <v>18332590.399999999</v>
      </c>
      <c r="AE235" s="2">
        <v>0</v>
      </c>
      <c r="AF235" s="2">
        <f t="shared" si="138"/>
        <v>18332590.399999999</v>
      </c>
      <c r="AG235" s="24" t="s">
        <v>41</v>
      </c>
      <c r="AH235" s="34" t="s">
        <v>883</v>
      </c>
      <c r="AI235" s="35">
        <v>12217325.540000001</v>
      </c>
      <c r="AJ235" s="36">
        <v>0</v>
      </c>
      <c r="AK235" s="28">
        <f t="shared" si="121"/>
        <v>3179092.339999998</v>
      </c>
      <c r="AL235" s="28">
        <f t="shared" si="122"/>
        <v>0</v>
      </c>
      <c r="AM235" s="29">
        <f t="shared" si="123"/>
        <v>0.79351740354295985</v>
      </c>
    </row>
    <row r="236" spans="1:39" ht="192" customHeight="1" x14ac:dyDescent="0.25">
      <c r="A236" s="10">
        <v>233</v>
      </c>
      <c r="B236" s="37">
        <v>118291</v>
      </c>
      <c r="C236" s="20">
        <v>4</v>
      </c>
      <c r="D236" s="20" t="s">
        <v>254</v>
      </c>
      <c r="E236" s="14" t="s">
        <v>255</v>
      </c>
      <c r="F236" s="15" t="s">
        <v>884</v>
      </c>
      <c r="G236" s="15" t="s">
        <v>885</v>
      </c>
      <c r="H236" s="20" t="s">
        <v>886</v>
      </c>
      <c r="I236" s="55" t="s">
        <v>887</v>
      </c>
      <c r="J236" s="30">
        <v>42459</v>
      </c>
      <c r="K236" s="30">
        <v>43220</v>
      </c>
      <c r="L236" s="31">
        <f t="shared" si="132"/>
        <v>83.983862772799696</v>
      </c>
      <c r="M236" s="20" t="s">
        <v>259</v>
      </c>
      <c r="N236" s="20" t="s">
        <v>229</v>
      </c>
      <c r="O236" s="20" t="s">
        <v>229</v>
      </c>
      <c r="P236" s="32" t="s">
        <v>260</v>
      </c>
      <c r="Q236" s="20" t="s">
        <v>40</v>
      </c>
      <c r="R236" s="2">
        <f t="shared" si="133"/>
        <v>9512414.3200000003</v>
      </c>
      <c r="S236" s="2">
        <v>7670933.3799999999</v>
      </c>
      <c r="T236" s="2">
        <v>1841480.94</v>
      </c>
      <c r="U236" s="2">
        <f t="shared" si="134"/>
        <v>0</v>
      </c>
      <c r="V236" s="2">
        <v>0</v>
      </c>
      <c r="W236" s="2">
        <v>0</v>
      </c>
      <c r="X236" s="2">
        <f t="shared" si="135"/>
        <v>1814064.3699999999</v>
      </c>
      <c r="Y236" s="2">
        <v>1353694.13</v>
      </c>
      <c r="Z236" s="2">
        <v>460370.24</v>
      </c>
      <c r="AA236" s="2">
        <f t="shared" si="136"/>
        <v>0</v>
      </c>
      <c r="AB236" s="2">
        <v>0</v>
      </c>
      <c r="AC236" s="2">
        <v>0</v>
      </c>
      <c r="AD236" s="2">
        <f t="shared" si="137"/>
        <v>11326478.689999999</v>
      </c>
      <c r="AE236" s="2">
        <v>0</v>
      </c>
      <c r="AF236" s="2">
        <f t="shared" si="138"/>
        <v>11326478.689999999</v>
      </c>
      <c r="AG236" s="24" t="s">
        <v>41</v>
      </c>
      <c r="AH236" s="34" t="s">
        <v>888</v>
      </c>
      <c r="AI236" s="35">
        <v>8671071.8500000015</v>
      </c>
      <c r="AJ236" s="36">
        <v>0</v>
      </c>
      <c r="AK236" s="28">
        <f t="shared" si="121"/>
        <v>841342.46999999881</v>
      </c>
      <c r="AL236" s="28">
        <f t="shared" si="122"/>
        <v>0</v>
      </c>
      <c r="AM236" s="29">
        <f t="shared" si="123"/>
        <v>0.91155321438942549</v>
      </c>
    </row>
    <row r="237" spans="1:39" ht="192" customHeight="1" x14ac:dyDescent="0.25">
      <c r="A237" s="10">
        <v>234</v>
      </c>
      <c r="B237" s="37">
        <v>118957</v>
      </c>
      <c r="C237" s="20">
        <v>5</v>
      </c>
      <c r="D237" s="20" t="s">
        <v>254</v>
      </c>
      <c r="E237" s="14" t="s">
        <v>255</v>
      </c>
      <c r="F237" s="15" t="s">
        <v>889</v>
      </c>
      <c r="G237" s="32" t="s">
        <v>257</v>
      </c>
      <c r="H237" s="20" t="s">
        <v>881</v>
      </c>
      <c r="I237" s="55" t="s">
        <v>890</v>
      </c>
      <c r="J237" s="30">
        <v>42900</v>
      </c>
      <c r="K237" s="30">
        <v>43904</v>
      </c>
      <c r="L237" s="31">
        <f t="shared" si="132"/>
        <v>83.983862721834797</v>
      </c>
      <c r="M237" s="20" t="s">
        <v>259</v>
      </c>
      <c r="N237" s="20" t="s">
        <v>229</v>
      </c>
      <c r="O237" s="20" t="s">
        <v>229</v>
      </c>
      <c r="P237" s="32" t="s">
        <v>260</v>
      </c>
      <c r="Q237" s="20" t="s">
        <v>40</v>
      </c>
      <c r="R237" s="2">
        <f t="shared" si="133"/>
        <v>4555318.1900000004</v>
      </c>
      <c r="S237" s="2">
        <v>3673467.24</v>
      </c>
      <c r="T237" s="2">
        <v>881850.95</v>
      </c>
      <c r="U237" s="2">
        <f t="shared" si="134"/>
        <v>0</v>
      </c>
      <c r="V237" s="2">
        <v>0</v>
      </c>
      <c r="W237" s="2">
        <v>0</v>
      </c>
      <c r="X237" s="2">
        <f t="shared" si="135"/>
        <v>868721.67</v>
      </c>
      <c r="Y237" s="2">
        <v>648258.93000000005</v>
      </c>
      <c r="Z237" s="2">
        <v>220462.74</v>
      </c>
      <c r="AA237" s="2">
        <f t="shared" si="136"/>
        <v>0</v>
      </c>
      <c r="AB237" s="2">
        <v>0</v>
      </c>
      <c r="AC237" s="2">
        <v>0</v>
      </c>
      <c r="AD237" s="2">
        <f t="shared" si="137"/>
        <v>5424039.8600000003</v>
      </c>
      <c r="AE237" s="2">
        <v>0</v>
      </c>
      <c r="AF237" s="2">
        <f t="shared" si="138"/>
        <v>5424039.8600000003</v>
      </c>
      <c r="AG237" s="39" t="s">
        <v>41</v>
      </c>
      <c r="AH237" s="34" t="s">
        <v>891</v>
      </c>
      <c r="AI237" s="35">
        <v>3853955.6300000004</v>
      </c>
      <c r="AJ237" s="36">
        <v>0</v>
      </c>
      <c r="AK237" s="28">
        <f t="shared" si="121"/>
        <v>701362.56</v>
      </c>
      <c r="AL237" s="28">
        <f t="shared" si="122"/>
        <v>0</v>
      </c>
      <c r="AM237" s="29">
        <f t="shared" si="123"/>
        <v>0.84603434255379639</v>
      </c>
    </row>
    <row r="238" spans="1:39" ht="192" customHeight="1" x14ac:dyDescent="0.25">
      <c r="A238" s="10">
        <v>235</v>
      </c>
      <c r="B238" s="37">
        <v>118448</v>
      </c>
      <c r="C238" s="20">
        <v>6</v>
      </c>
      <c r="D238" s="20" t="s">
        <v>254</v>
      </c>
      <c r="E238" s="14" t="s">
        <v>255</v>
      </c>
      <c r="F238" s="15" t="s">
        <v>892</v>
      </c>
      <c r="G238" s="15" t="s">
        <v>880</v>
      </c>
      <c r="H238" s="20" t="s">
        <v>35</v>
      </c>
      <c r="I238" s="55" t="s">
        <v>893</v>
      </c>
      <c r="J238" s="30">
        <v>42458</v>
      </c>
      <c r="K238" s="30">
        <v>43706</v>
      </c>
      <c r="L238" s="31">
        <f t="shared" si="132"/>
        <v>83.983862365752103</v>
      </c>
      <c r="M238" s="20" t="s">
        <v>259</v>
      </c>
      <c r="N238" s="20" t="s">
        <v>229</v>
      </c>
      <c r="O238" s="20" t="s">
        <v>229</v>
      </c>
      <c r="P238" s="32" t="s">
        <v>260</v>
      </c>
      <c r="Q238" s="20" t="s">
        <v>40</v>
      </c>
      <c r="R238" s="2">
        <f t="shared" si="133"/>
        <v>15459786.27</v>
      </c>
      <c r="S238" s="2">
        <v>12466970.77</v>
      </c>
      <c r="T238" s="2">
        <v>2992815.5</v>
      </c>
      <c r="U238" s="2">
        <f t="shared" si="134"/>
        <v>0</v>
      </c>
      <c r="V238" s="2">
        <v>0</v>
      </c>
      <c r="W238" s="2">
        <v>0</v>
      </c>
      <c r="X238" s="2">
        <f t="shared" si="135"/>
        <v>2948257.6500000004</v>
      </c>
      <c r="Y238" s="2">
        <v>2200053.66</v>
      </c>
      <c r="Z238" s="2">
        <v>748203.99</v>
      </c>
      <c r="AA238" s="2">
        <f t="shared" si="136"/>
        <v>0</v>
      </c>
      <c r="AB238" s="2">
        <v>0</v>
      </c>
      <c r="AC238" s="2">
        <v>0</v>
      </c>
      <c r="AD238" s="2">
        <f t="shared" si="137"/>
        <v>18408043.920000002</v>
      </c>
      <c r="AE238" s="2">
        <v>0</v>
      </c>
      <c r="AF238" s="2">
        <f t="shared" si="138"/>
        <v>18408043.920000002</v>
      </c>
      <c r="AG238" s="24" t="s">
        <v>41</v>
      </c>
      <c r="AH238" s="34" t="s">
        <v>894</v>
      </c>
      <c r="AI238" s="35">
        <v>12495255.649999997</v>
      </c>
      <c r="AJ238" s="36">
        <v>0</v>
      </c>
      <c r="AK238" s="28">
        <f t="shared" si="121"/>
        <v>2964530.6200000029</v>
      </c>
      <c r="AL238" s="28">
        <f t="shared" si="122"/>
        <v>0</v>
      </c>
      <c r="AM238" s="29">
        <f t="shared" si="123"/>
        <v>0.80824245767532188</v>
      </c>
    </row>
    <row r="239" spans="1:39" ht="192" customHeight="1" x14ac:dyDescent="0.25">
      <c r="A239" s="10">
        <v>236</v>
      </c>
      <c r="B239" s="37">
        <v>119240</v>
      </c>
      <c r="C239" s="20">
        <v>54</v>
      </c>
      <c r="D239" s="20" t="s">
        <v>861</v>
      </c>
      <c r="E239" s="14" t="s">
        <v>862</v>
      </c>
      <c r="F239" s="15" t="s">
        <v>895</v>
      </c>
      <c r="G239" s="15" t="s">
        <v>864</v>
      </c>
      <c r="H239" s="20" t="s">
        <v>35</v>
      </c>
      <c r="I239" s="55" t="s">
        <v>896</v>
      </c>
      <c r="J239" s="30">
        <v>42943</v>
      </c>
      <c r="K239" s="30">
        <v>44039</v>
      </c>
      <c r="L239" s="31">
        <f t="shared" si="132"/>
        <v>83.983862856059488</v>
      </c>
      <c r="M239" s="20" t="s">
        <v>259</v>
      </c>
      <c r="N239" s="20" t="s">
        <v>229</v>
      </c>
      <c r="O239" s="20" t="s">
        <v>229</v>
      </c>
      <c r="P239" s="32" t="s">
        <v>260</v>
      </c>
      <c r="Q239" s="20" t="s">
        <v>40</v>
      </c>
      <c r="R239" s="2">
        <f t="shared" si="133"/>
        <v>11805482.93</v>
      </c>
      <c r="S239" s="2">
        <v>9520093.4299999997</v>
      </c>
      <c r="T239" s="2">
        <v>2285389.5</v>
      </c>
      <c r="U239" s="2">
        <f t="shared" si="134"/>
        <v>0</v>
      </c>
      <c r="V239" s="2">
        <v>0</v>
      </c>
      <c r="W239" s="2">
        <v>0</v>
      </c>
      <c r="X239" s="2">
        <f t="shared" si="135"/>
        <v>2251363.86</v>
      </c>
      <c r="Y239" s="2">
        <v>1680016.49</v>
      </c>
      <c r="Z239" s="2">
        <v>571347.37</v>
      </c>
      <c r="AA239" s="2">
        <f t="shared" si="136"/>
        <v>0</v>
      </c>
      <c r="AB239" s="2">
        <v>0</v>
      </c>
      <c r="AC239" s="2">
        <v>0</v>
      </c>
      <c r="AD239" s="2">
        <f t="shared" si="137"/>
        <v>14056846.789999999</v>
      </c>
      <c r="AE239" s="2">
        <v>216877.5</v>
      </c>
      <c r="AF239" s="2">
        <f t="shared" si="138"/>
        <v>14273724.289999999</v>
      </c>
      <c r="AG239" s="39" t="s">
        <v>69</v>
      </c>
      <c r="AH239" s="34" t="s">
        <v>35</v>
      </c>
      <c r="AI239" s="35">
        <v>10551997.58</v>
      </c>
      <c r="AJ239" s="36">
        <v>0</v>
      </c>
      <c r="AK239" s="28">
        <f t="shared" si="121"/>
        <v>1253485.3499999996</v>
      </c>
      <c r="AL239" s="28">
        <f t="shared" si="122"/>
        <v>0</v>
      </c>
      <c r="AM239" s="29">
        <f t="shared" si="123"/>
        <v>0.89382176422324477</v>
      </c>
    </row>
    <row r="240" spans="1:39" ht="192" customHeight="1" x14ac:dyDescent="0.25">
      <c r="A240" s="10">
        <v>237</v>
      </c>
      <c r="B240" s="37">
        <v>122100</v>
      </c>
      <c r="C240" s="20">
        <v>8</v>
      </c>
      <c r="D240" s="20" t="s">
        <v>254</v>
      </c>
      <c r="E240" s="14" t="s">
        <v>255</v>
      </c>
      <c r="F240" s="15" t="s">
        <v>897</v>
      </c>
      <c r="G240" s="15" t="s">
        <v>898</v>
      </c>
      <c r="H240" s="20" t="s">
        <v>35</v>
      </c>
      <c r="I240" s="55" t="s">
        <v>899</v>
      </c>
      <c r="J240" s="30">
        <v>42661</v>
      </c>
      <c r="K240" s="30">
        <v>43756</v>
      </c>
      <c r="L240" s="31">
        <f t="shared" si="132"/>
        <v>83.983862943976007</v>
      </c>
      <c r="M240" s="20" t="s">
        <v>259</v>
      </c>
      <c r="N240" s="20" t="s">
        <v>229</v>
      </c>
      <c r="O240" s="20" t="s">
        <v>229</v>
      </c>
      <c r="P240" s="32" t="s">
        <v>260</v>
      </c>
      <c r="Q240" s="20" t="s">
        <v>40</v>
      </c>
      <c r="R240" s="2">
        <f t="shared" si="133"/>
        <v>1681184.87</v>
      </c>
      <c r="S240" s="2">
        <v>1355729.12</v>
      </c>
      <c r="T240" s="2">
        <v>325455.75</v>
      </c>
      <c r="U240" s="2">
        <f t="shared" si="134"/>
        <v>0</v>
      </c>
      <c r="V240" s="2">
        <v>0</v>
      </c>
      <c r="W240" s="2">
        <v>0</v>
      </c>
      <c r="X240" s="2">
        <f t="shared" si="135"/>
        <v>320610.25</v>
      </c>
      <c r="Y240" s="2">
        <v>239246.31</v>
      </c>
      <c r="Z240" s="2">
        <v>81363.94</v>
      </c>
      <c r="AA240" s="2">
        <f t="shared" si="136"/>
        <v>0</v>
      </c>
      <c r="AB240" s="2">
        <v>0</v>
      </c>
      <c r="AC240" s="2">
        <v>0</v>
      </c>
      <c r="AD240" s="2">
        <f t="shared" si="137"/>
        <v>2001795.12</v>
      </c>
      <c r="AE240" s="2">
        <v>0</v>
      </c>
      <c r="AF240" s="2">
        <f t="shared" si="138"/>
        <v>2001795.12</v>
      </c>
      <c r="AG240" s="24" t="s">
        <v>41</v>
      </c>
      <c r="AH240" s="34" t="s">
        <v>900</v>
      </c>
      <c r="AI240" s="35">
        <v>1110336.8299999998</v>
      </c>
      <c r="AJ240" s="36">
        <v>0</v>
      </c>
      <c r="AK240" s="28">
        <f t="shared" si="121"/>
        <v>570848.04000000027</v>
      </c>
      <c r="AL240" s="28">
        <f t="shared" si="122"/>
        <v>0</v>
      </c>
      <c r="AM240" s="29">
        <f t="shared" si="123"/>
        <v>0.6604489784636236</v>
      </c>
    </row>
    <row r="241" spans="1:39" ht="192" customHeight="1" x14ac:dyDescent="0.25">
      <c r="A241" s="10">
        <v>238</v>
      </c>
      <c r="B241" s="37">
        <v>120313</v>
      </c>
      <c r="C241" s="20">
        <v>9</v>
      </c>
      <c r="D241" s="20" t="s">
        <v>254</v>
      </c>
      <c r="E241" s="14" t="s">
        <v>255</v>
      </c>
      <c r="F241" s="15" t="s">
        <v>901</v>
      </c>
      <c r="G241" s="32" t="s">
        <v>853</v>
      </c>
      <c r="H241" s="20" t="s">
        <v>902</v>
      </c>
      <c r="I241" s="55" t="s">
        <v>903</v>
      </c>
      <c r="J241" s="30">
        <v>42538</v>
      </c>
      <c r="K241" s="30">
        <v>43633</v>
      </c>
      <c r="L241" s="31">
        <f t="shared" si="132"/>
        <v>83.983862848864632</v>
      </c>
      <c r="M241" s="20" t="s">
        <v>259</v>
      </c>
      <c r="N241" s="20" t="s">
        <v>229</v>
      </c>
      <c r="O241" s="20" t="s">
        <v>229</v>
      </c>
      <c r="P241" s="32" t="s">
        <v>260</v>
      </c>
      <c r="Q241" s="20" t="s">
        <v>40</v>
      </c>
      <c r="R241" s="2">
        <f t="shared" si="133"/>
        <v>30189820.119999997</v>
      </c>
      <c r="S241" s="2">
        <v>24345459.629999999</v>
      </c>
      <c r="T241" s="2">
        <v>5844360.4900000002</v>
      </c>
      <c r="U241" s="2">
        <v>1966327.81</v>
      </c>
      <c r="V241" s="2">
        <v>1453132.81</v>
      </c>
      <c r="W241" s="2">
        <v>513195</v>
      </c>
      <c r="X241" s="2">
        <f t="shared" si="135"/>
        <v>3791019.8899999997</v>
      </c>
      <c r="Y241" s="2">
        <v>2843124.76</v>
      </c>
      <c r="Z241" s="2">
        <v>947895.13</v>
      </c>
      <c r="AA241" s="2">
        <f t="shared" si="136"/>
        <v>0</v>
      </c>
      <c r="AB241" s="2">
        <v>0</v>
      </c>
      <c r="AC241" s="2">
        <v>0</v>
      </c>
      <c r="AD241" s="2">
        <f t="shared" si="137"/>
        <v>35947167.819999993</v>
      </c>
      <c r="AE241" s="2">
        <v>0</v>
      </c>
      <c r="AF241" s="2">
        <f t="shared" si="138"/>
        <v>35947167.819999993</v>
      </c>
      <c r="AG241" s="24" t="s">
        <v>41</v>
      </c>
      <c r="AH241" s="34" t="s">
        <v>904</v>
      </c>
      <c r="AI241" s="35">
        <v>26274093.779999994</v>
      </c>
      <c r="AJ241" s="36">
        <v>1669405.63</v>
      </c>
      <c r="AK241" s="28">
        <f t="shared" si="121"/>
        <v>3915726.3400000036</v>
      </c>
      <c r="AL241" s="28">
        <f t="shared" si="122"/>
        <v>296922.18000000017</v>
      </c>
      <c r="AM241" s="29">
        <f t="shared" si="123"/>
        <v>0.87029646667533689</v>
      </c>
    </row>
    <row r="242" spans="1:39" ht="192" customHeight="1" x14ac:dyDescent="0.25">
      <c r="A242" s="10">
        <v>239</v>
      </c>
      <c r="B242" s="37">
        <v>121644</v>
      </c>
      <c r="C242" s="20">
        <v>10</v>
      </c>
      <c r="D242" s="20" t="s">
        <v>254</v>
      </c>
      <c r="E242" s="14" t="s">
        <v>255</v>
      </c>
      <c r="F242" s="15" t="s">
        <v>165</v>
      </c>
      <c r="G242" s="15" t="s">
        <v>898</v>
      </c>
      <c r="H242" s="20" t="s">
        <v>35</v>
      </c>
      <c r="I242" s="55" t="s">
        <v>905</v>
      </c>
      <c r="J242" s="30">
        <v>42538</v>
      </c>
      <c r="K242" s="30">
        <v>43298</v>
      </c>
      <c r="L242" s="31">
        <f t="shared" si="132"/>
        <v>83.983862739322618</v>
      </c>
      <c r="M242" s="20" t="s">
        <v>259</v>
      </c>
      <c r="N242" s="20" t="s">
        <v>229</v>
      </c>
      <c r="O242" s="20" t="s">
        <v>229</v>
      </c>
      <c r="P242" s="32" t="s">
        <v>260</v>
      </c>
      <c r="Q242" s="20" t="s">
        <v>40</v>
      </c>
      <c r="R242" s="2">
        <f t="shared" si="133"/>
        <v>2777962.48</v>
      </c>
      <c r="S242" s="2">
        <v>2240184.71</v>
      </c>
      <c r="T242" s="2">
        <v>537777.77</v>
      </c>
      <c r="U242" s="2">
        <f t="shared" ref="U242:U305" si="139">V242+W242</f>
        <v>0</v>
      </c>
      <c r="V242" s="2">
        <v>0</v>
      </c>
      <c r="W242" s="2">
        <v>0</v>
      </c>
      <c r="X242" s="2">
        <f t="shared" si="135"/>
        <v>529771.16</v>
      </c>
      <c r="Y242" s="2">
        <v>395326.72000000003</v>
      </c>
      <c r="Z242" s="2">
        <v>134444.44</v>
      </c>
      <c r="AA242" s="2">
        <f t="shared" si="136"/>
        <v>0</v>
      </c>
      <c r="AB242" s="2">
        <v>0</v>
      </c>
      <c r="AC242" s="2">
        <v>0</v>
      </c>
      <c r="AD242" s="2">
        <f t="shared" si="137"/>
        <v>3307733.64</v>
      </c>
      <c r="AE242" s="2">
        <v>192499.20000000001</v>
      </c>
      <c r="AF242" s="2">
        <f t="shared" si="138"/>
        <v>3500232.8400000003</v>
      </c>
      <c r="AG242" s="24" t="s">
        <v>41</v>
      </c>
      <c r="AH242" s="34" t="s">
        <v>906</v>
      </c>
      <c r="AI242" s="35">
        <v>2635526.38</v>
      </c>
      <c r="AJ242" s="36">
        <v>0</v>
      </c>
      <c r="AK242" s="28">
        <f t="shared" si="121"/>
        <v>142436.10000000009</v>
      </c>
      <c r="AL242" s="28">
        <f t="shared" si="122"/>
        <v>0</v>
      </c>
      <c r="AM242" s="29">
        <f t="shared" si="123"/>
        <v>0.94872641332434404</v>
      </c>
    </row>
    <row r="243" spans="1:39" ht="192" customHeight="1" x14ac:dyDescent="0.25">
      <c r="A243" s="10">
        <v>240</v>
      </c>
      <c r="B243" s="37">
        <v>118305</v>
      </c>
      <c r="C243" s="20">
        <v>11</v>
      </c>
      <c r="D243" s="20" t="s">
        <v>254</v>
      </c>
      <c r="E243" s="14" t="s">
        <v>255</v>
      </c>
      <c r="F243" s="15" t="s">
        <v>907</v>
      </c>
      <c r="G243" s="15" t="s">
        <v>908</v>
      </c>
      <c r="H243" s="20" t="s">
        <v>902</v>
      </c>
      <c r="I243" s="55" t="s">
        <v>909</v>
      </c>
      <c r="J243" s="30">
        <v>42467</v>
      </c>
      <c r="K243" s="30">
        <v>43562</v>
      </c>
      <c r="L243" s="31">
        <f t="shared" si="132"/>
        <v>83.98386392846011</v>
      </c>
      <c r="M243" s="20" t="s">
        <v>259</v>
      </c>
      <c r="N243" s="20" t="s">
        <v>229</v>
      </c>
      <c r="O243" s="20" t="s">
        <v>229</v>
      </c>
      <c r="P243" s="32" t="s">
        <v>260</v>
      </c>
      <c r="Q243" s="20" t="s">
        <v>40</v>
      </c>
      <c r="R243" s="2">
        <f t="shared" si="133"/>
        <v>13566063.25</v>
      </c>
      <c r="S243" s="2">
        <v>10939848.08</v>
      </c>
      <c r="T243" s="2">
        <v>2626215.17</v>
      </c>
      <c r="U243" s="2">
        <f t="shared" si="139"/>
        <v>0</v>
      </c>
      <c r="V243" s="2">
        <v>0</v>
      </c>
      <c r="W243" s="2">
        <v>0</v>
      </c>
      <c r="X243" s="2">
        <f t="shared" si="135"/>
        <v>2587115.0099999998</v>
      </c>
      <c r="Y243" s="2">
        <v>1930561.24</v>
      </c>
      <c r="Z243" s="2">
        <v>656553.77</v>
      </c>
      <c r="AA243" s="2">
        <f t="shared" si="136"/>
        <v>0</v>
      </c>
      <c r="AB243" s="2">
        <v>0</v>
      </c>
      <c r="AC243" s="2">
        <v>0</v>
      </c>
      <c r="AD243" s="2">
        <f t="shared" si="137"/>
        <v>16153178.26</v>
      </c>
      <c r="AE243" s="2">
        <v>0</v>
      </c>
      <c r="AF243" s="2">
        <f t="shared" si="138"/>
        <v>16153178.26</v>
      </c>
      <c r="AG243" s="24" t="s">
        <v>41</v>
      </c>
      <c r="AH243" s="34" t="s">
        <v>910</v>
      </c>
      <c r="AI243" s="35">
        <v>12427497.709999997</v>
      </c>
      <c r="AJ243" s="36">
        <v>0</v>
      </c>
      <c r="AK243" s="28">
        <f t="shared" si="121"/>
        <v>1138565.5400000028</v>
      </c>
      <c r="AL243" s="28">
        <f t="shared" si="122"/>
        <v>0</v>
      </c>
      <c r="AM243" s="29">
        <f t="shared" si="123"/>
        <v>0.91607251720575589</v>
      </c>
    </row>
    <row r="244" spans="1:39" ht="192" customHeight="1" x14ac:dyDescent="0.25">
      <c r="A244" s="10">
        <v>241</v>
      </c>
      <c r="B244" s="37">
        <v>118349</v>
      </c>
      <c r="C244" s="20">
        <v>13</v>
      </c>
      <c r="D244" s="20" t="s">
        <v>254</v>
      </c>
      <c r="E244" s="14" t="s">
        <v>255</v>
      </c>
      <c r="F244" s="15" t="s">
        <v>911</v>
      </c>
      <c r="G244" s="15" t="s">
        <v>912</v>
      </c>
      <c r="H244" s="20" t="s">
        <v>881</v>
      </c>
      <c r="I244" s="55" t="s">
        <v>913</v>
      </c>
      <c r="J244" s="30">
        <v>42663</v>
      </c>
      <c r="K244" s="30">
        <v>44124</v>
      </c>
      <c r="L244" s="31">
        <f t="shared" si="132"/>
        <v>83.983862931280868</v>
      </c>
      <c r="M244" s="20" t="s">
        <v>259</v>
      </c>
      <c r="N244" s="20" t="s">
        <v>229</v>
      </c>
      <c r="O244" s="20" t="s">
        <v>229</v>
      </c>
      <c r="P244" s="32" t="s">
        <v>260</v>
      </c>
      <c r="Q244" s="20" t="s">
        <v>40</v>
      </c>
      <c r="R244" s="2">
        <f t="shared" si="133"/>
        <v>9782795.4800000004</v>
      </c>
      <c r="S244" s="2">
        <v>7888972.2300000004</v>
      </c>
      <c r="T244" s="2">
        <v>1893823.25</v>
      </c>
      <c r="U244" s="2">
        <f t="shared" si="139"/>
        <v>0</v>
      </c>
      <c r="V244" s="2">
        <v>0</v>
      </c>
      <c r="W244" s="2">
        <v>0</v>
      </c>
      <c r="X244" s="2">
        <f t="shared" si="135"/>
        <v>1865627.37</v>
      </c>
      <c r="Y244" s="2">
        <v>1392171.56</v>
      </c>
      <c r="Z244" s="2">
        <v>473455.81</v>
      </c>
      <c r="AA244" s="2">
        <f t="shared" si="136"/>
        <v>0</v>
      </c>
      <c r="AB244" s="2">
        <v>0</v>
      </c>
      <c r="AC244" s="2">
        <v>0</v>
      </c>
      <c r="AD244" s="2">
        <f t="shared" si="137"/>
        <v>11648422.850000001</v>
      </c>
      <c r="AE244" s="2">
        <v>0</v>
      </c>
      <c r="AF244" s="2">
        <f t="shared" si="138"/>
        <v>11648422.850000001</v>
      </c>
      <c r="AG244" s="39" t="s">
        <v>69</v>
      </c>
      <c r="AH244" s="34" t="s">
        <v>914</v>
      </c>
      <c r="AI244" s="35">
        <v>3218564.5199999996</v>
      </c>
      <c r="AJ244" s="36">
        <v>0</v>
      </c>
      <c r="AK244" s="28">
        <f t="shared" si="121"/>
        <v>6564230.9600000009</v>
      </c>
      <c r="AL244" s="28">
        <f t="shared" si="122"/>
        <v>0</v>
      </c>
      <c r="AM244" s="29">
        <f t="shared" si="123"/>
        <v>0.3290025357864273</v>
      </c>
    </row>
    <row r="245" spans="1:39" ht="192" customHeight="1" x14ac:dyDescent="0.25">
      <c r="A245" s="10">
        <v>242</v>
      </c>
      <c r="B245" s="37">
        <v>120068</v>
      </c>
      <c r="C245" s="20">
        <v>55</v>
      </c>
      <c r="D245" s="20" t="s">
        <v>861</v>
      </c>
      <c r="E245" s="14" t="s">
        <v>862</v>
      </c>
      <c r="F245" s="15" t="s">
        <v>915</v>
      </c>
      <c r="G245" s="15" t="s">
        <v>916</v>
      </c>
      <c r="H245" s="20" t="s">
        <v>917</v>
      </c>
      <c r="I245" s="55" t="s">
        <v>918</v>
      </c>
      <c r="J245" s="30">
        <v>43060</v>
      </c>
      <c r="K245" s="30">
        <v>44186</v>
      </c>
      <c r="L245" s="31">
        <f t="shared" si="132"/>
        <v>83.983862867470734</v>
      </c>
      <c r="M245" s="20" t="s">
        <v>259</v>
      </c>
      <c r="N245" s="20" t="s">
        <v>229</v>
      </c>
      <c r="O245" s="20" t="s">
        <v>229</v>
      </c>
      <c r="P245" s="20" t="s">
        <v>260</v>
      </c>
      <c r="Q245" s="20" t="s">
        <v>40</v>
      </c>
      <c r="R245" s="2">
        <f t="shared" si="133"/>
        <v>8678209.1799999997</v>
      </c>
      <c r="S245" s="2">
        <v>6998219.6100000003</v>
      </c>
      <c r="T245" s="2">
        <v>1679989.57</v>
      </c>
      <c r="U245" s="2">
        <f t="shared" si="139"/>
        <v>0</v>
      </c>
      <c r="V245" s="2">
        <v>0</v>
      </c>
      <c r="W245" s="2">
        <v>0</v>
      </c>
      <c r="X245" s="2">
        <f t="shared" si="135"/>
        <v>1654977.3199999998</v>
      </c>
      <c r="Y245" s="2">
        <v>1234979.93</v>
      </c>
      <c r="Z245" s="2">
        <v>419997.39</v>
      </c>
      <c r="AA245" s="2">
        <f t="shared" si="136"/>
        <v>0</v>
      </c>
      <c r="AB245" s="2">
        <v>0</v>
      </c>
      <c r="AC245" s="2">
        <v>0</v>
      </c>
      <c r="AD245" s="2">
        <f t="shared" si="137"/>
        <v>10333186.5</v>
      </c>
      <c r="AE245" s="2">
        <v>0</v>
      </c>
      <c r="AF245" s="2">
        <f t="shared" si="138"/>
        <v>10333186.5</v>
      </c>
      <c r="AG245" s="39" t="s">
        <v>69</v>
      </c>
      <c r="AH245" s="34" t="s">
        <v>919</v>
      </c>
      <c r="AI245" s="35">
        <v>1310147.31</v>
      </c>
      <c r="AJ245" s="36">
        <v>0</v>
      </c>
      <c r="AK245" s="28">
        <f t="shared" si="121"/>
        <v>7368061.8699999992</v>
      </c>
      <c r="AL245" s="28">
        <f t="shared" si="122"/>
        <v>0</v>
      </c>
      <c r="AM245" s="29">
        <f t="shared" si="123"/>
        <v>0.15096977761487884</v>
      </c>
    </row>
    <row r="246" spans="1:39" ht="192" customHeight="1" x14ac:dyDescent="0.25">
      <c r="A246" s="10">
        <v>243</v>
      </c>
      <c r="B246" s="37">
        <v>117846</v>
      </c>
      <c r="C246" s="20">
        <v>16</v>
      </c>
      <c r="D246" s="20" t="s">
        <v>254</v>
      </c>
      <c r="E246" s="14" t="s">
        <v>255</v>
      </c>
      <c r="F246" s="15" t="s">
        <v>920</v>
      </c>
      <c r="G246" s="15" t="s">
        <v>880</v>
      </c>
      <c r="H246" s="20" t="s">
        <v>921</v>
      </c>
      <c r="I246" s="55" t="s">
        <v>922</v>
      </c>
      <c r="J246" s="30">
        <v>42884</v>
      </c>
      <c r="K246" s="30">
        <v>44225</v>
      </c>
      <c r="L246" s="31">
        <f t="shared" si="132"/>
        <v>83.983862529665245</v>
      </c>
      <c r="M246" s="20" t="s">
        <v>259</v>
      </c>
      <c r="N246" s="20" t="s">
        <v>229</v>
      </c>
      <c r="O246" s="20" t="s">
        <v>229</v>
      </c>
      <c r="P246" s="32" t="s">
        <v>260</v>
      </c>
      <c r="Q246" s="20" t="s">
        <v>40</v>
      </c>
      <c r="R246" s="2">
        <f t="shared" si="133"/>
        <v>13496987.959999999</v>
      </c>
      <c r="S246" s="2">
        <v>10884144.869999999</v>
      </c>
      <c r="T246" s="2">
        <v>2612843.09</v>
      </c>
      <c r="U246" s="2">
        <f t="shared" si="139"/>
        <v>0</v>
      </c>
      <c r="V246" s="2">
        <v>0</v>
      </c>
      <c r="W246" s="2">
        <v>0</v>
      </c>
      <c r="X246" s="2">
        <f t="shared" si="135"/>
        <v>2573942.2800000003</v>
      </c>
      <c r="Y246" s="2">
        <v>1920731.49</v>
      </c>
      <c r="Z246" s="2">
        <v>653210.79</v>
      </c>
      <c r="AA246" s="2">
        <f t="shared" si="136"/>
        <v>0</v>
      </c>
      <c r="AB246" s="2">
        <v>0</v>
      </c>
      <c r="AC246" s="2">
        <v>0</v>
      </c>
      <c r="AD246" s="2">
        <f t="shared" si="137"/>
        <v>16070930.239999998</v>
      </c>
      <c r="AE246" s="2">
        <v>0</v>
      </c>
      <c r="AF246" s="2">
        <f t="shared" si="138"/>
        <v>16070930.239999998</v>
      </c>
      <c r="AG246" s="39" t="s">
        <v>161</v>
      </c>
      <c r="AH246" s="34" t="s">
        <v>1849</v>
      </c>
      <c r="AI246" s="35">
        <v>7066989.6000000006</v>
      </c>
      <c r="AJ246" s="36">
        <v>0</v>
      </c>
      <c r="AK246" s="28">
        <f t="shared" si="121"/>
        <v>6429998.3599999985</v>
      </c>
      <c r="AL246" s="28">
        <f t="shared" si="122"/>
        <v>0</v>
      </c>
      <c r="AM246" s="29">
        <f t="shared" si="123"/>
        <v>0.52359753308989399</v>
      </c>
    </row>
    <row r="247" spans="1:39" ht="192" customHeight="1" x14ac:dyDescent="0.25">
      <c r="A247" s="10">
        <v>244</v>
      </c>
      <c r="B247" s="37">
        <v>117841</v>
      </c>
      <c r="C247" s="20">
        <v>17</v>
      </c>
      <c r="D247" s="20" t="s">
        <v>254</v>
      </c>
      <c r="E247" s="14" t="s">
        <v>255</v>
      </c>
      <c r="F247" s="15" t="s">
        <v>923</v>
      </c>
      <c r="G247" s="15" t="s">
        <v>880</v>
      </c>
      <c r="H247" s="20" t="s">
        <v>35</v>
      </c>
      <c r="I247" s="55" t="s">
        <v>924</v>
      </c>
      <c r="J247" s="30">
        <v>42482</v>
      </c>
      <c r="K247" s="30">
        <v>43760</v>
      </c>
      <c r="L247" s="31">
        <f t="shared" si="132"/>
        <v>83.983862907570995</v>
      </c>
      <c r="M247" s="20" t="s">
        <v>259</v>
      </c>
      <c r="N247" s="20" t="s">
        <v>229</v>
      </c>
      <c r="O247" s="20" t="s">
        <v>229</v>
      </c>
      <c r="P247" s="32" t="s">
        <v>260</v>
      </c>
      <c r="Q247" s="20" t="s">
        <v>40</v>
      </c>
      <c r="R247" s="2">
        <f t="shared" si="133"/>
        <v>9778588.4399999995</v>
      </c>
      <c r="S247" s="2">
        <v>7885579.6299999999</v>
      </c>
      <c r="T247" s="2">
        <v>1893008.81</v>
      </c>
      <c r="U247" s="2">
        <f t="shared" si="139"/>
        <v>0</v>
      </c>
      <c r="V247" s="2">
        <v>0</v>
      </c>
      <c r="W247" s="2">
        <v>0</v>
      </c>
      <c r="X247" s="2">
        <f t="shared" si="135"/>
        <v>1864825.07</v>
      </c>
      <c r="Y247" s="2">
        <v>1391572.85</v>
      </c>
      <c r="Z247" s="2">
        <v>473252.22</v>
      </c>
      <c r="AA247" s="2">
        <f t="shared" si="136"/>
        <v>0</v>
      </c>
      <c r="AB247" s="2">
        <v>0</v>
      </c>
      <c r="AC247" s="2">
        <v>0</v>
      </c>
      <c r="AD247" s="2">
        <f t="shared" si="137"/>
        <v>11643413.51</v>
      </c>
      <c r="AE247" s="2">
        <v>0</v>
      </c>
      <c r="AF247" s="2">
        <f t="shared" si="138"/>
        <v>11643413.51</v>
      </c>
      <c r="AG247" s="24" t="s">
        <v>41</v>
      </c>
      <c r="AH247" s="34" t="s">
        <v>925</v>
      </c>
      <c r="AI247" s="35">
        <v>7520803.0899999999</v>
      </c>
      <c r="AJ247" s="36">
        <v>0</v>
      </c>
      <c r="AK247" s="28">
        <f t="shared" si="121"/>
        <v>2257785.3499999996</v>
      </c>
      <c r="AL247" s="28">
        <f t="shared" si="122"/>
        <v>0</v>
      </c>
      <c r="AM247" s="29">
        <f t="shared" si="123"/>
        <v>0.7691092774940429</v>
      </c>
    </row>
    <row r="248" spans="1:39" ht="192" customHeight="1" x14ac:dyDescent="0.25">
      <c r="A248" s="10">
        <v>245</v>
      </c>
      <c r="B248" s="37">
        <v>119195</v>
      </c>
      <c r="C248" s="20">
        <v>18</v>
      </c>
      <c r="D248" s="20" t="s">
        <v>254</v>
      </c>
      <c r="E248" s="14" t="s">
        <v>255</v>
      </c>
      <c r="F248" s="15" t="s">
        <v>926</v>
      </c>
      <c r="G248" s="32" t="s">
        <v>833</v>
      </c>
      <c r="H248" s="20" t="s">
        <v>35</v>
      </c>
      <c r="I248" s="55" t="s">
        <v>927</v>
      </c>
      <c r="J248" s="30">
        <v>42464</v>
      </c>
      <c r="K248" s="30">
        <v>43528</v>
      </c>
      <c r="L248" s="31">
        <f t="shared" si="132"/>
        <v>83.983863126060598</v>
      </c>
      <c r="M248" s="20" t="s">
        <v>259</v>
      </c>
      <c r="N248" s="20" t="s">
        <v>229</v>
      </c>
      <c r="O248" s="20" t="s">
        <v>229</v>
      </c>
      <c r="P248" s="32" t="s">
        <v>260</v>
      </c>
      <c r="Q248" s="20" t="s">
        <v>40</v>
      </c>
      <c r="R248" s="2">
        <f t="shared" si="133"/>
        <v>3168878.46</v>
      </c>
      <c r="S248" s="2">
        <v>2555424.39</v>
      </c>
      <c r="T248" s="2">
        <v>613454.06999999995</v>
      </c>
      <c r="U248" s="2">
        <f t="shared" si="139"/>
        <v>0</v>
      </c>
      <c r="V248" s="2">
        <v>0</v>
      </c>
      <c r="W248" s="2">
        <v>0</v>
      </c>
      <c r="X248" s="2">
        <f t="shared" si="135"/>
        <v>604320.75</v>
      </c>
      <c r="Y248" s="2">
        <v>450957.23</v>
      </c>
      <c r="Z248" s="2">
        <v>153363.51999999999</v>
      </c>
      <c r="AA248" s="2">
        <f t="shared" si="136"/>
        <v>0</v>
      </c>
      <c r="AB248" s="2">
        <v>0</v>
      </c>
      <c r="AC248" s="2">
        <v>0</v>
      </c>
      <c r="AD248" s="2">
        <f t="shared" si="137"/>
        <v>3773199.21</v>
      </c>
      <c r="AE248" s="2">
        <v>0</v>
      </c>
      <c r="AF248" s="2">
        <f t="shared" si="138"/>
        <v>3773199.21</v>
      </c>
      <c r="AG248" s="24" t="s">
        <v>41</v>
      </c>
      <c r="AH248" s="34" t="s">
        <v>928</v>
      </c>
      <c r="AI248" s="35">
        <v>2945136.28</v>
      </c>
      <c r="AJ248" s="36">
        <v>0</v>
      </c>
      <c r="AK248" s="28">
        <f t="shared" si="121"/>
        <v>223742.18000000017</v>
      </c>
      <c r="AL248" s="28">
        <f t="shared" si="122"/>
        <v>0</v>
      </c>
      <c r="AM248" s="29">
        <f t="shared" si="123"/>
        <v>0.92939389035450726</v>
      </c>
    </row>
    <row r="249" spans="1:39" ht="192" customHeight="1" x14ac:dyDescent="0.25">
      <c r="A249" s="10">
        <v>246</v>
      </c>
      <c r="B249" s="37">
        <v>118157</v>
      </c>
      <c r="C249" s="20">
        <v>19</v>
      </c>
      <c r="D249" s="20" t="s">
        <v>254</v>
      </c>
      <c r="E249" s="14" t="s">
        <v>255</v>
      </c>
      <c r="F249" s="15" t="s">
        <v>929</v>
      </c>
      <c r="G249" s="32" t="s">
        <v>930</v>
      </c>
      <c r="H249" s="20" t="s">
        <v>35</v>
      </c>
      <c r="I249" s="55" t="s">
        <v>931</v>
      </c>
      <c r="J249" s="30">
        <v>42446</v>
      </c>
      <c r="K249" s="30">
        <v>43541</v>
      </c>
      <c r="L249" s="31">
        <f t="shared" si="132"/>
        <v>83.983862865891041</v>
      </c>
      <c r="M249" s="20" t="s">
        <v>259</v>
      </c>
      <c r="N249" s="20" t="s">
        <v>229</v>
      </c>
      <c r="O249" s="20" t="s">
        <v>229</v>
      </c>
      <c r="P249" s="32" t="s">
        <v>260</v>
      </c>
      <c r="Q249" s="20" t="s">
        <v>40</v>
      </c>
      <c r="R249" s="2">
        <f t="shared" si="133"/>
        <v>3627735.48</v>
      </c>
      <c r="S249" s="2">
        <v>2925452.6</v>
      </c>
      <c r="T249" s="2">
        <v>702282.88</v>
      </c>
      <c r="U249" s="2">
        <f t="shared" si="139"/>
        <v>0</v>
      </c>
      <c r="V249" s="2">
        <v>0</v>
      </c>
      <c r="W249" s="2">
        <v>0</v>
      </c>
      <c r="X249" s="2">
        <f t="shared" si="135"/>
        <v>691827.06</v>
      </c>
      <c r="Y249" s="2">
        <v>516256.34</v>
      </c>
      <c r="Z249" s="2">
        <v>175570.72</v>
      </c>
      <c r="AA249" s="2">
        <f t="shared" si="136"/>
        <v>0</v>
      </c>
      <c r="AB249" s="2">
        <v>0</v>
      </c>
      <c r="AC249" s="2">
        <v>0</v>
      </c>
      <c r="AD249" s="2">
        <f t="shared" si="137"/>
        <v>4319562.54</v>
      </c>
      <c r="AE249" s="2">
        <v>0</v>
      </c>
      <c r="AF249" s="2">
        <f t="shared" si="138"/>
        <v>4319562.54</v>
      </c>
      <c r="AG249" s="24" t="s">
        <v>41</v>
      </c>
      <c r="AH249" s="34" t="s">
        <v>932</v>
      </c>
      <c r="AI249" s="35">
        <v>2216294.58</v>
      </c>
      <c r="AJ249" s="36">
        <v>0</v>
      </c>
      <c r="AK249" s="28">
        <f t="shared" si="121"/>
        <v>1411440.9</v>
      </c>
      <c r="AL249" s="28">
        <f t="shared" si="122"/>
        <v>0</v>
      </c>
      <c r="AM249" s="29">
        <f t="shared" si="123"/>
        <v>0.61093059078276568</v>
      </c>
    </row>
    <row r="250" spans="1:39" ht="192" customHeight="1" x14ac:dyDescent="0.25">
      <c r="A250" s="10">
        <v>247</v>
      </c>
      <c r="B250" s="37">
        <v>119988</v>
      </c>
      <c r="C250" s="20">
        <v>62</v>
      </c>
      <c r="D250" s="20" t="s">
        <v>933</v>
      </c>
      <c r="E250" s="14" t="s">
        <v>934</v>
      </c>
      <c r="F250" s="15" t="s">
        <v>935</v>
      </c>
      <c r="G250" s="15" t="s">
        <v>916</v>
      </c>
      <c r="H250" s="32" t="s">
        <v>936</v>
      </c>
      <c r="I250" s="55" t="s">
        <v>937</v>
      </c>
      <c r="J250" s="30">
        <v>43060</v>
      </c>
      <c r="K250" s="30">
        <v>44095</v>
      </c>
      <c r="L250" s="31">
        <f t="shared" si="132"/>
        <v>83.983862836233868</v>
      </c>
      <c r="M250" s="20" t="s">
        <v>259</v>
      </c>
      <c r="N250" s="20" t="s">
        <v>229</v>
      </c>
      <c r="O250" s="20" t="s">
        <v>229</v>
      </c>
      <c r="P250" s="32" t="s">
        <v>260</v>
      </c>
      <c r="Q250" s="20" t="s">
        <v>40</v>
      </c>
      <c r="R250" s="2">
        <f t="shared" si="133"/>
        <v>3950537.5</v>
      </c>
      <c r="S250" s="2">
        <v>3185764.3</v>
      </c>
      <c r="T250" s="2">
        <v>764773.2</v>
      </c>
      <c r="U250" s="2">
        <f t="shared" si="139"/>
        <v>0</v>
      </c>
      <c r="V250" s="2">
        <v>0</v>
      </c>
      <c r="W250" s="2">
        <v>0</v>
      </c>
      <c r="X250" s="2">
        <f t="shared" si="135"/>
        <v>753387</v>
      </c>
      <c r="Y250" s="2">
        <v>562193.69999999995</v>
      </c>
      <c r="Z250" s="2">
        <v>191193.3</v>
      </c>
      <c r="AA250" s="2">
        <f t="shared" si="136"/>
        <v>0</v>
      </c>
      <c r="AB250" s="2">
        <v>0</v>
      </c>
      <c r="AC250" s="2">
        <v>0</v>
      </c>
      <c r="AD250" s="2">
        <f t="shared" si="137"/>
        <v>4703924.5</v>
      </c>
      <c r="AE250" s="2"/>
      <c r="AF250" s="2">
        <f t="shared" si="138"/>
        <v>4703924.5</v>
      </c>
      <c r="AG250" s="39" t="s">
        <v>69</v>
      </c>
      <c r="AH250" s="34" t="s">
        <v>938</v>
      </c>
      <c r="AI250" s="35">
        <v>368961.26</v>
      </c>
      <c r="AJ250" s="36">
        <v>0</v>
      </c>
      <c r="AK250" s="28">
        <f t="shared" si="121"/>
        <v>3581576.24</v>
      </c>
      <c r="AL250" s="28">
        <f t="shared" si="122"/>
        <v>0</v>
      </c>
      <c r="AM250" s="29">
        <f t="shared" si="123"/>
        <v>9.339520508285265E-2</v>
      </c>
    </row>
    <row r="251" spans="1:39" ht="192" customHeight="1" x14ac:dyDescent="0.25">
      <c r="A251" s="10">
        <v>248</v>
      </c>
      <c r="B251" s="37">
        <v>118158</v>
      </c>
      <c r="C251" s="20">
        <v>21</v>
      </c>
      <c r="D251" s="20" t="s">
        <v>254</v>
      </c>
      <c r="E251" s="14" t="s">
        <v>255</v>
      </c>
      <c r="F251" s="15" t="s">
        <v>939</v>
      </c>
      <c r="G251" s="32" t="s">
        <v>930</v>
      </c>
      <c r="H251" s="20" t="s">
        <v>940</v>
      </c>
      <c r="I251" s="55" t="s">
        <v>941</v>
      </c>
      <c r="J251" s="30">
        <v>42516</v>
      </c>
      <c r="K251" s="30">
        <v>43703</v>
      </c>
      <c r="L251" s="31">
        <f t="shared" si="132"/>
        <v>83.983862895923082</v>
      </c>
      <c r="M251" s="20" t="s">
        <v>259</v>
      </c>
      <c r="N251" s="20" t="s">
        <v>229</v>
      </c>
      <c r="O251" s="20" t="s">
        <v>229</v>
      </c>
      <c r="P251" s="32" t="s">
        <v>260</v>
      </c>
      <c r="Q251" s="20" t="s">
        <v>40</v>
      </c>
      <c r="R251" s="2">
        <f t="shared" si="133"/>
        <v>11413787.699999999</v>
      </c>
      <c r="S251" s="2">
        <v>9204225.3699999992</v>
      </c>
      <c r="T251" s="2">
        <v>2209562.33</v>
      </c>
      <c r="U251" s="2">
        <f t="shared" si="139"/>
        <v>0</v>
      </c>
      <c r="V251" s="2">
        <v>0</v>
      </c>
      <c r="W251" s="2">
        <v>0</v>
      </c>
      <c r="X251" s="2">
        <f t="shared" si="135"/>
        <v>2176665.64</v>
      </c>
      <c r="Y251" s="2">
        <v>1624275.04</v>
      </c>
      <c r="Z251" s="2">
        <v>552390.6</v>
      </c>
      <c r="AA251" s="2">
        <f t="shared" si="136"/>
        <v>0</v>
      </c>
      <c r="AB251" s="2">
        <v>0</v>
      </c>
      <c r="AC251" s="2">
        <v>0</v>
      </c>
      <c r="AD251" s="2">
        <f t="shared" si="137"/>
        <v>13590453.34</v>
      </c>
      <c r="AE251" s="2">
        <v>16355.96</v>
      </c>
      <c r="AF251" s="2">
        <f t="shared" si="138"/>
        <v>13606809.300000001</v>
      </c>
      <c r="AG251" s="24" t="s">
        <v>41</v>
      </c>
      <c r="AH251" s="34" t="s">
        <v>942</v>
      </c>
      <c r="AI251" s="35">
        <v>9335165.3400000017</v>
      </c>
      <c r="AJ251" s="36">
        <v>0</v>
      </c>
      <c r="AK251" s="28">
        <f t="shared" si="121"/>
        <v>2078622.3599999975</v>
      </c>
      <c r="AL251" s="28">
        <f t="shared" si="122"/>
        <v>0</v>
      </c>
      <c r="AM251" s="29">
        <f t="shared" si="123"/>
        <v>0.81788496381442266</v>
      </c>
    </row>
    <row r="252" spans="1:39" ht="192" customHeight="1" x14ac:dyDescent="0.25">
      <c r="A252" s="10">
        <v>249</v>
      </c>
      <c r="B252" s="37">
        <v>118159</v>
      </c>
      <c r="C252" s="20">
        <v>22</v>
      </c>
      <c r="D252" s="20" t="s">
        <v>254</v>
      </c>
      <c r="E252" s="14" t="s">
        <v>255</v>
      </c>
      <c r="F252" s="15" t="s">
        <v>943</v>
      </c>
      <c r="G252" s="32" t="s">
        <v>930</v>
      </c>
      <c r="H252" s="20" t="s">
        <v>944</v>
      </c>
      <c r="I252" s="55" t="s">
        <v>945</v>
      </c>
      <c r="J252" s="30">
        <v>42446</v>
      </c>
      <c r="K252" s="30">
        <v>43176</v>
      </c>
      <c r="L252" s="31">
        <f t="shared" si="132"/>
        <v>83.983862881462997</v>
      </c>
      <c r="M252" s="20" t="s">
        <v>259</v>
      </c>
      <c r="N252" s="20" t="s">
        <v>229</v>
      </c>
      <c r="O252" s="20" t="s">
        <v>229</v>
      </c>
      <c r="P252" s="32" t="s">
        <v>260</v>
      </c>
      <c r="Q252" s="20" t="s">
        <v>40</v>
      </c>
      <c r="R252" s="2">
        <f t="shared" si="133"/>
        <v>13490539.449999999</v>
      </c>
      <c r="S252" s="2">
        <v>10878944.699999999</v>
      </c>
      <c r="T252" s="2">
        <v>2611594.75</v>
      </c>
      <c r="U252" s="2">
        <f t="shared" si="139"/>
        <v>0</v>
      </c>
      <c r="V252" s="2">
        <v>0</v>
      </c>
      <c r="W252" s="2">
        <v>0</v>
      </c>
      <c r="X252" s="2">
        <f t="shared" si="135"/>
        <v>2572712.4500000002</v>
      </c>
      <c r="Y252" s="2">
        <v>1919813.76</v>
      </c>
      <c r="Z252" s="2">
        <v>652898.68999999994</v>
      </c>
      <c r="AA252" s="2">
        <f t="shared" si="136"/>
        <v>0</v>
      </c>
      <c r="AB252" s="2">
        <v>0</v>
      </c>
      <c r="AC252" s="2">
        <v>0</v>
      </c>
      <c r="AD252" s="2">
        <f t="shared" si="137"/>
        <v>16063251.899999999</v>
      </c>
      <c r="AE252" s="2">
        <v>0</v>
      </c>
      <c r="AF252" s="2">
        <f t="shared" si="138"/>
        <v>16063251.899999999</v>
      </c>
      <c r="AG252" s="24" t="s">
        <v>41</v>
      </c>
      <c r="AH252" s="34" t="s">
        <v>946</v>
      </c>
      <c r="AI252" s="35">
        <v>12372517.5</v>
      </c>
      <c r="AJ252" s="36">
        <v>0</v>
      </c>
      <c r="AK252" s="28">
        <f t="shared" si="121"/>
        <v>1118021.9499999993</v>
      </c>
      <c r="AL252" s="28">
        <f t="shared" si="122"/>
        <v>0</v>
      </c>
      <c r="AM252" s="29">
        <f t="shared" si="123"/>
        <v>0.91712548233199087</v>
      </c>
    </row>
    <row r="253" spans="1:39" ht="192" customHeight="1" x14ac:dyDescent="0.25">
      <c r="A253" s="10">
        <v>250</v>
      </c>
      <c r="B253" s="37">
        <v>118427</v>
      </c>
      <c r="C253" s="20">
        <v>23</v>
      </c>
      <c r="D253" s="20" t="s">
        <v>254</v>
      </c>
      <c r="E253" s="14" t="s">
        <v>255</v>
      </c>
      <c r="F253" s="15" t="s">
        <v>947</v>
      </c>
      <c r="G253" s="15" t="s">
        <v>948</v>
      </c>
      <c r="H253" s="20" t="s">
        <v>35</v>
      </c>
      <c r="I253" s="55" t="s">
        <v>949</v>
      </c>
      <c r="J253" s="30">
        <v>42459</v>
      </c>
      <c r="K253" s="30">
        <v>43524</v>
      </c>
      <c r="L253" s="31">
        <f t="shared" si="132"/>
        <v>83.983862468884851</v>
      </c>
      <c r="M253" s="20" t="s">
        <v>259</v>
      </c>
      <c r="N253" s="20" t="s">
        <v>229</v>
      </c>
      <c r="O253" s="20" t="s">
        <v>229</v>
      </c>
      <c r="P253" s="32" t="s">
        <v>260</v>
      </c>
      <c r="Q253" s="20" t="s">
        <v>40</v>
      </c>
      <c r="R253" s="2">
        <f t="shared" si="133"/>
        <v>6252507.0099999998</v>
      </c>
      <c r="S253" s="2">
        <v>5042102.18</v>
      </c>
      <c r="T253" s="2">
        <v>1210404.83</v>
      </c>
      <c r="U253" s="2">
        <f t="shared" si="139"/>
        <v>0</v>
      </c>
      <c r="V253" s="2">
        <v>0</v>
      </c>
      <c r="W253" s="2">
        <v>0</v>
      </c>
      <c r="X253" s="2">
        <f t="shared" si="135"/>
        <v>1192383.98</v>
      </c>
      <c r="Y253" s="2">
        <v>889782.73</v>
      </c>
      <c r="Z253" s="2">
        <v>302601.25</v>
      </c>
      <c r="AA253" s="2">
        <f t="shared" si="136"/>
        <v>0</v>
      </c>
      <c r="AB253" s="2">
        <v>0</v>
      </c>
      <c r="AC253" s="2">
        <v>0</v>
      </c>
      <c r="AD253" s="2">
        <f t="shared" si="137"/>
        <v>7444890.9900000002</v>
      </c>
      <c r="AE253" s="2">
        <v>0</v>
      </c>
      <c r="AF253" s="2">
        <f t="shared" si="138"/>
        <v>7444890.9900000002</v>
      </c>
      <c r="AG253" s="24" t="s">
        <v>41</v>
      </c>
      <c r="AH253" s="122" t="s">
        <v>950</v>
      </c>
      <c r="AI253" s="35">
        <v>6243692.5199999996</v>
      </c>
      <c r="AJ253" s="36">
        <v>0</v>
      </c>
      <c r="AK253" s="28">
        <f t="shared" si="121"/>
        <v>8814.4900000002235</v>
      </c>
      <c r="AL253" s="28">
        <f t="shared" si="122"/>
        <v>0</v>
      </c>
      <c r="AM253" s="29">
        <f t="shared" si="123"/>
        <v>0.99859024708234589</v>
      </c>
    </row>
    <row r="254" spans="1:39" ht="192" customHeight="1" x14ac:dyDescent="0.25">
      <c r="A254" s="10">
        <v>251</v>
      </c>
      <c r="B254" s="37">
        <v>118584</v>
      </c>
      <c r="C254" s="20">
        <v>24</v>
      </c>
      <c r="D254" s="20" t="s">
        <v>254</v>
      </c>
      <c r="E254" s="14" t="s">
        <v>255</v>
      </c>
      <c r="F254" s="15" t="s">
        <v>951</v>
      </c>
      <c r="G254" s="15" t="s">
        <v>952</v>
      </c>
      <c r="H254" s="20" t="s">
        <v>35</v>
      </c>
      <c r="I254" s="55" t="s">
        <v>953</v>
      </c>
      <c r="J254" s="30">
        <v>42454</v>
      </c>
      <c r="K254" s="30">
        <v>43610</v>
      </c>
      <c r="L254" s="31">
        <f t="shared" si="132"/>
        <v>83.983862869823341</v>
      </c>
      <c r="M254" s="20" t="s">
        <v>259</v>
      </c>
      <c r="N254" s="20" t="s">
        <v>229</v>
      </c>
      <c r="O254" s="20" t="s">
        <v>229</v>
      </c>
      <c r="P254" s="32" t="s">
        <v>260</v>
      </c>
      <c r="Q254" s="20" t="s">
        <v>40</v>
      </c>
      <c r="R254" s="2">
        <f t="shared" si="133"/>
        <v>2984368.02</v>
      </c>
      <c r="S254" s="2">
        <v>2406632.79</v>
      </c>
      <c r="T254" s="2">
        <v>577735.23</v>
      </c>
      <c r="U254" s="2">
        <f t="shared" si="139"/>
        <v>0</v>
      </c>
      <c r="V254" s="2">
        <v>0</v>
      </c>
      <c r="W254" s="2">
        <v>0</v>
      </c>
      <c r="X254" s="2">
        <f t="shared" si="135"/>
        <v>569133.71</v>
      </c>
      <c r="Y254" s="2">
        <v>424699.9</v>
      </c>
      <c r="Z254" s="2">
        <v>144433.81</v>
      </c>
      <c r="AA254" s="2">
        <f t="shared" si="136"/>
        <v>0</v>
      </c>
      <c r="AB254" s="2">
        <v>0</v>
      </c>
      <c r="AC254" s="2">
        <v>0</v>
      </c>
      <c r="AD254" s="2">
        <f t="shared" si="137"/>
        <v>3553501.73</v>
      </c>
      <c r="AE254" s="2"/>
      <c r="AF254" s="2">
        <f t="shared" si="138"/>
        <v>3553501.73</v>
      </c>
      <c r="AG254" s="24" t="s">
        <v>41</v>
      </c>
      <c r="AH254" s="34" t="s">
        <v>954</v>
      </c>
      <c r="AI254" s="35">
        <v>2743197.24</v>
      </c>
      <c r="AJ254" s="36">
        <v>0</v>
      </c>
      <c r="AK254" s="28">
        <f t="shared" si="121"/>
        <v>241170.7799999998</v>
      </c>
      <c r="AL254" s="28">
        <f t="shared" si="122"/>
        <v>0</v>
      </c>
      <c r="AM254" s="29">
        <f t="shared" si="123"/>
        <v>0.9191886595809321</v>
      </c>
    </row>
    <row r="255" spans="1:39" ht="192" customHeight="1" x14ac:dyDescent="0.25">
      <c r="A255" s="10">
        <v>252</v>
      </c>
      <c r="B255" s="37">
        <v>117835</v>
      </c>
      <c r="C255" s="20">
        <v>25</v>
      </c>
      <c r="D255" s="20" t="s">
        <v>254</v>
      </c>
      <c r="E255" s="14" t="s">
        <v>255</v>
      </c>
      <c r="F255" s="15" t="s">
        <v>955</v>
      </c>
      <c r="G255" s="15" t="s">
        <v>948</v>
      </c>
      <c r="H255" s="20" t="s">
        <v>956</v>
      </c>
      <c r="I255" s="55" t="s">
        <v>957</v>
      </c>
      <c r="J255" s="30">
        <v>42459</v>
      </c>
      <c r="K255" s="30">
        <v>43464</v>
      </c>
      <c r="L255" s="31">
        <f t="shared" si="132"/>
        <v>83.983862877433253</v>
      </c>
      <c r="M255" s="20" t="s">
        <v>259</v>
      </c>
      <c r="N255" s="20" t="s">
        <v>229</v>
      </c>
      <c r="O255" s="20" t="s">
        <v>229</v>
      </c>
      <c r="P255" s="32" t="s">
        <v>260</v>
      </c>
      <c r="Q255" s="20" t="s">
        <v>40</v>
      </c>
      <c r="R255" s="2">
        <f t="shared" si="133"/>
        <v>11174376.890000001</v>
      </c>
      <c r="S255" s="2">
        <v>9011161.3900000006</v>
      </c>
      <c r="T255" s="2">
        <v>2163215.5</v>
      </c>
      <c r="U255" s="2">
        <f t="shared" si="139"/>
        <v>0</v>
      </c>
      <c r="V255" s="2">
        <v>0</v>
      </c>
      <c r="W255" s="2">
        <v>0</v>
      </c>
      <c r="X255" s="2">
        <f t="shared" si="135"/>
        <v>2131008.8199999998</v>
      </c>
      <c r="Y255" s="2">
        <v>1590204.95</v>
      </c>
      <c r="Z255" s="2">
        <v>540803.87</v>
      </c>
      <c r="AA255" s="2">
        <f t="shared" si="136"/>
        <v>0</v>
      </c>
      <c r="AB255" s="2">
        <v>0</v>
      </c>
      <c r="AC255" s="2">
        <v>0</v>
      </c>
      <c r="AD255" s="2">
        <f t="shared" si="137"/>
        <v>13305385.710000001</v>
      </c>
      <c r="AE255" s="2">
        <v>0</v>
      </c>
      <c r="AF255" s="2">
        <f t="shared" si="138"/>
        <v>13305385.710000001</v>
      </c>
      <c r="AG255" s="24" t="s">
        <v>41</v>
      </c>
      <c r="AH255" s="122" t="s">
        <v>958</v>
      </c>
      <c r="AI255" s="35">
        <v>11126144.500000002</v>
      </c>
      <c r="AJ255" s="36">
        <v>0</v>
      </c>
      <c r="AK255" s="28">
        <f t="shared" si="121"/>
        <v>48232.389999998733</v>
      </c>
      <c r="AL255" s="28">
        <f t="shared" si="122"/>
        <v>0</v>
      </c>
      <c r="AM255" s="29">
        <f t="shared" si="123"/>
        <v>0.9956836617849214</v>
      </c>
    </row>
    <row r="256" spans="1:39" ht="192" customHeight="1" x14ac:dyDescent="0.25">
      <c r="A256" s="10">
        <v>253</v>
      </c>
      <c r="B256" s="37">
        <v>118419</v>
      </c>
      <c r="C256" s="20">
        <v>26</v>
      </c>
      <c r="D256" s="20" t="s">
        <v>254</v>
      </c>
      <c r="E256" s="14" t="s">
        <v>255</v>
      </c>
      <c r="F256" s="15" t="s">
        <v>959</v>
      </c>
      <c r="G256" s="15" t="s">
        <v>948</v>
      </c>
      <c r="H256" s="20" t="s">
        <v>35</v>
      </c>
      <c r="I256" s="55" t="s">
        <v>960</v>
      </c>
      <c r="J256" s="30">
        <v>42458</v>
      </c>
      <c r="K256" s="30">
        <v>43553</v>
      </c>
      <c r="L256" s="31">
        <f t="shared" si="132"/>
        <v>83.983862783018438</v>
      </c>
      <c r="M256" s="20" t="s">
        <v>259</v>
      </c>
      <c r="N256" s="20" t="s">
        <v>229</v>
      </c>
      <c r="O256" s="20" t="s">
        <v>229</v>
      </c>
      <c r="P256" s="32" t="s">
        <v>260</v>
      </c>
      <c r="Q256" s="20" t="s">
        <v>40</v>
      </c>
      <c r="R256" s="2">
        <f t="shared" si="133"/>
        <v>3637178.37</v>
      </c>
      <c r="S256" s="2">
        <v>2933067.47</v>
      </c>
      <c r="T256" s="2">
        <v>704110.9</v>
      </c>
      <c r="U256" s="2">
        <f t="shared" si="139"/>
        <v>0</v>
      </c>
      <c r="V256" s="2">
        <v>0</v>
      </c>
      <c r="W256" s="2">
        <v>0</v>
      </c>
      <c r="X256" s="2">
        <f t="shared" si="135"/>
        <v>693627.87</v>
      </c>
      <c r="Y256" s="2">
        <v>517600.14</v>
      </c>
      <c r="Z256" s="2">
        <v>176027.73</v>
      </c>
      <c r="AA256" s="2">
        <f t="shared" si="136"/>
        <v>0</v>
      </c>
      <c r="AB256" s="2">
        <v>0</v>
      </c>
      <c r="AC256" s="2">
        <v>0</v>
      </c>
      <c r="AD256" s="2">
        <f t="shared" si="137"/>
        <v>4330806.24</v>
      </c>
      <c r="AE256" s="2">
        <v>0</v>
      </c>
      <c r="AF256" s="2">
        <f t="shared" si="138"/>
        <v>4330806.24</v>
      </c>
      <c r="AG256" s="24" t="s">
        <v>41</v>
      </c>
      <c r="AH256" s="34" t="s">
        <v>961</v>
      </c>
      <c r="AI256" s="35">
        <v>3290066.13</v>
      </c>
      <c r="AJ256" s="36">
        <v>0</v>
      </c>
      <c r="AK256" s="28">
        <f t="shared" si="121"/>
        <v>347112.24000000022</v>
      </c>
      <c r="AL256" s="28">
        <f t="shared" si="122"/>
        <v>0</v>
      </c>
      <c r="AM256" s="29">
        <f t="shared" si="123"/>
        <v>0.90456551626309156</v>
      </c>
    </row>
    <row r="257" spans="1:39" ht="192" customHeight="1" x14ac:dyDescent="0.25">
      <c r="A257" s="10">
        <v>254</v>
      </c>
      <c r="B257" s="37">
        <v>118319</v>
      </c>
      <c r="C257" s="20">
        <v>27</v>
      </c>
      <c r="D257" s="20" t="s">
        <v>254</v>
      </c>
      <c r="E257" s="14" t="s">
        <v>255</v>
      </c>
      <c r="F257" s="15" t="s">
        <v>962</v>
      </c>
      <c r="G257" s="15" t="s">
        <v>880</v>
      </c>
      <c r="H257" s="20" t="s">
        <v>963</v>
      </c>
      <c r="I257" s="55" t="s">
        <v>964</v>
      </c>
      <c r="J257" s="30">
        <v>42585</v>
      </c>
      <c r="K257" s="30">
        <v>43680</v>
      </c>
      <c r="L257" s="31">
        <f t="shared" si="132"/>
        <v>83.983862824473448</v>
      </c>
      <c r="M257" s="20" t="s">
        <v>259</v>
      </c>
      <c r="N257" s="20" t="s">
        <v>229</v>
      </c>
      <c r="O257" s="20" t="s">
        <v>229</v>
      </c>
      <c r="P257" s="32" t="s">
        <v>260</v>
      </c>
      <c r="Q257" s="20" t="s">
        <v>40</v>
      </c>
      <c r="R257" s="2">
        <f t="shared" si="133"/>
        <v>17052953.060000002</v>
      </c>
      <c r="S257" s="2">
        <v>13751720.9</v>
      </c>
      <c r="T257" s="2">
        <v>3301232.16</v>
      </c>
      <c r="U257" s="2">
        <f t="shared" si="139"/>
        <v>0</v>
      </c>
      <c r="V257" s="2">
        <v>0</v>
      </c>
      <c r="W257" s="2">
        <v>0</v>
      </c>
      <c r="X257" s="2">
        <f t="shared" si="135"/>
        <v>3252082.32</v>
      </c>
      <c r="Y257" s="2">
        <v>2426774.2799999998</v>
      </c>
      <c r="Z257" s="2">
        <v>825308.04</v>
      </c>
      <c r="AA257" s="2">
        <f t="shared" si="136"/>
        <v>0</v>
      </c>
      <c r="AB257" s="2">
        <v>0</v>
      </c>
      <c r="AC257" s="2">
        <v>0</v>
      </c>
      <c r="AD257" s="2">
        <f t="shared" si="137"/>
        <v>20305035.380000003</v>
      </c>
      <c r="AE257" s="2">
        <v>0</v>
      </c>
      <c r="AF257" s="2">
        <f t="shared" si="138"/>
        <v>20305035.380000003</v>
      </c>
      <c r="AG257" s="24" t="s">
        <v>41</v>
      </c>
      <c r="AH257" s="34" t="s">
        <v>965</v>
      </c>
      <c r="AI257" s="35">
        <v>15213087.200000001</v>
      </c>
      <c r="AJ257" s="36">
        <v>0</v>
      </c>
      <c r="AK257" s="28">
        <f t="shared" si="121"/>
        <v>1839865.8600000013</v>
      </c>
      <c r="AL257" s="28">
        <f t="shared" si="122"/>
        <v>0</v>
      </c>
      <c r="AM257" s="29">
        <f t="shared" si="123"/>
        <v>0.89210866566473734</v>
      </c>
    </row>
    <row r="258" spans="1:39" ht="192" customHeight="1" x14ac:dyDescent="0.25">
      <c r="A258" s="10">
        <v>255</v>
      </c>
      <c r="B258" s="37">
        <v>117834</v>
      </c>
      <c r="C258" s="20">
        <v>28</v>
      </c>
      <c r="D258" s="20" t="s">
        <v>254</v>
      </c>
      <c r="E258" s="14" t="s">
        <v>255</v>
      </c>
      <c r="F258" s="15" t="s">
        <v>966</v>
      </c>
      <c r="G258" s="15" t="s">
        <v>948</v>
      </c>
      <c r="H258" s="20" t="s">
        <v>967</v>
      </c>
      <c r="I258" s="55" t="s">
        <v>968</v>
      </c>
      <c r="J258" s="30">
        <v>42515</v>
      </c>
      <c r="K258" s="30">
        <v>44037</v>
      </c>
      <c r="L258" s="31">
        <f t="shared" si="132"/>
        <v>83.983862816553938</v>
      </c>
      <c r="M258" s="20" t="s">
        <v>259</v>
      </c>
      <c r="N258" s="20" t="s">
        <v>229</v>
      </c>
      <c r="O258" s="20" t="s">
        <v>229</v>
      </c>
      <c r="P258" s="32" t="s">
        <v>260</v>
      </c>
      <c r="Q258" s="20" t="s">
        <v>40</v>
      </c>
      <c r="R258" s="2">
        <f t="shared" si="133"/>
        <v>36908560.93</v>
      </c>
      <c r="S258" s="2">
        <v>29763538.719999999</v>
      </c>
      <c r="T258" s="2">
        <v>7145022.21</v>
      </c>
      <c r="U258" s="2">
        <f t="shared" si="139"/>
        <v>0</v>
      </c>
      <c r="V258" s="2">
        <v>0</v>
      </c>
      <c r="W258" s="2">
        <v>0</v>
      </c>
      <c r="X258" s="2">
        <f t="shared" si="135"/>
        <v>7038644.75</v>
      </c>
      <c r="Y258" s="2">
        <v>5252389.21</v>
      </c>
      <c r="Z258" s="2">
        <v>1786255.54</v>
      </c>
      <c r="AA258" s="2">
        <f t="shared" si="136"/>
        <v>0</v>
      </c>
      <c r="AB258" s="2">
        <v>0</v>
      </c>
      <c r="AC258" s="2">
        <v>0</v>
      </c>
      <c r="AD258" s="2">
        <f t="shared" si="137"/>
        <v>43947205.68</v>
      </c>
      <c r="AE258" s="2">
        <v>0</v>
      </c>
      <c r="AF258" s="2">
        <f t="shared" si="138"/>
        <v>43947205.68</v>
      </c>
      <c r="AG258" s="39" t="s">
        <v>69</v>
      </c>
      <c r="AH258" s="34" t="s">
        <v>969</v>
      </c>
      <c r="AI258" s="35">
        <v>23206973.769999996</v>
      </c>
      <c r="AJ258" s="36">
        <v>0</v>
      </c>
      <c r="AK258" s="28">
        <f t="shared" si="121"/>
        <v>13701587.160000004</v>
      </c>
      <c r="AL258" s="28">
        <f t="shared" si="122"/>
        <v>0</v>
      </c>
      <c r="AM258" s="29">
        <f t="shared" si="123"/>
        <v>0.62876940160343431</v>
      </c>
    </row>
    <row r="259" spans="1:39" ht="192" customHeight="1" x14ac:dyDescent="0.25">
      <c r="A259" s="10">
        <v>256</v>
      </c>
      <c r="B259" s="37">
        <v>119993</v>
      </c>
      <c r="C259" s="20">
        <v>29</v>
      </c>
      <c r="D259" s="20" t="s">
        <v>254</v>
      </c>
      <c r="E259" s="14" t="s">
        <v>255</v>
      </c>
      <c r="F259" s="15" t="s">
        <v>970</v>
      </c>
      <c r="G259" s="15" t="s">
        <v>971</v>
      </c>
      <c r="H259" s="20" t="s">
        <v>972</v>
      </c>
      <c r="I259" s="55" t="s">
        <v>973</v>
      </c>
      <c r="J259" s="30">
        <v>42569</v>
      </c>
      <c r="K259" s="30">
        <v>44030</v>
      </c>
      <c r="L259" s="31">
        <f t="shared" si="132"/>
        <v>83.98386282616714</v>
      </c>
      <c r="M259" s="20" t="s">
        <v>259</v>
      </c>
      <c r="N259" s="20" t="s">
        <v>229</v>
      </c>
      <c r="O259" s="20" t="s">
        <v>229</v>
      </c>
      <c r="P259" s="32" t="s">
        <v>260</v>
      </c>
      <c r="Q259" s="20" t="s">
        <v>40</v>
      </c>
      <c r="R259" s="2">
        <f t="shared" si="133"/>
        <v>35912411.909999996</v>
      </c>
      <c r="S259" s="2">
        <v>28960231.329999998</v>
      </c>
      <c r="T259" s="2">
        <v>6952180.5800000001</v>
      </c>
      <c r="U259" s="2">
        <f t="shared" si="139"/>
        <v>0</v>
      </c>
      <c r="V259" s="2">
        <v>0</v>
      </c>
      <c r="W259" s="2">
        <v>0</v>
      </c>
      <c r="X259" s="2">
        <f t="shared" si="135"/>
        <v>6848674.209999999</v>
      </c>
      <c r="Y259" s="2">
        <v>5110629.0599999996</v>
      </c>
      <c r="Z259" s="2">
        <v>1738045.15</v>
      </c>
      <c r="AA259" s="2">
        <f t="shared" si="136"/>
        <v>0</v>
      </c>
      <c r="AB259" s="2">
        <v>0</v>
      </c>
      <c r="AC259" s="2">
        <v>0</v>
      </c>
      <c r="AD259" s="2">
        <f t="shared" si="137"/>
        <v>42761086.119999997</v>
      </c>
      <c r="AE259" s="2">
        <v>0</v>
      </c>
      <c r="AF259" s="2">
        <f t="shared" si="138"/>
        <v>42761086.119999997</v>
      </c>
      <c r="AG259" s="39" t="s">
        <v>69</v>
      </c>
      <c r="AH259" s="122" t="s">
        <v>974</v>
      </c>
      <c r="AI259" s="35">
        <v>28176.63</v>
      </c>
      <c r="AJ259" s="36">
        <v>0</v>
      </c>
      <c r="AK259" s="28">
        <f t="shared" si="121"/>
        <v>35884235.279999994</v>
      </c>
      <c r="AL259" s="28">
        <f t="shared" si="122"/>
        <v>0</v>
      </c>
      <c r="AM259" s="29">
        <f t="shared" si="123"/>
        <v>7.8459308360054965E-4</v>
      </c>
    </row>
    <row r="260" spans="1:39" ht="192" customHeight="1" x14ac:dyDescent="0.25">
      <c r="A260" s="10">
        <v>257</v>
      </c>
      <c r="B260" s="37">
        <v>118292</v>
      </c>
      <c r="C260" s="20">
        <v>30</v>
      </c>
      <c r="D260" s="20" t="s">
        <v>254</v>
      </c>
      <c r="E260" s="14" t="s">
        <v>255</v>
      </c>
      <c r="F260" s="15" t="s">
        <v>975</v>
      </c>
      <c r="G260" s="15" t="s">
        <v>976</v>
      </c>
      <c r="H260" s="20" t="s">
        <v>977</v>
      </c>
      <c r="I260" s="55" t="s">
        <v>978</v>
      </c>
      <c r="J260" s="30">
        <v>42446</v>
      </c>
      <c r="K260" s="30">
        <v>43237</v>
      </c>
      <c r="L260" s="31">
        <f t="shared" si="132"/>
        <v>83.983862811384185</v>
      </c>
      <c r="M260" s="20" t="s">
        <v>259</v>
      </c>
      <c r="N260" s="20" t="s">
        <v>229</v>
      </c>
      <c r="O260" s="20" t="s">
        <v>229</v>
      </c>
      <c r="P260" s="32" t="s">
        <v>260</v>
      </c>
      <c r="Q260" s="20" t="s">
        <v>40</v>
      </c>
      <c r="R260" s="2">
        <f t="shared" si="133"/>
        <v>23983572.759999998</v>
      </c>
      <c r="S260" s="2">
        <v>19340661.859999999</v>
      </c>
      <c r="T260" s="2">
        <v>4642910.9000000004</v>
      </c>
      <c r="U260" s="2">
        <f t="shared" si="139"/>
        <v>0</v>
      </c>
      <c r="V260" s="2">
        <v>0</v>
      </c>
      <c r="W260" s="2">
        <v>0</v>
      </c>
      <c r="X260" s="2">
        <f t="shared" si="135"/>
        <v>4573785.71</v>
      </c>
      <c r="Y260" s="2">
        <v>3413057.98</v>
      </c>
      <c r="Z260" s="2">
        <v>1160727.73</v>
      </c>
      <c r="AA260" s="2">
        <f t="shared" si="136"/>
        <v>0</v>
      </c>
      <c r="AB260" s="2">
        <v>0</v>
      </c>
      <c r="AC260" s="2">
        <v>0</v>
      </c>
      <c r="AD260" s="2">
        <f t="shared" si="137"/>
        <v>28557358.469999999</v>
      </c>
      <c r="AE260" s="2">
        <v>54654.13</v>
      </c>
      <c r="AF260" s="2">
        <f t="shared" si="138"/>
        <v>28612012.599999998</v>
      </c>
      <c r="AG260" s="24" t="s">
        <v>41</v>
      </c>
      <c r="AH260" s="34" t="s">
        <v>979</v>
      </c>
      <c r="AI260" s="35">
        <v>20419622.339999996</v>
      </c>
      <c r="AJ260" s="36">
        <v>0</v>
      </c>
      <c r="AK260" s="28">
        <f t="shared" si="121"/>
        <v>3563950.4200000018</v>
      </c>
      <c r="AL260" s="28">
        <f t="shared" si="122"/>
        <v>0</v>
      </c>
      <c r="AM260" s="29">
        <f t="shared" si="123"/>
        <v>0.85140035408135739</v>
      </c>
    </row>
    <row r="261" spans="1:39" ht="192" customHeight="1" x14ac:dyDescent="0.25">
      <c r="A261" s="10">
        <v>258</v>
      </c>
      <c r="B261" s="37">
        <v>120208</v>
      </c>
      <c r="C261" s="20">
        <v>47</v>
      </c>
      <c r="D261" s="20" t="s">
        <v>254</v>
      </c>
      <c r="E261" s="14" t="s">
        <v>851</v>
      </c>
      <c r="F261" s="15" t="s">
        <v>980</v>
      </c>
      <c r="G261" s="32" t="s">
        <v>853</v>
      </c>
      <c r="H261" s="20" t="s">
        <v>35</v>
      </c>
      <c r="I261" s="55" t="s">
        <v>981</v>
      </c>
      <c r="J261" s="30">
        <v>42914</v>
      </c>
      <c r="K261" s="30">
        <v>44193</v>
      </c>
      <c r="L261" s="31">
        <f t="shared" si="132"/>
        <v>83.983862839866035</v>
      </c>
      <c r="M261" s="20" t="s">
        <v>259</v>
      </c>
      <c r="N261" s="20" t="s">
        <v>229</v>
      </c>
      <c r="O261" s="20" t="s">
        <v>229</v>
      </c>
      <c r="P261" s="32" t="s">
        <v>260</v>
      </c>
      <c r="Q261" s="20" t="s">
        <v>40</v>
      </c>
      <c r="R261" s="2">
        <f t="shared" si="133"/>
        <v>6085613.1800000006</v>
      </c>
      <c r="S261" s="2">
        <v>4907516.82</v>
      </c>
      <c r="T261" s="2">
        <v>1178096.3600000001</v>
      </c>
      <c r="U261" s="2">
        <f t="shared" si="139"/>
        <v>0</v>
      </c>
      <c r="V261" s="2">
        <v>0</v>
      </c>
      <c r="W261" s="2">
        <v>0</v>
      </c>
      <c r="X261" s="2">
        <f t="shared" si="135"/>
        <v>1160556.47</v>
      </c>
      <c r="Y261" s="2">
        <v>866032.38</v>
      </c>
      <c r="Z261" s="2">
        <v>294524.09000000003</v>
      </c>
      <c r="AA261" s="2">
        <f t="shared" si="136"/>
        <v>0</v>
      </c>
      <c r="AB261" s="2">
        <v>0</v>
      </c>
      <c r="AC261" s="2">
        <v>0</v>
      </c>
      <c r="AD261" s="2">
        <f t="shared" si="137"/>
        <v>7246169.6500000004</v>
      </c>
      <c r="AE261" s="2">
        <v>0</v>
      </c>
      <c r="AF261" s="2">
        <f t="shared" si="138"/>
        <v>7246169.6500000004</v>
      </c>
      <c r="AG261" s="39" t="s">
        <v>69</v>
      </c>
      <c r="AH261" s="34" t="s">
        <v>982</v>
      </c>
      <c r="AI261" s="35">
        <f>1069040.51+48010.21+146560.3+232128.61+452279.37</f>
        <v>1948019</v>
      </c>
      <c r="AJ261" s="36">
        <v>0</v>
      </c>
      <c r="AK261" s="28">
        <f t="shared" ref="AK261:AK324" si="140">R261-AI261</f>
        <v>4137594.1800000006</v>
      </c>
      <c r="AL261" s="28">
        <f t="shared" ref="AL261:AL324" si="141">U261-AJ261</f>
        <v>0</v>
      </c>
      <c r="AM261" s="29">
        <f t="shared" ref="AM261:AM324" si="142">AI261/R261</f>
        <v>0.32010233683633499</v>
      </c>
    </row>
    <row r="262" spans="1:39" ht="192" customHeight="1" x14ac:dyDescent="0.25">
      <c r="A262" s="10">
        <v>259</v>
      </c>
      <c r="B262" s="37">
        <v>119991</v>
      </c>
      <c r="C262" s="20">
        <v>48</v>
      </c>
      <c r="D262" s="20" t="s">
        <v>254</v>
      </c>
      <c r="E262" s="14" t="s">
        <v>851</v>
      </c>
      <c r="F262" s="15" t="s">
        <v>983</v>
      </c>
      <c r="G262" s="15" t="s">
        <v>984</v>
      </c>
      <c r="H262" s="20" t="s">
        <v>35</v>
      </c>
      <c r="I262" s="55" t="s">
        <v>985</v>
      </c>
      <c r="J262" s="30">
        <v>43004</v>
      </c>
      <c r="K262" s="30">
        <v>43916</v>
      </c>
      <c r="L262" s="31">
        <f t="shared" si="132"/>
        <v>83.9838628091575</v>
      </c>
      <c r="M262" s="20" t="s">
        <v>259</v>
      </c>
      <c r="N262" s="20" t="s">
        <v>229</v>
      </c>
      <c r="O262" s="20" t="s">
        <v>229</v>
      </c>
      <c r="P262" s="32" t="s">
        <v>260</v>
      </c>
      <c r="Q262" s="20" t="s">
        <v>40</v>
      </c>
      <c r="R262" s="2">
        <f t="shared" si="133"/>
        <v>12597407.540000001</v>
      </c>
      <c r="S262" s="2">
        <v>10158711.630000001</v>
      </c>
      <c r="T262" s="2">
        <v>2438695.91</v>
      </c>
      <c r="U262" s="2">
        <f t="shared" si="139"/>
        <v>0</v>
      </c>
      <c r="V262" s="2">
        <v>0</v>
      </c>
      <c r="W262" s="2">
        <v>0</v>
      </c>
      <c r="X262" s="2">
        <f t="shared" si="135"/>
        <v>2402387.7999999998</v>
      </c>
      <c r="Y262" s="2">
        <v>1792713.82</v>
      </c>
      <c r="Z262" s="2">
        <v>609673.98</v>
      </c>
      <c r="AA262" s="2">
        <f t="shared" si="136"/>
        <v>0</v>
      </c>
      <c r="AB262" s="2">
        <v>0</v>
      </c>
      <c r="AC262" s="2">
        <v>0</v>
      </c>
      <c r="AD262" s="2">
        <f t="shared" si="137"/>
        <v>14999795.34</v>
      </c>
      <c r="AE262" s="2">
        <v>2999990</v>
      </c>
      <c r="AF262" s="2">
        <f t="shared" si="138"/>
        <v>17999785.34</v>
      </c>
      <c r="AG262" s="39" t="s">
        <v>41</v>
      </c>
      <c r="AH262" s="25" t="s">
        <v>35</v>
      </c>
      <c r="AI262" s="35">
        <v>0</v>
      </c>
      <c r="AJ262" s="123">
        <v>0</v>
      </c>
      <c r="AK262" s="28">
        <f t="shared" si="140"/>
        <v>12597407.540000001</v>
      </c>
      <c r="AL262" s="28">
        <f t="shared" si="141"/>
        <v>0</v>
      </c>
      <c r="AM262" s="29">
        <f t="shared" si="142"/>
        <v>0</v>
      </c>
    </row>
    <row r="263" spans="1:39" ht="192" customHeight="1" x14ac:dyDescent="0.25">
      <c r="A263" s="10">
        <v>260</v>
      </c>
      <c r="B263" s="37">
        <v>119992</v>
      </c>
      <c r="C263" s="20">
        <v>49</v>
      </c>
      <c r="D263" s="20" t="s">
        <v>254</v>
      </c>
      <c r="E263" s="14" t="s">
        <v>851</v>
      </c>
      <c r="F263" s="15" t="s">
        <v>986</v>
      </c>
      <c r="G263" s="15" t="s">
        <v>984</v>
      </c>
      <c r="H263" s="20" t="s">
        <v>35</v>
      </c>
      <c r="I263" s="55" t="s">
        <v>987</v>
      </c>
      <c r="J263" s="30">
        <v>43004</v>
      </c>
      <c r="K263" s="30">
        <v>43916</v>
      </c>
      <c r="L263" s="31">
        <f t="shared" si="132"/>
        <v>83.98386278575461</v>
      </c>
      <c r="M263" s="20" t="s">
        <v>259</v>
      </c>
      <c r="N263" s="20" t="s">
        <v>229</v>
      </c>
      <c r="O263" s="20" t="s">
        <v>229</v>
      </c>
      <c r="P263" s="32" t="s">
        <v>260</v>
      </c>
      <c r="Q263" s="20" t="s">
        <v>40</v>
      </c>
      <c r="R263" s="2">
        <f t="shared" si="133"/>
        <v>11755282.280000001</v>
      </c>
      <c r="S263" s="2">
        <v>9479610.9800000004</v>
      </c>
      <c r="T263" s="2">
        <v>2275671.2999999998</v>
      </c>
      <c r="U263" s="2">
        <f t="shared" si="139"/>
        <v>0</v>
      </c>
      <c r="V263" s="2">
        <v>0</v>
      </c>
      <c r="W263" s="2">
        <v>0</v>
      </c>
      <c r="X263" s="2">
        <f t="shared" si="135"/>
        <v>2241790.36</v>
      </c>
      <c r="Y263" s="2">
        <v>1672872.53</v>
      </c>
      <c r="Z263" s="2">
        <v>568917.82999999996</v>
      </c>
      <c r="AA263" s="2">
        <f t="shared" si="136"/>
        <v>0</v>
      </c>
      <c r="AB263" s="2">
        <v>0</v>
      </c>
      <c r="AC263" s="2">
        <v>0</v>
      </c>
      <c r="AD263" s="2">
        <f t="shared" si="137"/>
        <v>13997072.640000001</v>
      </c>
      <c r="AE263" s="2">
        <v>0</v>
      </c>
      <c r="AF263" s="2">
        <f t="shared" si="138"/>
        <v>13997072.640000001</v>
      </c>
      <c r="AG263" s="39" t="s">
        <v>41</v>
      </c>
      <c r="AH263" s="25" t="s">
        <v>35</v>
      </c>
      <c r="AI263" s="35">
        <v>0</v>
      </c>
      <c r="AJ263" s="123">
        <v>0</v>
      </c>
      <c r="AK263" s="28">
        <f t="shared" si="140"/>
        <v>11755282.280000001</v>
      </c>
      <c r="AL263" s="28">
        <f t="shared" si="141"/>
        <v>0</v>
      </c>
      <c r="AM263" s="29">
        <f t="shared" si="142"/>
        <v>0</v>
      </c>
    </row>
    <row r="264" spans="1:39" ht="192" customHeight="1" x14ac:dyDescent="0.25">
      <c r="A264" s="10">
        <v>261</v>
      </c>
      <c r="B264" s="37">
        <v>119731</v>
      </c>
      <c r="C264" s="20">
        <v>51</v>
      </c>
      <c r="D264" s="20" t="s">
        <v>254</v>
      </c>
      <c r="E264" s="14" t="s">
        <v>851</v>
      </c>
      <c r="F264" s="15" t="s">
        <v>988</v>
      </c>
      <c r="G264" s="15" t="s">
        <v>912</v>
      </c>
      <c r="H264" s="20" t="s">
        <v>35</v>
      </c>
      <c r="I264" s="55" t="s">
        <v>989</v>
      </c>
      <c r="J264" s="30">
        <v>42956</v>
      </c>
      <c r="K264" s="30">
        <v>44236</v>
      </c>
      <c r="L264" s="31">
        <f t="shared" si="132"/>
        <v>83.983862780427785</v>
      </c>
      <c r="M264" s="20" t="s">
        <v>259</v>
      </c>
      <c r="N264" s="20" t="s">
        <v>229</v>
      </c>
      <c r="O264" s="20" t="s">
        <v>229</v>
      </c>
      <c r="P264" s="32" t="s">
        <v>260</v>
      </c>
      <c r="Q264" s="20" t="s">
        <v>40</v>
      </c>
      <c r="R264" s="2">
        <f t="shared" si="133"/>
        <v>10449475.91</v>
      </c>
      <c r="S264" s="2">
        <v>8426591.9100000001</v>
      </c>
      <c r="T264" s="2">
        <v>2022884</v>
      </c>
      <c r="U264" s="2">
        <f t="shared" si="139"/>
        <v>0</v>
      </c>
      <c r="V264" s="2">
        <v>0</v>
      </c>
      <c r="W264" s="2">
        <v>0</v>
      </c>
      <c r="X264" s="2">
        <f t="shared" si="135"/>
        <v>1992766.64</v>
      </c>
      <c r="Y264" s="2">
        <v>1487045.64</v>
      </c>
      <c r="Z264" s="2">
        <v>505721</v>
      </c>
      <c r="AA264" s="2">
        <f t="shared" si="136"/>
        <v>0</v>
      </c>
      <c r="AB264" s="2">
        <v>0</v>
      </c>
      <c r="AC264" s="2">
        <v>0</v>
      </c>
      <c r="AD264" s="2">
        <f t="shared" si="137"/>
        <v>12442242.550000001</v>
      </c>
      <c r="AE264" s="2">
        <v>0</v>
      </c>
      <c r="AF264" s="2">
        <f t="shared" si="138"/>
        <v>12442242.550000001</v>
      </c>
      <c r="AG264" s="39" t="s">
        <v>69</v>
      </c>
      <c r="AH264" s="25" t="s">
        <v>990</v>
      </c>
      <c r="AI264" s="35">
        <f>751571.65+520506.47</f>
        <v>1272078.1200000001</v>
      </c>
      <c r="AJ264" s="123">
        <v>0</v>
      </c>
      <c r="AK264" s="28">
        <f t="shared" si="140"/>
        <v>9177397.7899999991</v>
      </c>
      <c r="AL264" s="28">
        <f t="shared" si="141"/>
        <v>0</v>
      </c>
      <c r="AM264" s="29">
        <f t="shared" si="142"/>
        <v>0.12173606896233326</v>
      </c>
    </row>
    <row r="265" spans="1:39" ht="192" customHeight="1" x14ac:dyDescent="0.25">
      <c r="A265" s="10">
        <v>262</v>
      </c>
      <c r="B265" s="37">
        <v>119741</v>
      </c>
      <c r="C265" s="20">
        <v>63</v>
      </c>
      <c r="D265" s="20" t="s">
        <v>933</v>
      </c>
      <c r="E265" s="14" t="s">
        <v>934</v>
      </c>
      <c r="F265" s="15" t="s">
        <v>991</v>
      </c>
      <c r="G265" s="15" t="s">
        <v>992</v>
      </c>
      <c r="H265" s="20" t="s">
        <v>35</v>
      </c>
      <c r="I265" s="55" t="s">
        <v>993</v>
      </c>
      <c r="J265" s="30">
        <v>43063</v>
      </c>
      <c r="K265" s="30">
        <v>44067</v>
      </c>
      <c r="L265" s="31">
        <f t="shared" si="132"/>
        <v>83.983862837339956</v>
      </c>
      <c r="M265" s="20" t="s">
        <v>259</v>
      </c>
      <c r="N265" s="20" t="s">
        <v>229</v>
      </c>
      <c r="O265" s="20" t="s">
        <v>229</v>
      </c>
      <c r="P265" s="32" t="s">
        <v>260</v>
      </c>
      <c r="Q265" s="20" t="s">
        <v>40</v>
      </c>
      <c r="R265" s="2">
        <f t="shared" si="133"/>
        <v>2267315.5699999998</v>
      </c>
      <c r="S265" s="2">
        <v>1828392.47</v>
      </c>
      <c r="T265" s="2">
        <v>438923.1</v>
      </c>
      <c r="U265" s="2">
        <f t="shared" si="139"/>
        <v>0</v>
      </c>
      <c r="V265" s="2">
        <v>0</v>
      </c>
      <c r="W265" s="2">
        <v>0</v>
      </c>
      <c r="X265" s="2">
        <f t="shared" si="135"/>
        <v>432388.27</v>
      </c>
      <c r="Y265" s="2">
        <v>322657.49</v>
      </c>
      <c r="Z265" s="2">
        <v>109730.78</v>
      </c>
      <c r="AA265" s="2">
        <f t="shared" si="136"/>
        <v>0</v>
      </c>
      <c r="AB265" s="2">
        <v>0</v>
      </c>
      <c r="AC265" s="2">
        <v>0</v>
      </c>
      <c r="AD265" s="2">
        <f t="shared" si="137"/>
        <v>2699703.84</v>
      </c>
      <c r="AE265" s="2">
        <v>0</v>
      </c>
      <c r="AF265" s="2">
        <f t="shared" si="138"/>
        <v>2699703.84</v>
      </c>
      <c r="AG265" s="39" t="s">
        <v>69</v>
      </c>
      <c r="AH265" s="25" t="s">
        <v>994</v>
      </c>
      <c r="AI265" s="35">
        <v>1030343.44</v>
      </c>
      <c r="AJ265" s="123">
        <v>0</v>
      </c>
      <c r="AK265" s="28">
        <f t="shared" si="140"/>
        <v>1236972.1299999999</v>
      </c>
      <c r="AL265" s="28">
        <f t="shared" si="141"/>
        <v>0</v>
      </c>
      <c r="AM265" s="29">
        <f t="shared" si="142"/>
        <v>0.4544331868192481</v>
      </c>
    </row>
    <row r="266" spans="1:39" ht="192" customHeight="1" x14ac:dyDescent="0.25">
      <c r="A266" s="10">
        <v>263</v>
      </c>
      <c r="B266" s="37">
        <v>119983</v>
      </c>
      <c r="C266" s="20">
        <v>58</v>
      </c>
      <c r="D266" s="20" t="s">
        <v>254</v>
      </c>
      <c r="E266" s="14" t="s">
        <v>851</v>
      </c>
      <c r="F266" s="15" t="s">
        <v>995</v>
      </c>
      <c r="G266" s="32" t="s">
        <v>930</v>
      </c>
      <c r="H266" s="20" t="s">
        <v>996</v>
      </c>
      <c r="I266" s="55" t="s">
        <v>997</v>
      </c>
      <c r="J266" s="30">
        <v>42963</v>
      </c>
      <c r="K266" s="30">
        <v>44059</v>
      </c>
      <c r="L266" s="31">
        <f t="shared" si="132"/>
        <v>83.983862872994763</v>
      </c>
      <c r="M266" s="20" t="s">
        <v>259</v>
      </c>
      <c r="N266" s="20" t="s">
        <v>229</v>
      </c>
      <c r="O266" s="20" t="s">
        <v>229</v>
      </c>
      <c r="P266" s="32" t="s">
        <v>260</v>
      </c>
      <c r="Q266" s="20" t="s">
        <v>40</v>
      </c>
      <c r="R266" s="2">
        <f t="shared" si="133"/>
        <v>8062160.4699999997</v>
      </c>
      <c r="S266" s="2">
        <v>6501430</v>
      </c>
      <c r="T266" s="2">
        <v>1560730.47</v>
      </c>
      <c r="U266" s="2">
        <f t="shared" si="139"/>
        <v>0</v>
      </c>
      <c r="V266" s="2">
        <v>0</v>
      </c>
      <c r="W266" s="2">
        <v>0</v>
      </c>
      <c r="X266" s="2">
        <f t="shared" si="135"/>
        <v>1537493.79</v>
      </c>
      <c r="Y266" s="2">
        <v>1147311.17</v>
      </c>
      <c r="Z266" s="2">
        <v>390182.62</v>
      </c>
      <c r="AA266" s="2">
        <f t="shared" si="136"/>
        <v>0</v>
      </c>
      <c r="AB266" s="2">
        <v>0</v>
      </c>
      <c r="AC266" s="2">
        <v>0</v>
      </c>
      <c r="AD266" s="2">
        <f t="shared" si="137"/>
        <v>9599654.2599999998</v>
      </c>
      <c r="AE266" s="2">
        <v>655333</v>
      </c>
      <c r="AF266" s="2">
        <f t="shared" si="138"/>
        <v>10254987.26</v>
      </c>
      <c r="AG266" s="39" t="s">
        <v>69</v>
      </c>
      <c r="AH266" s="25" t="s">
        <v>998</v>
      </c>
      <c r="AI266" s="35">
        <f>27068+159937+61959.1+719797.57+221414.47+187753.57</f>
        <v>1377929.71</v>
      </c>
      <c r="AJ266" s="123">
        <v>0</v>
      </c>
      <c r="AK266" s="28">
        <f t="shared" si="140"/>
        <v>6684230.7599999998</v>
      </c>
      <c r="AL266" s="28">
        <f t="shared" si="141"/>
        <v>0</v>
      </c>
      <c r="AM266" s="29">
        <f t="shared" si="142"/>
        <v>0.17091320808205149</v>
      </c>
    </row>
    <row r="267" spans="1:39" ht="192" customHeight="1" x14ac:dyDescent="0.25">
      <c r="A267" s="10">
        <v>264</v>
      </c>
      <c r="B267" s="37">
        <v>119957</v>
      </c>
      <c r="C267" s="20">
        <v>136</v>
      </c>
      <c r="D267" s="20" t="s">
        <v>999</v>
      </c>
      <c r="E267" s="14" t="s">
        <v>1000</v>
      </c>
      <c r="F267" s="15" t="s">
        <v>1001</v>
      </c>
      <c r="G267" s="15" t="s">
        <v>952</v>
      </c>
      <c r="H267" s="20" t="s">
        <v>1002</v>
      </c>
      <c r="I267" s="55" t="s">
        <v>1003</v>
      </c>
      <c r="J267" s="30">
        <v>43047</v>
      </c>
      <c r="K267" s="30">
        <v>44204</v>
      </c>
      <c r="L267" s="31">
        <f t="shared" si="132"/>
        <v>83.983862631165763</v>
      </c>
      <c r="M267" s="20" t="s">
        <v>259</v>
      </c>
      <c r="N267" s="20" t="s">
        <v>229</v>
      </c>
      <c r="O267" s="20" t="s">
        <v>229</v>
      </c>
      <c r="P267" s="32" t="s">
        <v>260</v>
      </c>
      <c r="Q267" s="20" t="s">
        <v>40</v>
      </c>
      <c r="R267" s="2">
        <f t="shared" si="133"/>
        <v>30804926.460000001</v>
      </c>
      <c r="S267" s="2">
        <v>24841489.309999999</v>
      </c>
      <c r="T267" s="2">
        <v>5963437.1500000004</v>
      </c>
      <c r="U267" s="2">
        <f t="shared" si="139"/>
        <v>0</v>
      </c>
      <c r="V267" s="2">
        <v>0</v>
      </c>
      <c r="W267" s="2">
        <v>0</v>
      </c>
      <c r="X267" s="2">
        <f t="shared" si="135"/>
        <v>5874651.6099999994</v>
      </c>
      <c r="Y267" s="2">
        <v>4383792.3</v>
      </c>
      <c r="Z267" s="2">
        <v>1490859.31</v>
      </c>
      <c r="AA267" s="2">
        <f t="shared" si="136"/>
        <v>0</v>
      </c>
      <c r="AB267" s="2">
        <v>0</v>
      </c>
      <c r="AC267" s="2">
        <v>0</v>
      </c>
      <c r="AD267" s="2">
        <f t="shared" si="137"/>
        <v>36679578.07</v>
      </c>
      <c r="AE267" s="2">
        <v>0</v>
      </c>
      <c r="AF267" s="2">
        <f t="shared" si="138"/>
        <v>36679578.07</v>
      </c>
      <c r="AG267" s="39" t="s">
        <v>69</v>
      </c>
      <c r="AH267" s="25" t="s">
        <v>1004</v>
      </c>
      <c r="AI267" s="35">
        <f>2761684.65+10585240.81+72837.53</f>
        <v>13419762.99</v>
      </c>
      <c r="AJ267" s="123">
        <v>0</v>
      </c>
      <c r="AK267" s="28">
        <f t="shared" si="140"/>
        <v>17385163.469999999</v>
      </c>
      <c r="AL267" s="28">
        <f t="shared" si="141"/>
        <v>0</v>
      </c>
      <c r="AM267" s="29">
        <f t="shared" si="142"/>
        <v>0.43563691046058739</v>
      </c>
    </row>
    <row r="268" spans="1:39" ht="192" customHeight="1" x14ac:dyDescent="0.25">
      <c r="A268" s="10">
        <v>265</v>
      </c>
      <c r="B268" s="37">
        <v>110215</v>
      </c>
      <c r="C268" s="20">
        <v>139</v>
      </c>
      <c r="D268" s="20" t="s">
        <v>254</v>
      </c>
      <c r="E268" s="14" t="s">
        <v>1005</v>
      </c>
      <c r="F268" s="32" t="s">
        <v>1006</v>
      </c>
      <c r="G268" s="32" t="s">
        <v>1007</v>
      </c>
      <c r="H268" s="20" t="s">
        <v>46</v>
      </c>
      <c r="I268" s="112" t="s">
        <v>1008</v>
      </c>
      <c r="J268" s="30">
        <v>43357</v>
      </c>
      <c r="K268" s="30">
        <v>43844</v>
      </c>
      <c r="L268" s="31">
        <f t="shared" si="132"/>
        <v>82.304183894733001</v>
      </c>
      <c r="M268" s="20" t="s">
        <v>855</v>
      </c>
      <c r="N268" s="20" t="s">
        <v>1009</v>
      </c>
      <c r="O268" s="20" t="s">
        <v>1009</v>
      </c>
      <c r="P268" s="32" t="s">
        <v>850</v>
      </c>
      <c r="Q268" s="62" t="s">
        <v>40</v>
      </c>
      <c r="R268" s="2">
        <f t="shared" si="133"/>
        <v>799287.37</v>
      </c>
      <c r="S268" s="2">
        <v>644555.61</v>
      </c>
      <c r="T268" s="2">
        <v>154731.76</v>
      </c>
      <c r="U268" s="2">
        <f t="shared" si="139"/>
        <v>152428.06</v>
      </c>
      <c r="V268" s="2">
        <v>113745.12</v>
      </c>
      <c r="W268" s="2">
        <v>38682.94</v>
      </c>
      <c r="X268" s="2">
        <f t="shared" si="135"/>
        <v>0</v>
      </c>
      <c r="Y268" s="2"/>
      <c r="Z268" s="2"/>
      <c r="AA268" s="2">
        <f t="shared" si="136"/>
        <v>19422.77</v>
      </c>
      <c r="AB268" s="2">
        <v>15475.55</v>
      </c>
      <c r="AC268" s="2">
        <v>3947.22</v>
      </c>
      <c r="AD268" s="2">
        <f t="shared" si="137"/>
        <v>971138.2</v>
      </c>
      <c r="AE268" s="2">
        <v>0</v>
      </c>
      <c r="AF268" s="2">
        <f t="shared" si="138"/>
        <v>971138.2</v>
      </c>
      <c r="AG268" s="39" t="s">
        <v>41</v>
      </c>
      <c r="AH268" s="34" t="s">
        <v>1010</v>
      </c>
      <c r="AI268" s="35">
        <f>97000-12225.11+76329.94+54447.72+71579.61+92674.11+104473.49+126688.56+96579.85-13634.34-3831.78</f>
        <v>690082.05</v>
      </c>
      <c r="AJ268" s="36">
        <f>12225.11+10383.44+13650.58+17673.4+19923.6+24160.13+18418.25+13634.34+1533.19</f>
        <v>131602.04</v>
      </c>
      <c r="AK268" s="28">
        <f t="shared" si="140"/>
        <v>109205.31999999995</v>
      </c>
      <c r="AL268" s="28">
        <f t="shared" si="141"/>
        <v>20826.01999999999</v>
      </c>
      <c r="AM268" s="29">
        <f t="shared" si="142"/>
        <v>0.86337164316758819</v>
      </c>
    </row>
    <row r="269" spans="1:39" ht="192" customHeight="1" x14ac:dyDescent="0.25">
      <c r="A269" s="10">
        <v>266</v>
      </c>
      <c r="B269" s="37">
        <v>111983</v>
      </c>
      <c r="C269" s="20">
        <v>238</v>
      </c>
      <c r="D269" s="20" t="s">
        <v>254</v>
      </c>
      <c r="E269" s="14" t="s">
        <v>1005</v>
      </c>
      <c r="F269" s="63" t="s">
        <v>1011</v>
      </c>
      <c r="G269" s="15" t="s">
        <v>1012</v>
      </c>
      <c r="H269" s="20" t="s">
        <v>132</v>
      </c>
      <c r="I269" s="16" t="s">
        <v>1013</v>
      </c>
      <c r="J269" s="30">
        <v>43270</v>
      </c>
      <c r="K269" s="30">
        <v>43880</v>
      </c>
      <c r="L269" s="31">
        <f t="shared" si="132"/>
        <v>82.304184684756876</v>
      </c>
      <c r="M269" s="20" t="s">
        <v>855</v>
      </c>
      <c r="N269" s="20" t="s">
        <v>229</v>
      </c>
      <c r="O269" s="20" t="s">
        <v>229</v>
      </c>
      <c r="P269" s="32" t="s">
        <v>850</v>
      </c>
      <c r="Q269" s="20" t="s">
        <v>40</v>
      </c>
      <c r="R269" s="2">
        <f t="shared" si="133"/>
        <v>768299.49</v>
      </c>
      <c r="S269" s="2">
        <v>619566.6</v>
      </c>
      <c r="T269" s="2">
        <v>148732.89000000001</v>
      </c>
      <c r="U269" s="2">
        <f t="shared" si="139"/>
        <v>146518.51</v>
      </c>
      <c r="V269" s="2">
        <v>109335.29</v>
      </c>
      <c r="W269" s="2">
        <v>37183.22</v>
      </c>
      <c r="X269" s="2">
        <f t="shared" si="135"/>
        <v>0</v>
      </c>
      <c r="Y269" s="2"/>
      <c r="Z269" s="2"/>
      <c r="AA269" s="2">
        <f t="shared" si="136"/>
        <v>18669.759999999998</v>
      </c>
      <c r="AB269" s="2">
        <v>14875.55</v>
      </c>
      <c r="AC269" s="2">
        <v>3794.21</v>
      </c>
      <c r="AD269" s="2">
        <f t="shared" si="137"/>
        <v>933487.76</v>
      </c>
      <c r="AE269" s="2">
        <v>0</v>
      </c>
      <c r="AF269" s="2">
        <f t="shared" si="138"/>
        <v>933487.76</v>
      </c>
      <c r="AG269" s="39" t="s">
        <v>628</v>
      </c>
      <c r="AH269" s="34" t="s">
        <v>1014</v>
      </c>
      <c r="AI269" s="35">
        <f>412300.12+97046.16+93000+18147.29+37314.74</f>
        <v>657808.31000000006</v>
      </c>
      <c r="AJ269" s="36">
        <f>11017.56+15316.94+17051+17506.62+36242.76+21196.3+7116.12</f>
        <v>125447.3</v>
      </c>
      <c r="AK269" s="28">
        <f t="shared" si="140"/>
        <v>110491.17999999993</v>
      </c>
      <c r="AL269" s="28">
        <f t="shared" si="141"/>
        <v>21071.210000000006</v>
      </c>
      <c r="AM269" s="29">
        <f t="shared" si="142"/>
        <v>0.85618735735461715</v>
      </c>
    </row>
    <row r="270" spans="1:39" ht="192" customHeight="1" x14ac:dyDescent="0.25">
      <c r="A270" s="10">
        <v>267</v>
      </c>
      <c r="B270" s="37">
        <v>115784</v>
      </c>
      <c r="C270" s="20">
        <v>388</v>
      </c>
      <c r="D270" s="124" t="s">
        <v>254</v>
      </c>
      <c r="E270" s="14" t="s">
        <v>1015</v>
      </c>
      <c r="F270" s="63" t="s">
        <v>1016</v>
      </c>
      <c r="G270" s="32" t="s">
        <v>257</v>
      </c>
      <c r="H270" s="20" t="s">
        <v>46</v>
      </c>
      <c r="I270" s="112" t="s">
        <v>1017</v>
      </c>
      <c r="J270" s="30">
        <v>43297</v>
      </c>
      <c r="K270" s="30">
        <v>44271</v>
      </c>
      <c r="L270" s="31">
        <f t="shared" si="132"/>
        <v>83.98386251542432</v>
      </c>
      <c r="M270" s="20" t="s">
        <v>855</v>
      </c>
      <c r="N270" s="20" t="s">
        <v>228</v>
      </c>
      <c r="O270" s="20" t="s">
        <v>228</v>
      </c>
      <c r="P270" s="32" t="s">
        <v>260</v>
      </c>
      <c r="Q270" s="20" t="s">
        <v>40</v>
      </c>
      <c r="R270" s="2">
        <f t="shared" si="133"/>
        <v>2474673.0699999998</v>
      </c>
      <c r="S270" s="2">
        <v>1995608.24</v>
      </c>
      <c r="T270" s="2">
        <v>479064.83</v>
      </c>
      <c r="U270" s="2">
        <f t="shared" si="139"/>
        <v>0</v>
      </c>
      <c r="V270" s="2"/>
      <c r="W270" s="2"/>
      <c r="X270" s="2">
        <f t="shared" si="135"/>
        <v>471932.38</v>
      </c>
      <c r="Y270" s="2">
        <v>352166.15</v>
      </c>
      <c r="Z270" s="2">
        <v>119766.23</v>
      </c>
      <c r="AA270" s="2">
        <f t="shared" si="136"/>
        <v>0</v>
      </c>
      <c r="AB270" s="2">
        <v>0</v>
      </c>
      <c r="AC270" s="2">
        <v>0</v>
      </c>
      <c r="AD270" s="2">
        <f t="shared" si="137"/>
        <v>2946605.4499999997</v>
      </c>
      <c r="AE270" s="2">
        <v>0</v>
      </c>
      <c r="AF270" s="2">
        <f t="shared" si="138"/>
        <v>2946605.4499999997</v>
      </c>
      <c r="AG270" s="39" t="s">
        <v>69</v>
      </c>
      <c r="AH270" s="34" t="s">
        <v>132</v>
      </c>
      <c r="AI270" s="35">
        <f>215200.57+51505.91+106050.63</f>
        <v>372757.11</v>
      </c>
      <c r="AJ270" s="36">
        <v>0</v>
      </c>
      <c r="AK270" s="28">
        <f t="shared" si="140"/>
        <v>2101915.96</v>
      </c>
      <c r="AL270" s="28">
        <f t="shared" si="141"/>
        <v>0</v>
      </c>
      <c r="AM270" s="29">
        <f t="shared" si="142"/>
        <v>0.15062883033676849</v>
      </c>
    </row>
    <row r="271" spans="1:39" ht="192" customHeight="1" x14ac:dyDescent="0.25">
      <c r="A271" s="10">
        <v>268</v>
      </c>
      <c r="B271" s="37">
        <v>120082</v>
      </c>
      <c r="C271" s="20">
        <v>56</v>
      </c>
      <c r="D271" s="20" t="s">
        <v>861</v>
      </c>
      <c r="E271" s="14" t="s">
        <v>862</v>
      </c>
      <c r="F271" s="15" t="s">
        <v>1018</v>
      </c>
      <c r="G271" s="15" t="s">
        <v>1019</v>
      </c>
      <c r="H271" s="20" t="s">
        <v>1020</v>
      </c>
      <c r="I271" s="55" t="s">
        <v>1021</v>
      </c>
      <c r="J271" s="30">
        <v>43006</v>
      </c>
      <c r="K271" s="30">
        <v>44405</v>
      </c>
      <c r="L271" s="31">
        <f t="shared" si="132"/>
        <v>83.98386279749451</v>
      </c>
      <c r="M271" s="20" t="s">
        <v>259</v>
      </c>
      <c r="N271" s="20" t="s">
        <v>229</v>
      </c>
      <c r="O271" s="20" t="s">
        <v>229</v>
      </c>
      <c r="P271" s="32" t="s">
        <v>260</v>
      </c>
      <c r="Q271" s="20" t="s">
        <v>40</v>
      </c>
      <c r="R271" s="2">
        <f t="shared" si="133"/>
        <v>5145385.2700000005</v>
      </c>
      <c r="S271" s="2">
        <v>4149304.93</v>
      </c>
      <c r="T271" s="2">
        <v>996080.34</v>
      </c>
      <c r="U271" s="2">
        <f t="shared" si="139"/>
        <v>0</v>
      </c>
      <c r="V271" s="2">
        <v>0</v>
      </c>
      <c r="W271" s="2">
        <v>0</v>
      </c>
      <c r="X271" s="2">
        <f t="shared" si="135"/>
        <v>981250.37</v>
      </c>
      <c r="Y271" s="2">
        <v>732230.28</v>
      </c>
      <c r="Z271" s="2">
        <v>249020.09</v>
      </c>
      <c r="AA271" s="2">
        <f t="shared" si="136"/>
        <v>0</v>
      </c>
      <c r="AB271" s="2">
        <v>0</v>
      </c>
      <c r="AC271" s="2">
        <v>0</v>
      </c>
      <c r="AD271" s="2">
        <f t="shared" si="137"/>
        <v>6126635.6400000006</v>
      </c>
      <c r="AE271" s="2">
        <v>0</v>
      </c>
      <c r="AF271" s="2">
        <f t="shared" si="138"/>
        <v>6126635.6400000006</v>
      </c>
      <c r="AG271" s="39" t="s">
        <v>69</v>
      </c>
      <c r="AH271" s="25" t="s">
        <v>35</v>
      </c>
      <c r="AI271" s="35">
        <f>15818.36+6578.46+48495.02+338393.1</f>
        <v>409284.93999999994</v>
      </c>
      <c r="AJ271" s="36">
        <v>0</v>
      </c>
      <c r="AK271" s="28">
        <f t="shared" si="140"/>
        <v>4736100.33</v>
      </c>
      <c r="AL271" s="28">
        <f t="shared" si="141"/>
        <v>0</v>
      </c>
      <c r="AM271" s="29">
        <f t="shared" si="142"/>
        <v>7.9544080476601497E-2</v>
      </c>
    </row>
    <row r="272" spans="1:39" ht="192" customHeight="1" x14ac:dyDescent="0.25">
      <c r="A272" s="10">
        <v>269</v>
      </c>
      <c r="B272" s="37">
        <v>120126</v>
      </c>
      <c r="C272" s="20">
        <v>57</v>
      </c>
      <c r="D272" s="20" t="s">
        <v>861</v>
      </c>
      <c r="E272" s="14" t="s">
        <v>862</v>
      </c>
      <c r="F272" s="15" t="s">
        <v>1022</v>
      </c>
      <c r="G272" s="15" t="s">
        <v>916</v>
      </c>
      <c r="H272" s="20" t="s">
        <v>35</v>
      </c>
      <c r="I272" s="55" t="s">
        <v>1023</v>
      </c>
      <c r="J272" s="30">
        <v>43060</v>
      </c>
      <c r="K272" s="30">
        <v>44095</v>
      </c>
      <c r="L272" s="31">
        <f t="shared" si="132"/>
        <v>83.98386273060467</v>
      </c>
      <c r="M272" s="20" t="s">
        <v>259</v>
      </c>
      <c r="N272" s="20" t="s">
        <v>229</v>
      </c>
      <c r="O272" s="20" t="s">
        <v>229</v>
      </c>
      <c r="P272" s="32" t="s">
        <v>260</v>
      </c>
      <c r="Q272" s="20" t="s">
        <v>40</v>
      </c>
      <c r="R272" s="2">
        <f t="shared" si="133"/>
        <v>2709276.16</v>
      </c>
      <c r="S272" s="2">
        <v>2184795.1800000002</v>
      </c>
      <c r="T272" s="2">
        <v>524480.98</v>
      </c>
      <c r="U272" s="2">
        <f t="shared" si="139"/>
        <v>0</v>
      </c>
      <c r="V272" s="2">
        <v>0</v>
      </c>
      <c r="W272" s="2">
        <v>0</v>
      </c>
      <c r="X272" s="2">
        <f t="shared" si="135"/>
        <v>516672.34</v>
      </c>
      <c r="Y272" s="2">
        <v>385552.09</v>
      </c>
      <c r="Z272" s="2">
        <v>131120.25</v>
      </c>
      <c r="AA272" s="2">
        <f t="shared" si="136"/>
        <v>0</v>
      </c>
      <c r="AB272" s="2">
        <v>0</v>
      </c>
      <c r="AC272" s="2">
        <v>0</v>
      </c>
      <c r="AD272" s="2">
        <f t="shared" si="137"/>
        <v>3225948.5</v>
      </c>
      <c r="AE272" s="2">
        <v>0</v>
      </c>
      <c r="AF272" s="2">
        <f t="shared" si="138"/>
        <v>3225948.5</v>
      </c>
      <c r="AG272" s="39" t="s">
        <v>69</v>
      </c>
      <c r="AH272" s="41" t="s">
        <v>1024</v>
      </c>
      <c r="AI272" s="35">
        <v>159377.85</v>
      </c>
      <c r="AJ272" s="36">
        <v>0</v>
      </c>
      <c r="AK272" s="28">
        <f t="shared" si="140"/>
        <v>2549898.31</v>
      </c>
      <c r="AL272" s="28">
        <f t="shared" si="141"/>
        <v>0</v>
      </c>
      <c r="AM272" s="29">
        <f t="shared" si="142"/>
        <v>5.8826727357317463E-2</v>
      </c>
    </row>
    <row r="273" spans="1:39" ht="192" customHeight="1" x14ac:dyDescent="0.25">
      <c r="A273" s="10">
        <v>270</v>
      </c>
      <c r="B273" s="37">
        <v>116172</v>
      </c>
      <c r="C273" s="20">
        <v>391</v>
      </c>
      <c r="D273" s="20" t="s">
        <v>254</v>
      </c>
      <c r="E273" s="14" t="s">
        <v>1015</v>
      </c>
      <c r="F273" s="63" t="s">
        <v>1025</v>
      </c>
      <c r="G273" s="32" t="s">
        <v>833</v>
      </c>
      <c r="H273" s="32" t="s">
        <v>1026</v>
      </c>
      <c r="I273" s="16" t="s">
        <v>1027</v>
      </c>
      <c r="J273" s="30">
        <v>43230</v>
      </c>
      <c r="K273" s="30">
        <v>44387</v>
      </c>
      <c r="L273" s="31">
        <f t="shared" si="132"/>
        <v>83.983862781809307</v>
      </c>
      <c r="M273" s="20" t="s">
        <v>855</v>
      </c>
      <c r="N273" s="20" t="s">
        <v>856</v>
      </c>
      <c r="O273" s="20" t="s">
        <v>856</v>
      </c>
      <c r="P273" s="32" t="s">
        <v>260</v>
      </c>
      <c r="Q273" s="20" t="s">
        <v>40</v>
      </c>
      <c r="R273" s="2">
        <f t="shared" si="133"/>
        <v>6564977.1999999993</v>
      </c>
      <c r="S273" s="2">
        <v>5294082.1399999997</v>
      </c>
      <c r="T273" s="2">
        <v>1270895.06</v>
      </c>
      <c r="U273" s="2">
        <f t="shared" si="139"/>
        <v>0</v>
      </c>
      <c r="V273" s="2">
        <v>0</v>
      </c>
      <c r="W273" s="2">
        <v>0</v>
      </c>
      <c r="X273" s="2">
        <f t="shared" si="135"/>
        <v>1251973.56</v>
      </c>
      <c r="Y273" s="2">
        <v>934249.79</v>
      </c>
      <c r="Z273" s="2">
        <v>317723.77</v>
      </c>
      <c r="AA273" s="2">
        <f t="shared" si="136"/>
        <v>0</v>
      </c>
      <c r="AB273" s="2">
        <v>0</v>
      </c>
      <c r="AC273" s="2">
        <v>0</v>
      </c>
      <c r="AD273" s="2">
        <f t="shared" si="137"/>
        <v>7816950.7599999998</v>
      </c>
      <c r="AE273" s="2">
        <v>0</v>
      </c>
      <c r="AF273" s="2">
        <f t="shared" si="138"/>
        <v>7816950.7599999998</v>
      </c>
      <c r="AG273" s="39" t="s">
        <v>69</v>
      </c>
      <c r="AH273" s="34" t="s">
        <v>1028</v>
      </c>
      <c r="AI273" s="35">
        <v>306350.64</v>
      </c>
      <c r="AJ273" s="36">
        <v>0</v>
      </c>
      <c r="AK273" s="28">
        <f t="shared" si="140"/>
        <v>6258626.5599999996</v>
      </c>
      <c r="AL273" s="28">
        <f t="shared" si="141"/>
        <v>0</v>
      </c>
      <c r="AM273" s="29">
        <f t="shared" si="142"/>
        <v>4.6664387501604732E-2</v>
      </c>
    </row>
    <row r="274" spans="1:39" ht="192" customHeight="1" x14ac:dyDescent="0.25">
      <c r="A274" s="10">
        <v>271</v>
      </c>
      <c r="B274" s="37">
        <v>118963</v>
      </c>
      <c r="C274" s="20">
        <v>34</v>
      </c>
      <c r="D274" s="20" t="s">
        <v>54</v>
      </c>
      <c r="E274" s="14" t="s">
        <v>1029</v>
      </c>
      <c r="F274" s="15" t="s">
        <v>1030</v>
      </c>
      <c r="G274" s="15" t="s">
        <v>952</v>
      </c>
      <c r="H274" s="20" t="s">
        <v>1031</v>
      </c>
      <c r="I274" s="55" t="s">
        <v>1032</v>
      </c>
      <c r="J274" s="30">
        <v>42629</v>
      </c>
      <c r="K274" s="30">
        <v>43540</v>
      </c>
      <c r="L274" s="31">
        <f t="shared" si="132"/>
        <v>83.983862803496507</v>
      </c>
      <c r="M274" s="20" t="s">
        <v>259</v>
      </c>
      <c r="N274" s="20" t="s">
        <v>229</v>
      </c>
      <c r="O274" s="20" t="s">
        <v>229</v>
      </c>
      <c r="P274" s="32" t="s">
        <v>260</v>
      </c>
      <c r="Q274" s="20" t="s">
        <v>40</v>
      </c>
      <c r="R274" s="2">
        <f t="shared" si="133"/>
        <v>4117071.25</v>
      </c>
      <c r="S274" s="2">
        <v>3320059.26</v>
      </c>
      <c r="T274" s="2">
        <v>797011.99</v>
      </c>
      <c r="U274" s="2">
        <f t="shared" si="139"/>
        <v>0</v>
      </c>
      <c r="V274" s="2">
        <v>0</v>
      </c>
      <c r="W274" s="2">
        <v>0</v>
      </c>
      <c r="X274" s="2">
        <f t="shared" si="135"/>
        <v>785145.81</v>
      </c>
      <c r="Y274" s="2">
        <v>585892.81000000006</v>
      </c>
      <c r="Z274" s="2">
        <v>199253</v>
      </c>
      <c r="AA274" s="2">
        <f t="shared" si="136"/>
        <v>0</v>
      </c>
      <c r="AB274" s="2">
        <v>0</v>
      </c>
      <c r="AC274" s="2">
        <v>0</v>
      </c>
      <c r="AD274" s="2">
        <f t="shared" si="137"/>
        <v>4902217.0600000005</v>
      </c>
      <c r="AE274" s="2">
        <v>0</v>
      </c>
      <c r="AF274" s="2">
        <f t="shared" si="138"/>
        <v>4902217.0600000005</v>
      </c>
      <c r="AG274" s="24" t="s">
        <v>41</v>
      </c>
      <c r="AH274" s="34" t="s">
        <v>1033</v>
      </c>
      <c r="AI274" s="35">
        <f>1460741.83+228438.52+391513.86+234930.38+421082.6+869050.66+18896.37</f>
        <v>3624654.22</v>
      </c>
      <c r="AJ274" s="36">
        <v>0</v>
      </c>
      <c r="AK274" s="28">
        <f t="shared" si="140"/>
        <v>492417.0299999998</v>
      </c>
      <c r="AL274" s="28">
        <f t="shared" si="141"/>
        <v>0</v>
      </c>
      <c r="AM274" s="29">
        <f t="shared" si="142"/>
        <v>0.88039628170146444</v>
      </c>
    </row>
    <row r="275" spans="1:39" ht="192" customHeight="1" x14ac:dyDescent="0.25">
      <c r="A275" s="10">
        <v>272</v>
      </c>
      <c r="B275" s="37">
        <v>118964</v>
      </c>
      <c r="C275" s="20">
        <v>35</v>
      </c>
      <c r="D275" s="20" t="s">
        <v>54</v>
      </c>
      <c r="E275" s="14" t="s">
        <v>1029</v>
      </c>
      <c r="F275" s="15" t="s">
        <v>1034</v>
      </c>
      <c r="G275" s="15" t="s">
        <v>952</v>
      </c>
      <c r="H275" s="20" t="s">
        <v>1035</v>
      </c>
      <c r="I275" s="55" t="s">
        <v>1036</v>
      </c>
      <c r="J275" s="30">
        <v>42670</v>
      </c>
      <c r="K275" s="30">
        <v>43796</v>
      </c>
      <c r="L275" s="31">
        <f t="shared" si="132"/>
        <v>83.983860041638508</v>
      </c>
      <c r="M275" s="20" t="s">
        <v>259</v>
      </c>
      <c r="N275" s="20" t="s">
        <v>229</v>
      </c>
      <c r="O275" s="20" t="s">
        <v>229</v>
      </c>
      <c r="P275" s="32" t="s">
        <v>260</v>
      </c>
      <c r="Q275" s="20" t="s">
        <v>40</v>
      </c>
      <c r="R275" s="2">
        <f t="shared" si="133"/>
        <v>1279634.26</v>
      </c>
      <c r="S275" s="2">
        <v>1031913.55</v>
      </c>
      <c r="T275" s="2">
        <v>247720.71</v>
      </c>
      <c r="U275" s="2">
        <f t="shared" si="139"/>
        <v>0</v>
      </c>
      <c r="V275" s="2">
        <v>0</v>
      </c>
      <c r="W275" s="2">
        <v>0</v>
      </c>
      <c r="X275" s="2">
        <f t="shared" si="135"/>
        <v>244032.62</v>
      </c>
      <c r="Y275" s="2">
        <v>182102.42</v>
      </c>
      <c r="Z275" s="2">
        <v>61930.2</v>
      </c>
      <c r="AA275" s="2">
        <f t="shared" si="136"/>
        <v>0</v>
      </c>
      <c r="AB275" s="2">
        <v>0</v>
      </c>
      <c r="AC275" s="2">
        <v>0</v>
      </c>
      <c r="AD275" s="2">
        <f t="shared" si="137"/>
        <v>1523666.88</v>
      </c>
      <c r="AE275" s="2">
        <v>0</v>
      </c>
      <c r="AF275" s="2">
        <f t="shared" si="138"/>
        <v>1523666.88</v>
      </c>
      <c r="AG275" s="24" t="s">
        <v>41</v>
      </c>
      <c r="AH275" s="34" t="s">
        <v>1037</v>
      </c>
      <c r="AI275" s="35">
        <f>122689.41+119337.51+49801.59+108022.55+173686.44+582492.4</f>
        <v>1156029.8999999999</v>
      </c>
      <c r="AJ275" s="36">
        <v>0</v>
      </c>
      <c r="AK275" s="28">
        <f t="shared" si="140"/>
        <v>123604.3600000001</v>
      </c>
      <c r="AL275" s="28">
        <f t="shared" si="141"/>
        <v>0</v>
      </c>
      <c r="AM275" s="29">
        <f t="shared" si="142"/>
        <v>0.90340649366483816</v>
      </c>
    </row>
    <row r="276" spans="1:39" ht="192" customHeight="1" x14ac:dyDescent="0.25">
      <c r="A276" s="10">
        <v>273</v>
      </c>
      <c r="B276" s="37">
        <v>119981</v>
      </c>
      <c r="C276" s="20">
        <v>36</v>
      </c>
      <c r="D276" s="20" t="s">
        <v>54</v>
      </c>
      <c r="E276" s="14" t="s">
        <v>1029</v>
      </c>
      <c r="F276" s="15" t="s">
        <v>1038</v>
      </c>
      <c r="G276" s="15" t="s">
        <v>948</v>
      </c>
      <c r="H276" s="20" t="s">
        <v>35</v>
      </c>
      <c r="I276" s="55" t="s">
        <v>1039</v>
      </c>
      <c r="J276" s="30">
        <v>42579</v>
      </c>
      <c r="K276" s="30">
        <v>43462</v>
      </c>
      <c r="L276" s="31">
        <f t="shared" si="132"/>
        <v>83.983863111728837</v>
      </c>
      <c r="M276" s="20" t="s">
        <v>259</v>
      </c>
      <c r="N276" s="20" t="s">
        <v>229</v>
      </c>
      <c r="O276" s="20" t="s">
        <v>229</v>
      </c>
      <c r="P276" s="32" t="s">
        <v>260</v>
      </c>
      <c r="Q276" s="20" t="s">
        <v>40</v>
      </c>
      <c r="R276" s="2">
        <f t="shared" si="133"/>
        <v>1627939.8599999999</v>
      </c>
      <c r="S276" s="2">
        <v>1312791.6599999999</v>
      </c>
      <c r="T276" s="2">
        <v>315148.2</v>
      </c>
      <c r="U276" s="2">
        <f t="shared" si="139"/>
        <v>0</v>
      </c>
      <c r="V276" s="2">
        <v>0</v>
      </c>
      <c r="W276" s="2">
        <v>0</v>
      </c>
      <c r="X276" s="2">
        <f t="shared" si="135"/>
        <v>310456.15999999997</v>
      </c>
      <c r="Y276" s="2">
        <v>231669.11</v>
      </c>
      <c r="Z276" s="2">
        <v>78787.05</v>
      </c>
      <c r="AA276" s="2">
        <f t="shared" si="136"/>
        <v>0</v>
      </c>
      <c r="AB276" s="2">
        <v>0</v>
      </c>
      <c r="AC276" s="2">
        <v>0</v>
      </c>
      <c r="AD276" s="2">
        <f t="shared" si="137"/>
        <v>1938396.0199999998</v>
      </c>
      <c r="AE276" s="2">
        <v>0</v>
      </c>
      <c r="AF276" s="2">
        <f t="shared" si="138"/>
        <v>1938396.0199999998</v>
      </c>
      <c r="AG276" s="24" t="s">
        <v>41</v>
      </c>
      <c r="AH276" s="34" t="s">
        <v>1040</v>
      </c>
      <c r="AI276" s="35">
        <f>559604.06+125761.16+33457.13+622518.23+7475.79+33855.21+3996.8</f>
        <v>1386668.3800000001</v>
      </c>
      <c r="AJ276" s="36">
        <v>0</v>
      </c>
      <c r="AK276" s="28">
        <f t="shared" si="140"/>
        <v>241271.47999999975</v>
      </c>
      <c r="AL276" s="28">
        <f t="shared" si="141"/>
        <v>0</v>
      </c>
      <c r="AM276" s="29">
        <f t="shared" si="142"/>
        <v>0.85179337030300384</v>
      </c>
    </row>
    <row r="277" spans="1:39" ht="192" customHeight="1" x14ac:dyDescent="0.25">
      <c r="A277" s="10">
        <v>274</v>
      </c>
      <c r="B277" s="37">
        <v>120414</v>
      </c>
      <c r="C277" s="20">
        <v>61</v>
      </c>
      <c r="D277" s="20" t="s">
        <v>933</v>
      </c>
      <c r="E277" s="14" t="s">
        <v>934</v>
      </c>
      <c r="F277" s="15" t="s">
        <v>1041</v>
      </c>
      <c r="G277" s="32" t="s">
        <v>853</v>
      </c>
      <c r="H277" s="20" t="s">
        <v>1042</v>
      </c>
      <c r="I277" s="55" t="s">
        <v>1043</v>
      </c>
      <c r="J277" s="30">
        <v>42893</v>
      </c>
      <c r="K277" s="30">
        <v>44050</v>
      </c>
      <c r="L277" s="31">
        <f t="shared" si="132"/>
        <v>83.395347070002629</v>
      </c>
      <c r="M277" s="20" t="s">
        <v>259</v>
      </c>
      <c r="N277" s="20" t="s">
        <v>229</v>
      </c>
      <c r="O277" s="20" t="s">
        <v>229</v>
      </c>
      <c r="P277" s="32" t="s">
        <v>260</v>
      </c>
      <c r="Q277" s="20" t="s">
        <v>40</v>
      </c>
      <c r="R277" s="2">
        <f t="shared" si="133"/>
        <v>9816719.1999999993</v>
      </c>
      <c r="S277" s="2">
        <v>7916328.7599999998</v>
      </c>
      <c r="T277" s="2">
        <v>1900390.44</v>
      </c>
      <c r="U277" s="2">
        <f t="shared" si="139"/>
        <v>647352.26</v>
      </c>
      <c r="V277" s="2">
        <v>483068.28</v>
      </c>
      <c r="W277" s="2">
        <v>164283.98000000001</v>
      </c>
      <c r="X277" s="2">
        <f t="shared" si="135"/>
        <v>1307231.79</v>
      </c>
      <c r="Y277" s="2">
        <v>979654.51000000013</v>
      </c>
      <c r="Z277" s="2">
        <v>327577.27999999997</v>
      </c>
      <c r="AA277" s="2">
        <f t="shared" si="136"/>
        <v>0</v>
      </c>
      <c r="AB277" s="2">
        <v>0</v>
      </c>
      <c r="AC277" s="2">
        <v>0</v>
      </c>
      <c r="AD277" s="2">
        <f t="shared" si="137"/>
        <v>11771303.25</v>
      </c>
      <c r="AE277" s="2">
        <v>0</v>
      </c>
      <c r="AF277" s="2">
        <f t="shared" si="138"/>
        <v>11771303.25</v>
      </c>
      <c r="AG277" s="39" t="s">
        <v>69</v>
      </c>
      <c r="AH277" s="34" t="s">
        <v>1044</v>
      </c>
      <c r="AI277" s="35">
        <v>2217957.44</v>
      </c>
      <c r="AJ277" s="36">
        <v>116391.22</v>
      </c>
      <c r="AK277" s="28">
        <f t="shared" si="140"/>
        <v>7598761.7599999998</v>
      </c>
      <c r="AL277" s="28">
        <f t="shared" si="141"/>
        <v>530961.04</v>
      </c>
      <c r="AM277" s="29">
        <f t="shared" si="142"/>
        <v>0.22593673047101115</v>
      </c>
    </row>
    <row r="278" spans="1:39" ht="192" customHeight="1" x14ac:dyDescent="0.25">
      <c r="A278" s="10">
        <v>275</v>
      </c>
      <c r="B278" s="37">
        <v>116103</v>
      </c>
      <c r="C278" s="20">
        <v>393</v>
      </c>
      <c r="D278" s="20" t="s">
        <v>254</v>
      </c>
      <c r="E278" s="14" t="s">
        <v>1015</v>
      </c>
      <c r="F278" s="32" t="s">
        <v>1045</v>
      </c>
      <c r="G278" s="15" t="s">
        <v>880</v>
      </c>
      <c r="H278" s="15" t="s">
        <v>1046</v>
      </c>
      <c r="I278" s="16" t="s">
        <v>1047</v>
      </c>
      <c r="J278" s="30">
        <v>43453</v>
      </c>
      <c r="K278" s="30">
        <v>44246</v>
      </c>
      <c r="L278" s="31">
        <f t="shared" si="132"/>
        <v>83.983862913229757</v>
      </c>
      <c r="M278" s="20" t="s">
        <v>855</v>
      </c>
      <c r="N278" s="20" t="s">
        <v>228</v>
      </c>
      <c r="O278" s="20" t="s">
        <v>228</v>
      </c>
      <c r="P278" s="32" t="s">
        <v>260</v>
      </c>
      <c r="Q278" s="20" t="s">
        <v>40</v>
      </c>
      <c r="R278" s="2">
        <f t="shared" si="133"/>
        <v>6662642.3300000001</v>
      </c>
      <c r="S278" s="2">
        <v>5372840.5599999996</v>
      </c>
      <c r="T278" s="2">
        <v>1289801.77</v>
      </c>
      <c r="U278" s="2">
        <f t="shared" si="139"/>
        <v>545363.38</v>
      </c>
      <c r="V278" s="2">
        <v>403028.12</v>
      </c>
      <c r="W278" s="2">
        <v>142335.26</v>
      </c>
      <c r="X278" s="2">
        <f t="shared" si="135"/>
        <v>725235.3899999999</v>
      </c>
      <c r="Y278" s="2">
        <v>545120.19999999995</v>
      </c>
      <c r="Z278" s="2">
        <v>180115.19</v>
      </c>
      <c r="AA278" s="2">
        <f t="shared" si="136"/>
        <v>0</v>
      </c>
      <c r="AB278" s="2">
        <v>0</v>
      </c>
      <c r="AC278" s="2">
        <v>0</v>
      </c>
      <c r="AD278" s="2">
        <f t="shared" si="137"/>
        <v>7933241.0999999996</v>
      </c>
      <c r="AE278" s="42">
        <v>0</v>
      </c>
      <c r="AF278" s="2">
        <f t="shared" si="138"/>
        <v>7933241.0999999996</v>
      </c>
      <c r="AG278" s="39" t="s">
        <v>69</v>
      </c>
      <c r="AH278" s="34"/>
      <c r="AI278" s="35">
        <f>389096.78-1942.82+576398.08+532462.27+389096.78</f>
        <v>1885111.09</v>
      </c>
      <c r="AJ278" s="36">
        <f>30580.48+37794.48+82045.63</f>
        <v>150420.59000000003</v>
      </c>
      <c r="AK278" s="28">
        <f t="shared" si="140"/>
        <v>4777531.24</v>
      </c>
      <c r="AL278" s="28">
        <f t="shared" si="141"/>
        <v>394942.79</v>
      </c>
      <c r="AM278" s="29">
        <f t="shared" si="142"/>
        <v>0.28293745883849658</v>
      </c>
    </row>
    <row r="279" spans="1:39" ht="192" customHeight="1" x14ac:dyDescent="0.25">
      <c r="A279" s="10">
        <v>276</v>
      </c>
      <c r="B279" s="37">
        <v>116097</v>
      </c>
      <c r="C279" s="20">
        <v>394</v>
      </c>
      <c r="D279" s="124" t="s">
        <v>254</v>
      </c>
      <c r="E279" s="14" t="s">
        <v>1015</v>
      </c>
      <c r="F279" s="112" t="s">
        <v>1048</v>
      </c>
      <c r="G279" s="32" t="s">
        <v>930</v>
      </c>
      <c r="H279" s="20" t="s">
        <v>1049</v>
      </c>
      <c r="I279" s="112" t="s">
        <v>1050</v>
      </c>
      <c r="J279" s="30">
        <v>43284</v>
      </c>
      <c r="K279" s="30">
        <v>44077</v>
      </c>
      <c r="L279" s="31">
        <f t="shared" si="132"/>
        <v>83.983862774791262</v>
      </c>
      <c r="M279" s="20" t="s">
        <v>855</v>
      </c>
      <c r="N279" s="20" t="s">
        <v>228</v>
      </c>
      <c r="O279" s="20" t="s">
        <v>228</v>
      </c>
      <c r="P279" s="32" t="s">
        <v>260</v>
      </c>
      <c r="Q279" s="20" t="s">
        <v>40</v>
      </c>
      <c r="R279" s="2">
        <f t="shared" si="133"/>
        <v>6396515.5899999999</v>
      </c>
      <c r="S279" s="2">
        <v>5158232.53</v>
      </c>
      <c r="T279" s="2">
        <v>1238283.06</v>
      </c>
      <c r="U279" s="2">
        <f t="shared" si="139"/>
        <v>472527.32999999996</v>
      </c>
      <c r="V279" s="2">
        <v>349201.67</v>
      </c>
      <c r="W279" s="2">
        <v>123325.66</v>
      </c>
      <c r="X279" s="2">
        <f t="shared" si="135"/>
        <v>747319.77</v>
      </c>
      <c r="Y279" s="2">
        <v>561074.66</v>
      </c>
      <c r="Z279" s="2">
        <v>186245.11</v>
      </c>
      <c r="AA279" s="2">
        <f t="shared" si="136"/>
        <v>0</v>
      </c>
      <c r="AB279" s="2">
        <v>0</v>
      </c>
      <c r="AC279" s="2">
        <v>0</v>
      </c>
      <c r="AD279" s="2">
        <f t="shared" si="137"/>
        <v>7616362.6899999995</v>
      </c>
      <c r="AE279" s="2">
        <v>0</v>
      </c>
      <c r="AF279" s="2">
        <f t="shared" si="138"/>
        <v>7616362.6899999995</v>
      </c>
      <c r="AG279" s="39" t="s">
        <v>69</v>
      </c>
      <c r="AH279" s="34" t="s">
        <v>35</v>
      </c>
      <c r="AI279" s="35">
        <f>253980+93643.83+161611.12+512990.05</f>
        <v>1022225</v>
      </c>
      <c r="AJ279" s="36">
        <f>4416.62+33006.45+50458.66</f>
        <v>87881.73000000001</v>
      </c>
      <c r="AK279" s="28">
        <f t="shared" si="140"/>
        <v>5374290.5899999999</v>
      </c>
      <c r="AL279" s="28">
        <f t="shared" si="141"/>
        <v>384645.6</v>
      </c>
      <c r="AM279" s="29">
        <f t="shared" si="142"/>
        <v>0.15980966287303303</v>
      </c>
    </row>
    <row r="280" spans="1:39" ht="192" customHeight="1" x14ac:dyDescent="0.25">
      <c r="A280" s="10">
        <v>277</v>
      </c>
      <c r="B280" s="37">
        <v>122485</v>
      </c>
      <c r="C280" s="20">
        <v>38</v>
      </c>
      <c r="D280" s="14" t="s">
        <v>1051</v>
      </c>
      <c r="E280" s="14" t="s">
        <v>1052</v>
      </c>
      <c r="F280" s="15" t="s">
        <v>1053</v>
      </c>
      <c r="G280" s="32" t="s">
        <v>853</v>
      </c>
      <c r="H280" s="20" t="s">
        <v>35</v>
      </c>
      <c r="I280" s="55" t="s">
        <v>1054</v>
      </c>
      <c r="J280" s="30">
        <v>42488</v>
      </c>
      <c r="K280" s="30">
        <v>45288</v>
      </c>
      <c r="L280" s="31">
        <f t="shared" si="132"/>
        <v>84.695097599999997</v>
      </c>
      <c r="M280" s="20" t="s">
        <v>259</v>
      </c>
      <c r="N280" s="20" t="s">
        <v>229</v>
      </c>
      <c r="O280" s="20" t="s">
        <v>229</v>
      </c>
      <c r="P280" s="32" t="s">
        <v>260</v>
      </c>
      <c r="Q280" s="20" t="s">
        <v>1055</v>
      </c>
      <c r="R280" s="2">
        <f t="shared" si="133"/>
        <v>16939019.52</v>
      </c>
      <c r="S280" s="2">
        <v>15963331.810000001</v>
      </c>
      <c r="T280" s="2">
        <v>975687.71</v>
      </c>
      <c r="U280" s="2">
        <f t="shared" si="139"/>
        <v>0</v>
      </c>
      <c r="V280" s="2">
        <v>0</v>
      </c>
      <c r="W280" s="2">
        <v>0</v>
      </c>
      <c r="X280" s="2">
        <f t="shared" si="135"/>
        <v>3060980.48</v>
      </c>
      <c r="Y280" s="2">
        <v>2817058.55</v>
      </c>
      <c r="Z280" s="2">
        <v>243921.93</v>
      </c>
      <c r="AA280" s="2">
        <f t="shared" si="136"/>
        <v>0</v>
      </c>
      <c r="AB280" s="2">
        <v>0</v>
      </c>
      <c r="AC280" s="2">
        <v>0</v>
      </c>
      <c r="AD280" s="2">
        <f t="shared" si="137"/>
        <v>20000000</v>
      </c>
      <c r="AE280" s="2">
        <v>200000</v>
      </c>
      <c r="AF280" s="2">
        <f t="shared" si="138"/>
        <v>20200000</v>
      </c>
      <c r="AG280" s="39" t="s">
        <v>69</v>
      </c>
      <c r="AH280" s="34" t="s">
        <v>1056</v>
      </c>
      <c r="AI280" s="105">
        <f>367086.52+3723.41+1413.34+18873.79+125767.27</f>
        <v>516864.33</v>
      </c>
      <c r="AJ280" s="125">
        <v>0</v>
      </c>
      <c r="AK280" s="28">
        <f t="shared" si="140"/>
        <v>16422155.189999999</v>
      </c>
      <c r="AL280" s="28">
        <f t="shared" si="141"/>
        <v>0</v>
      </c>
      <c r="AM280" s="29">
        <f t="shared" si="142"/>
        <v>3.0513237757931341E-2</v>
      </c>
    </row>
    <row r="281" spans="1:39" ht="192" customHeight="1" x14ac:dyDescent="0.25">
      <c r="A281" s="10">
        <v>278</v>
      </c>
      <c r="B281" s="37">
        <v>122484</v>
      </c>
      <c r="C281" s="20">
        <v>39</v>
      </c>
      <c r="D281" s="14" t="s">
        <v>1057</v>
      </c>
      <c r="E281" s="14" t="s">
        <v>1052</v>
      </c>
      <c r="F281" s="15" t="s">
        <v>1058</v>
      </c>
      <c r="G281" s="32" t="s">
        <v>853</v>
      </c>
      <c r="H281" s="20" t="s">
        <v>35</v>
      </c>
      <c r="I281" s="55" t="s">
        <v>1059</v>
      </c>
      <c r="J281" s="30">
        <v>42488</v>
      </c>
      <c r="K281" s="30">
        <v>45288</v>
      </c>
      <c r="L281" s="31">
        <f t="shared" si="132"/>
        <v>84.695097596566526</v>
      </c>
      <c r="M281" s="20" t="s">
        <v>259</v>
      </c>
      <c r="N281" s="20" t="s">
        <v>229</v>
      </c>
      <c r="O281" s="20" t="s">
        <v>229</v>
      </c>
      <c r="P281" s="32" t="s">
        <v>260</v>
      </c>
      <c r="Q281" s="20" t="s">
        <v>1060</v>
      </c>
      <c r="R281" s="2">
        <f t="shared" si="133"/>
        <v>59201873.219999999</v>
      </c>
      <c r="S281" s="2">
        <v>55791844.670000002</v>
      </c>
      <c r="T281" s="2">
        <v>3410028.55</v>
      </c>
      <c r="U281" s="2">
        <f t="shared" si="139"/>
        <v>0</v>
      </c>
      <c r="V281" s="2">
        <v>0</v>
      </c>
      <c r="W281" s="2">
        <v>0</v>
      </c>
      <c r="X281" s="2">
        <f t="shared" si="135"/>
        <v>10698126.780000001</v>
      </c>
      <c r="Y281" s="2">
        <v>9845619.6400000006</v>
      </c>
      <c r="Z281" s="2">
        <v>852507.14</v>
      </c>
      <c r="AA281" s="2">
        <f t="shared" si="136"/>
        <v>0</v>
      </c>
      <c r="AB281" s="2">
        <v>0</v>
      </c>
      <c r="AC281" s="2">
        <v>0</v>
      </c>
      <c r="AD281" s="2">
        <f t="shared" si="137"/>
        <v>69900000</v>
      </c>
      <c r="AE281" s="2">
        <v>600000</v>
      </c>
      <c r="AF281" s="2">
        <f t="shared" si="138"/>
        <v>70500000</v>
      </c>
      <c r="AG281" s="39" t="s">
        <v>69</v>
      </c>
      <c r="AH281" s="34" t="s">
        <v>1061</v>
      </c>
      <c r="AI281" s="35">
        <f>1614958.09+116790.02+175736.29+210865.38+813289.51+430129.67+188786.97+358624.07+959420.67</f>
        <v>4868600.67</v>
      </c>
      <c r="AJ281" s="36">
        <v>0</v>
      </c>
      <c r="AK281" s="28">
        <f t="shared" si="140"/>
        <v>54333272.549999997</v>
      </c>
      <c r="AL281" s="28">
        <f t="shared" si="141"/>
        <v>0</v>
      </c>
      <c r="AM281" s="29">
        <f t="shared" si="142"/>
        <v>8.2237274011715808E-2</v>
      </c>
    </row>
    <row r="282" spans="1:39" ht="192" customHeight="1" x14ac:dyDescent="0.25">
      <c r="A282" s="10">
        <v>279</v>
      </c>
      <c r="B282" s="37">
        <v>112483</v>
      </c>
      <c r="C282" s="20">
        <v>40</v>
      </c>
      <c r="D282" s="14" t="s">
        <v>1057</v>
      </c>
      <c r="E282" s="14" t="s">
        <v>1052</v>
      </c>
      <c r="F282" s="15" t="s">
        <v>1062</v>
      </c>
      <c r="G282" s="32" t="s">
        <v>853</v>
      </c>
      <c r="H282" s="20" t="s">
        <v>35</v>
      </c>
      <c r="I282" s="55" t="s">
        <v>1063</v>
      </c>
      <c r="J282" s="30">
        <v>42488</v>
      </c>
      <c r="K282" s="30">
        <v>44314</v>
      </c>
      <c r="L282" s="31">
        <f t="shared" si="132"/>
        <v>84.695097592232997</v>
      </c>
      <c r="M282" s="20" t="s">
        <v>259</v>
      </c>
      <c r="N282" s="20" t="s">
        <v>229</v>
      </c>
      <c r="O282" s="20" t="s">
        <v>229</v>
      </c>
      <c r="P282" s="32" t="s">
        <v>260</v>
      </c>
      <c r="Q282" s="20" t="s">
        <v>1064</v>
      </c>
      <c r="R282" s="2">
        <f t="shared" si="133"/>
        <v>87235950.519999996</v>
      </c>
      <c r="S282" s="2">
        <v>82211158.810000002</v>
      </c>
      <c r="T282" s="2">
        <v>5024791.71</v>
      </c>
      <c r="U282" s="2">
        <f t="shared" si="139"/>
        <v>0</v>
      </c>
      <c r="V282" s="2">
        <v>0</v>
      </c>
      <c r="W282" s="2">
        <v>0</v>
      </c>
      <c r="X282" s="2">
        <f t="shared" si="135"/>
        <v>15764049.48</v>
      </c>
      <c r="Y282" s="2">
        <v>14507851.550000001</v>
      </c>
      <c r="Z282" s="2">
        <v>1256197.93</v>
      </c>
      <c r="AA282" s="2">
        <f t="shared" si="136"/>
        <v>0</v>
      </c>
      <c r="AB282" s="2">
        <v>0</v>
      </c>
      <c r="AC282" s="2">
        <v>0</v>
      </c>
      <c r="AD282" s="2">
        <f t="shared" si="137"/>
        <v>103000000</v>
      </c>
      <c r="AE282" s="2">
        <v>1936000</v>
      </c>
      <c r="AF282" s="2">
        <f t="shared" si="138"/>
        <v>104936000</v>
      </c>
      <c r="AG282" s="39" t="s">
        <v>69</v>
      </c>
      <c r="AH282" s="34" t="s">
        <v>1065</v>
      </c>
      <c r="AI282" s="35">
        <f>18028067.88+2522724.79+2940219.11+5150825.51+1054081.31+2107332.6+2141049.72+3309298.32+2248406.68+2224614.98+1120536.47</f>
        <v>42847157.369999997</v>
      </c>
      <c r="AJ282" s="36">
        <v>0</v>
      </c>
      <c r="AK282" s="28">
        <f t="shared" si="140"/>
        <v>44388793.149999999</v>
      </c>
      <c r="AL282" s="28">
        <f t="shared" si="141"/>
        <v>0</v>
      </c>
      <c r="AM282" s="29">
        <f t="shared" si="142"/>
        <v>0.49116398817912482</v>
      </c>
    </row>
    <row r="283" spans="1:39" ht="192" customHeight="1" x14ac:dyDescent="0.25">
      <c r="A283" s="10">
        <v>280</v>
      </c>
      <c r="B283" s="37">
        <v>109937</v>
      </c>
      <c r="C283" s="20">
        <v>162</v>
      </c>
      <c r="D283" s="20" t="s">
        <v>254</v>
      </c>
      <c r="E283" s="14" t="s">
        <v>1005</v>
      </c>
      <c r="F283" s="15" t="s">
        <v>1066</v>
      </c>
      <c r="G283" s="15" t="s">
        <v>1067</v>
      </c>
      <c r="H283" s="20" t="s">
        <v>35</v>
      </c>
      <c r="I283" s="61" t="s">
        <v>1068</v>
      </c>
      <c r="J283" s="30">
        <v>43173</v>
      </c>
      <c r="K283" s="30">
        <v>43660</v>
      </c>
      <c r="L283" s="31">
        <f t="shared" si="132"/>
        <v>82.304184778160604</v>
      </c>
      <c r="M283" s="20" t="s">
        <v>855</v>
      </c>
      <c r="N283" s="20" t="s">
        <v>228</v>
      </c>
      <c r="O283" s="20" t="s">
        <v>1069</v>
      </c>
      <c r="P283" s="32" t="s">
        <v>850</v>
      </c>
      <c r="Q283" s="20" t="s">
        <v>40</v>
      </c>
      <c r="R283" s="2">
        <f t="shared" si="133"/>
        <v>762655.8600000001</v>
      </c>
      <c r="S283" s="2">
        <v>147617.44</v>
      </c>
      <c r="T283" s="2">
        <v>615038.42000000004</v>
      </c>
      <c r="U283" s="2">
        <f t="shared" si="139"/>
        <v>145442.25</v>
      </c>
      <c r="V283" s="2">
        <v>36906.06</v>
      </c>
      <c r="W283" s="2">
        <v>108536.19</v>
      </c>
      <c r="X283" s="2">
        <f t="shared" si="135"/>
        <v>0</v>
      </c>
      <c r="Y283" s="2"/>
      <c r="Z283" s="2"/>
      <c r="AA283" s="2">
        <f t="shared" si="136"/>
        <v>18532.61</v>
      </c>
      <c r="AB283" s="2">
        <v>3765.78</v>
      </c>
      <c r="AC283" s="2">
        <v>14766.83</v>
      </c>
      <c r="AD283" s="2">
        <f t="shared" si="137"/>
        <v>926630.72000000009</v>
      </c>
      <c r="AE283" s="2">
        <v>0</v>
      </c>
      <c r="AF283" s="2">
        <f t="shared" si="138"/>
        <v>926630.72000000009</v>
      </c>
      <c r="AG283" s="24" t="s">
        <v>41</v>
      </c>
      <c r="AH283" s="34"/>
      <c r="AI283" s="35">
        <f>340951.1+52774.1+61862.22+16616.16+1069.94+8813.14+48351.34+107449.24-8088.73+50503.68+13263.31-13913.75</f>
        <v>679651.75</v>
      </c>
      <c r="AJ283" s="36">
        <f>47349.74+21861.72+3168.79+9424.88+1680.7+20491.06+8088.73+2529.39+15017.84</f>
        <v>129612.84999999998</v>
      </c>
      <c r="AK283" s="28">
        <f t="shared" si="140"/>
        <v>83004.110000000102</v>
      </c>
      <c r="AL283" s="28">
        <f t="shared" si="141"/>
        <v>15829.400000000023</v>
      </c>
      <c r="AM283" s="29">
        <f t="shared" si="142"/>
        <v>0.89116439753049281</v>
      </c>
    </row>
    <row r="284" spans="1:39" ht="192" customHeight="1" x14ac:dyDescent="0.25">
      <c r="A284" s="10">
        <v>281</v>
      </c>
      <c r="B284" s="37">
        <v>112093</v>
      </c>
      <c r="C284" s="20">
        <v>344</v>
      </c>
      <c r="D284" s="20" t="s">
        <v>254</v>
      </c>
      <c r="E284" s="14" t="s">
        <v>1005</v>
      </c>
      <c r="F284" s="15" t="s">
        <v>1070</v>
      </c>
      <c r="G284" s="15" t="s">
        <v>1860</v>
      </c>
      <c r="H284" s="20" t="s">
        <v>46</v>
      </c>
      <c r="I284" s="16" t="s">
        <v>1071</v>
      </c>
      <c r="J284" s="30">
        <v>43188</v>
      </c>
      <c r="K284" s="30">
        <v>43553</v>
      </c>
      <c r="L284" s="31">
        <f t="shared" si="132"/>
        <v>82.304184346141142</v>
      </c>
      <c r="M284" s="20" t="s">
        <v>855</v>
      </c>
      <c r="N284" s="20" t="s">
        <v>856</v>
      </c>
      <c r="O284" s="20" t="s">
        <v>856</v>
      </c>
      <c r="P284" s="32" t="s">
        <v>850</v>
      </c>
      <c r="Q284" s="20" t="s">
        <v>40</v>
      </c>
      <c r="R284" s="2">
        <f t="shared" si="133"/>
        <v>624137.28</v>
      </c>
      <c r="S284" s="2">
        <v>503312.34</v>
      </c>
      <c r="T284" s="2">
        <v>120824.94</v>
      </c>
      <c r="U284" s="2">
        <f t="shared" si="139"/>
        <v>119026.06000000001</v>
      </c>
      <c r="V284" s="2">
        <v>88819.82</v>
      </c>
      <c r="W284" s="2">
        <v>30206.240000000002</v>
      </c>
      <c r="X284" s="2">
        <f t="shared" si="135"/>
        <v>0</v>
      </c>
      <c r="Y284" s="2"/>
      <c r="Z284" s="2"/>
      <c r="AA284" s="2">
        <f t="shared" si="136"/>
        <v>15166.61</v>
      </c>
      <c r="AB284" s="2">
        <v>12084.34</v>
      </c>
      <c r="AC284" s="2">
        <v>3082.27</v>
      </c>
      <c r="AD284" s="2">
        <f t="shared" si="137"/>
        <v>758329.95000000007</v>
      </c>
      <c r="AE284" s="2">
        <v>0</v>
      </c>
      <c r="AF284" s="2">
        <f t="shared" si="138"/>
        <v>758329.95000000007</v>
      </c>
      <c r="AG284" s="24" t="s">
        <v>41</v>
      </c>
      <c r="AH284" s="34" t="s">
        <v>173</v>
      </c>
      <c r="AI284" s="35">
        <f>281863.03+67706.32-7048.99+70335.64+92451.16+65330.18-30787.09</f>
        <v>539850.25000000012</v>
      </c>
      <c r="AJ284" s="36">
        <f>53450.47+7048.99+3931.35+17630.9+12458.8+8431.63</f>
        <v>102952.14</v>
      </c>
      <c r="AK284" s="28">
        <f t="shared" si="140"/>
        <v>84287.029999999912</v>
      </c>
      <c r="AL284" s="28">
        <f t="shared" si="141"/>
        <v>16073.920000000013</v>
      </c>
      <c r="AM284" s="29">
        <f t="shared" si="142"/>
        <v>0.86495434145513639</v>
      </c>
    </row>
    <row r="285" spans="1:39" ht="192" customHeight="1" x14ac:dyDescent="0.25">
      <c r="A285" s="10">
        <v>282</v>
      </c>
      <c r="B285" s="37">
        <v>110829</v>
      </c>
      <c r="C285" s="20">
        <v>345</v>
      </c>
      <c r="D285" s="20" t="s">
        <v>254</v>
      </c>
      <c r="E285" s="14" t="s">
        <v>1005</v>
      </c>
      <c r="F285" s="15" t="s">
        <v>1072</v>
      </c>
      <c r="G285" s="15" t="s">
        <v>1073</v>
      </c>
      <c r="H285" s="20" t="s">
        <v>35</v>
      </c>
      <c r="I285" s="16" t="s">
        <v>1074</v>
      </c>
      <c r="J285" s="30">
        <v>43188</v>
      </c>
      <c r="K285" s="30">
        <v>43737</v>
      </c>
      <c r="L285" s="31">
        <f t="shared" si="132"/>
        <v>82.304186026137842</v>
      </c>
      <c r="M285" s="20" t="s">
        <v>855</v>
      </c>
      <c r="N285" s="20" t="s">
        <v>856</v>
      </c>
      <c r="O285" s="20" t="s">
        <v>856</v>
      </c>
      <c r="P285" s="32" t="s">
        <v>850</v>
      </c>
      <c r="Q285" s="20" t="s">
        <v>40</v>
      </c>
      <c r="R285" s="2">
        <f t="shared" si="133"/>
        <v>757586.23</v>
      </c>
      <c r="S285" s="2">
        <v>610927.28</v>
      </c>
      <c r="T285" s="2">
        <v>146658.95000000001</v>
      </c>
      <c r="U285" s="2">
        <f t="shared" si="139"/>
        <v>144475.43</v>
      </c>
      <c r="V285" s="2">
        <v>107810.7</v>
      </c>
      <c r="W285" s="2">
        <v>36664.730000000003</v>
      </c>
      <c r="X285" s="2">
        <f t="shared" si="135"/>
        <v>0</v>
      </c>
      <c r="Y285" s="2"/>
      <c r="Z285" s="2"/>
      <c r="AA285" s="2">
        <f t="shared" si="136"/>
        <v>18409.420000000002</v>
      </c>
      <c r="AB285" s="2">
        <v>14668.12</v>
      </c>
      <c r="AC285" s="2">
        <v>3741.3</v>
      </c>
      <c r="AD285" s="2">
        <f t="shared" si="137"/>
        <v>920471.08</v>
      </c>
      <c r="AE285" s="2">
        <v>0</v>
      </c>
      <c r="AF285" s="2">
        <f t="shared" si="138"/>
        <v>920471.08</v>
      </c>
      <c r="AG285" s="24" t="s">
        <v>41</v>
      </c>
      <c r="AH285" s="34" t="s">
        <v>173</v>
      </c>
      <c r="AI285" s="35">
        <f>89285.71-11964.69+140134-555.33+108178.82+21252.58+36085.35+107586.93+34575.24+28193.27+63018.42+70571.37</f>
        <v>686361.67</v>
      </c>
      <c r="AJ285" s="36">
        <f>11964.69+11960.22+17298.63+11541.66+4052.98+14039.69+5043.38+6593.66+21646.1+12017.89+14733.7</f>
        <v>130892.6</v>
      </c>
      <c r="AK285" s="28">
        <f t="shared" si="140"/>
        <v>71224.559999999939</v>
      </c>
      <c r="AL285" s="28">
        <f t="shared" si="141"/>
        <v>13582.829999999987</v>
      </c>
      <c r="AM285" s="29">
        <f t="shared" si="142"/>
        <v>0.90598488042740699</v>
      </c>
    </row>
    <row r="286" spans="1:39" ht="192" customHeight="1" x14ac:dyDescent="0.25">
      <c r="A286" s="10">
        <v>283</v>
      </c>
      <c r="B286" s="37">
        <v>111077</v>
      </c>
      <c r="C286" s="20">
        <v>352</v>
      </c>
      <c r="D286" s="20" t="s">
        <v>254</v>
      </c>
      <c r="E286" s="14" t="s">
        <v>1005</v>
      </c>
      <c r="F286" s="15" t="s">
        <v>1075</v>
      </c>
      <c r="G286" s="15" t="s">
        <v>1076</v>
      </c>
      <c r="H286" s="20" t="s">
        <v>35</v>
      </c>
      <c r="I286" s="16" t="s">
        <v>1077</v>
      </c>
      <c r="J286" s="30">
        <v>43188</v>
      </c>
      <c r="K286" s="30">
        <v>43675</v>
      </c>
      <c r="L286" s="31">
        <f t="shared" si="132"/>
        <v>82.304186243592014</v>
      </c>
      <c r="M286" s="20" t="s">
        <v>855</v>
      </c>
      <c r="N286" s="20" t="s">
        <v>856</v>
      </c>
      <c r="O286" s="20" t="s">
        <v>856</v>
      </c>
      <c r="P286" s="32" t="s">
        <v>850</v>
      </c>
      <c r="Q286" s="20" t="s">
        <v>40</v>
      </c>
      <c r="R286" s="2">
        <f t="shared" si="133"/>
        <v>704316.51</v>
      </c>
      <c r="S286" s="2">
        <v>567969.9</v>
      </c>
      <c r="T286" s="2">
        <v>136346.60999999999</v>
      </c>
      <c r="U286" s="2">
        <f t="shared" si="139"/>
        <v>134316.63</v>
      </c>
      <c r="V286" s="33">
        <v>100229.98</v>
      </c>
      <c r="W286" s="33">
        <v>34086.65</v>
      </c>
      <c r="X286" s="2">
        <f t="shared" si="135"/>
        <v>0</v>
      </c>
      <c r="Y286" s="2"/>
      <c r="Z286" s="2"/>
      <c r="AA286" s="2">
        <f t="shared" si="136"/>
        <v>17114.96</v>
      </c>
      <c r="AB286" s="2">
        <v>13636.73</v>
      </c>
      <c r="AC286" s="2">
        <v>3478.23</v>
      </c>
      <c r="AD286" s="2">
        <f t="shared" si="137"/>
        <v>855748.1</v>
      </c>
      <c r="AE286" s="2"/>
      <c r="AF286" s="2">
        <f t="shared" si="138"/>
        <v>855748.1</v>
      </c>
      <c r="AG286" s="24" t="s">
        <v>41</v>
      </c>
      <c r="AH286" s="34" t="s">
        <v>173</v>
      </c>
      <c r="AI286" s="35">
        <f>85000+43282.16-11040.21+106472.55+153782.22-13315.84+83140.14+113279.69+50909.88+28913.1</f>
        <v>640423.68999999994</v>
      </c>
      <c r="AJ286" s="36">
        <f>8254.12+14104.5+20304.84+13117.11+13315.84+21603+25918.68+5513.87</f>
        <v>122131.95999999999</v>
      </c>
      <c r="AK286" s="28">
        <f t="shared" si="140"/>
        <v>63892.820000000065</v>
      </c>
      <c r="AL286" s="28">
        <f t="shared" si="141"/>
        <v>12184.670000000013</v>
      </c>
      <c r="AM286" s="29">
        <f t="shared" si="142"/>
        <v>0.90928393826803799</v>
      </c>
    </row>
    <row r="287" spans="1:39" ht="192" customHeight="1" x14ac:dyDescent="0.25">
      <c r="A287" s="10">
        <v>284</v>
      </c>
      <c r="B287" s="37">
        <v>111631</v>
      </c>
      <c r="C287" s="20">
        <v>170</v>
      </c>
      <c r="D287" s="20" t="s">
        <v>254</v>
      </c>
      <c r="E287" s="14" t="s">
        <v>1005</v>
      </c>
      <c r="F287" s="15" t="s">
        <v>1078</v>
      </c>
      <c r="G287" s="15" t="s">
        <v>1079</v>
      </c>
      <c r="H287" s="20" t="s">
        <v>1080</v>
      </c>
      <c r="I287" s="16" t="s">
        <v>1081</v>
      </c>
      <c r="J287" s="30">
        <v>43189</v>
      </c>
      <c r="K287" s="30">
        <v>43676</v>
      </c>
      <c r="L287" s="31">
        <f t="shared" si="132"/>
        <v>82.304185177297953</v>
      </c>
      <c r="M287" s="20" t="s">
        <v>855</v>
      </c>
      <c r="N287" s="20" t="s">
        <v>856</v>
      </c>
      <c r="O287" s="20" t="s">
        <v>856</v>
      </c>
      <c r="P287" s="32" t="s">
        <v>850</v>
      </c>
      <c r="Q287" s="20" t="s">
        <v>40</v>
      </c>
      <c r="R287" s="2">
        <f t="shared" si="133"/>
        <v>822209.74</v>
      </c>
      <c r="S287" s="2">
        <v>663040.52</v>
      </c>
      <c r="T287" s="2">
        <v>159169.22</v>
      </c>
      <c r="U287" s="2">
        <f t="shared" si="139"/>
        <v>156799.45000000001</v>
      </c>
      <c r="V287" s="2">
        <v>117007.15</v>
      </c>
      <c r="W287" s="2">
        <v>39792.300000000003</v>
      </c>
      <c r="X287" s="2">
        <f t="shared" si="135"/>
        <v>0</v>
      </c>
      <c r="Y287" s="2"/>
      <c r="Z287" s="2"/>
      <c r="AA287" s="2">
        <f t="shared" si="136"/>
        <v>19979.79</v>
      </c>
      <c r="AB287" s="2">
        <v>15919.35</v>
      </c>
      <c r="AC287" s="2">
        <v>4060.44</v>
      </c>
      <c r="AD287" s="2">
        <f t="shared" si="137"/>
        <v>998988.98</v>
      </c>
      <c r="AE287" s="2"/>
      <c r="AF287" s="2">
        <f t="shared" si="138"/>
        <v>998988.98</v>
      </c>
      <c r="AG287" s="24" t="s">
        <v>41</v>
      </c>
      <c r="AH287" s="34" t="s">
        <v>173</v>
      </c>
      <c r="AI287" s="35">
        <f>754429.65-15109.91</f>
        <v>739319.74</v>
      </c>
      <c r="AJ287" s="36">
        <f>3863.19+15778.83+29070.82+6799.58+5078.36+35041.94+6132.52+4911.69+2424.38+19247+12643.54</f>
        <v>140991.85</v>
      </c>
      <c r="AK287" s="28">
        <f t="shared" si="140"/>
        <v>82890</v>
      </c>
      <c r="AL287" s="28">
        <f t="shared" si="141"/>
        <v>15807.600000000006</v>
      </c>
      <c r="AM287" s="29">
        <f t="shared" si="142"/>
        <v>0.89918630737699601</v>
      </c>
    </row>
    <row r="288" spans="1:39" ht="192" customHeight="1" x14ac:dyDescent="0.25">
      <c r="A288" s="10">
        <v>285</v>
      </c>
      <c r="B288" s="37">
        <v>112405</v>
      </c>
      <c r="C288" s="20">
        <v>171</v>
      </c>
      <c r="D288" s="20" t="s">
        <v>254</v>
      </c>
      <c r="E288" s="14" t="s">
        <v>1005</v>
      </c>
      <c r="F288" s="15" t="s">
        <v>1082</v>
      </c>
      <c r="G288" s="15" t="s">
        <v>1083</v>
      </c>
      <c r="H288" s="20" t="s">
        <v>1084</v>
      </c>
      <c r="I288" s="16" t="s">
        <v>1085</v>
      </c>
      <c r="J288" s="30">
        <v>43186</v>
      </c>
      <c r="K288" s="30">
        <v>43673</v>
      </c>
      <c r="L288" s="31">
        <f t="shared" si="132"/>
        <v>82.304185365731513</v>
      </c>
      <c r="M288" s="20" t="s">
        <v>855</v>
      </c>
      <c r="N288" s="20" t="s">
        <v>856</v>
      </c>
      <c r="O288" s="20" t="s">
        <v>856</v>
      </c>
      <c r="P288" s="32" t="s">
        <v>850</v>
      </c>
      <c r="Q288" s="20" t="s">
        <v>40</v>
      </c>
      <c r="R288" s="2">
        <f t="shared" si="133"/>
        <v>723131.98</v>
      </c>
      <c r="S288" s="2">
        <v>583142.93999999994</v>
      </c>
      <c r="T288" s="2">
        <v>139989.04</v>
      </c>
      <c r="U288" s="2">
        <f t="shared" si="139"/>
        <v>137904.84</v>
      </c>
      <c r="V288" s="2">
        <v>102907.58</v>
      </c>
      <c r="W288" s="2">
        <v>34997.26</v>
      </c>
      <c r="X288" s="2">
        <f t="shared" si="135"/>
        <v>0</v>
      </c>
      <c r="Y288" s="2"/>
      <c r="Z288" s="2"/>
      <c r="AA288" s="2">
        <f t="shared" si="136"/>
        <v>17572.18</v>
      </c>
      <c r="AB288" s="2">
        <v>14001.03</v>
      </c>
      <c r="AC288" s="2">
        <v>3571.15</v>
      </c>
      <c r="AD288" s="2">
        <f t="shared" si="137"/>
        <v>878609</v>
      </c>
      <c r="AE288" s="2"/>
      <c r="AF288" s="2">
        <f t="shared" si="138"/>
        <v>878609</v>
      </c>
      <c r="AG288" s="24" t="s">
        <v>41</v>
      </c>
      <c r="AH288" s="34"/>
      <c r="AI288" s="35">
        <f>208329.69+72239-12893.42+110533+33743.88+27302.86+184981.92+10195.84+16264.07</f>
        <v>650696.84</v>
      </c>
      <c r="AJ288" s="36">
        <f>36750.34+12893.42+5726.93+6435.14+21177.89+19305.83+1944.4+19857.12</f>
        <v>124091.06999999999</v>
      </c>
      <c r="AK288" s="28">
        <f t="shared" si="140"/>
        <v>72435.140000000014</v>
      </c>
      <c r="AL288" s="28">
        <f t="shared" si="141"/>
        <v>13813.770000000004</v>
      </c>
      <c r="AM288" s="29">
        <f t="shared" si="142"/>
        <v>0.89983136964845611</v>
      </c>
    </row>
    <row r="289" spans="1:39" ht="192" customHeight="1" x14ac:dyDescent="0.25">
      <c r="A289" s="10">
        <v>286</v>
      </c>
      <c r="B289" s="37">
        <v>109810</v>
      </c>
      <c r="C289" s="20">
        <v>257</v>
      </c>
      <c r="D289" s="20" t="s">
        <v>254</v>
      </c>
      <c r="E289" s="14" t="s">
        <v>1005</v>
      </c>
      <c r="F289" s="15" t="s">
        <v>1086</v>
      </c>
      <c r="G289" s="15" t="s">
        <v>1087</v>
      </c>
      <c r="H289" s="20" t="s">
        <v>35</v>
      </c>
      <c r="I289" s="16" t="s">
        <v>1088</v>
      </c>
      <c r="J289" s="30">
        <v>43192</v>
      </c>
      <c r="K289" s="30">
        <v>43679</v>
      </c>
      <c r="L289" s="31">
        <f t="shared" ref="L289:L352" si="143">R289/AD289*100</f>
        <v>82.304188283311021</v>
      </c>
      <c r="M289" s="20" t="s">
        <v>855</v>
      </c>
      <c r="N289" s="20" t="s">
        <v>856</v>
      </c>
      <c r="O289" s="20" t="s">
        <v>856</v>
      </c>
      <c r="P289" s="32" t="s">
        <v>850</v>
      </c>
      <c r="Q289" s="20" t="s">
        <v>40</v>
      </c>
      <c r="R289" s="2">
        <f t="shared" ref="R289:R348" si="144">S289+T289</f>
        <v>821139.01</v>
      </c>
      <c r="S289" s="33">
        <v>662177.06999999995</v>
      </c>
      <c r="T289" s="33">
        <v>158961.94</v>
      </c>
      <c r="U289" s="2">
        <f t="shared" si="139"/>
        <v>156595.26</v>
      </c>
      <c r="V289" s="33">
        <v>116854.78</v>
      </c>
      <c r="W289" s="33">
        <v>39740.480000000003</v>
      </c>
      <c r="X289" s="2">
        <f t="shared" ref="X289:X328" si="145">Y289+Z289</f>
        <v>0</v>
      </c>
      <c r="Y289" s="2"/>
      <c r="Z289" s="2"/>
      <c r="AA289" s="2">
        <f t="shared" ref="AA289:AA352" si="146">AB289+AC289</f>
        <v>19953.73</v>
      </c>
      <c r="AB289" s="2">
        <v>15898.58</v>
      </c>
      <c r="AC289" s="2">
        <v>4055.15</v>
      </c>
      <c r="AD289" s="2">
        <f t="shared" ref="AD289:AD352" si="147">R289+U289+X289+AA289</f>
        <v>997688</v>
      </c>
      <c r="AE289" s="2"/>
      <c r="AF289" s="2">
        <f t="shared" ref="AF289:AF352" si="148">AD289+AE289</f>
        <v>997688</v>
      </c>
      <c r="AG289" s="24" t="s">
        <v>41</v>
      </c>
      <c r="AH289" s="34"/>
      <c r="AI289" s="35">
        <v>768017.32</v>
      </c>
      <c r="AJ289" s="36">
        <v>146464.70000000001</v>
      </c>
      <c r="AK289" s="28">
        <f t="shared" si="140"/>
        <v>53121.690000000061</v>
      </c>
      <c r="AL289" s="28">
        <f t="shared" si="141"/>
        <v>10130.559999999998</v>
      </c>
      <c r="AM289" s="29">
        <f t="shared" si="142"/>
        <v>0.93530731173032433</v>
      </c>
    </row>
    <row r="290" spans="1:39" ht="192" customHeight="1" x14ac:dyDescent="0.25">
      <c r="A290" s="10">
        <v>287</v>
      </c>
      <c r="B290" s="37">
        <v>112956</v>
      </c>
      <c r="C290" s="20">
        <v>273</v>
      </c>
      <c r="D290" s="20" t="s">
        <v>254</v>
      </c>
      <c r="E290" s="14" t="s">
        <v>1005</v>
      </c>
      <c r="F290" s="15" t="s">
        <v>1089</v>
      </c>
      <c r="G290" s="126" t="s">
        <v>1090</v>
      </c>
      <c r="H290" s="20" t="s">
        <v>1091</v>
      </c>
      <c r="I290" s="16" t="s">
        <v>1092</v>
      </c>
      <c r="J290" s="30">
        <v>43192</v>
      </c>
      <c r="K290" s="30">
        <v>43679</v>
      </c>
      <c r="L290" s="31">
        <f t="shared" si="143"/>
        <v>82.304175027233867</v>
      </c>
      <c r="M290" s="20" t="s">
        <v>855</v>
      </c>
      <c r="N290" s="20" t="s">
        <v>856</v>
      </c>
      <c r="O290" s="20" t="s">
        <v>856</v>
      </c>
      <c r="P290" s="32" t="s">
        <v>850</v>
      </c>
      <c r="Q290" s="20" t="s">
        <v>40</v>
      </c>
      <c r="R290" s="2">
        <f t="shared" si="144"/>
        <v>710350.38</v>
      </c>
      <c r="S290" s="2">
        <v>572835.76</v>
      </c>
      <c r="T290" s="2">
        <v>137514.62</v>
      </c>
      <c r="U290" s="2">
        <f t="shared" si="139"/>
        <v>135467.44</v>
      </c>
      <c r="V290" s="2">
        <v>101088.74</v>
      </c>
      <c r="W290" s="2">
        <v>34378.699999999997</v>
      </c>
      <c r="X290" s="2">
        <f t="shared" si="145"/>
        <v>0</v>
      </c>
      <c r="Y290" s="2">
        <v>0</v>
      </c>
      <c r="Z290" s="2">
        <v>0</v>
      </c>
      <c r="AA290" s="2">
        <f t="shared" si="146"/>
        <v>17261.579999999998</v>
      </c>
      <c r="AB290" s="2">
        <v>13753.55</v>
      </c>
      <c r="AC290" s="2">
        <v>3508.03</v>
      </c>
      <c r="AD290" s="2">
        <f t="shared" si="147"/>
        <v>863079.4</v>
      </c>
      <c r="AE290" s="2"/>
      <c r="AF290" s="2">
        <f t="shared" si="148"/>
        <v>863079.4</v>
      </c>
      <c r="AG290" s="24" t="s">
        <v>41</v>
      </c>
      <c r="AH290" s="34" t="s">
        <v>35</v>
      </c>
      <c r="AI290" s="35">
        <f>629253.72-17069.05</f>
        <v>612184.66999999993</v>
      </c>
      <c r="AJ290" s="36">
        <f>109991.49+6755.11</f>
        <v>116746.6</v>
      </c>
      <c r="AK290" s="28">
        <f t="shared" si="140"/>
        <v>98165.710000000079</v>
      </c>
      <c r="AL290" s="28">
        <f t="shared" si="141"/>
        <v>18720.839999999997</v>
      </c>
      <c r="AM290" s="29">
        <f t="shared" si="142"/>
        <v>0.8618066340726106</v>
      </c>
    </row>
    <row r="291" spans="1:39" ht="192" customHeight="1" x14ac:dyDescent="0.25">
      <c r="A291" s="10">
        <v>288</v>
      </c>
      <c r="B291" s="37">
        <v>112066</v>
      </c>
      <c r="C291" s="20">
        <v>262</v>
      </c>
      <c r="D291" s="20" t="s">
        <v>254</v>
      </c>
      <c r="E291" s="14" t="s">
        <v>1005</v>
      </c>
      <c r="F291" s="15" t="s">
        <v>1093</v>
      </c>
      <c r="G291" s="15" t="s">
        <v>1094</v>
      </c>
      <c r="H291" s="20" t="s">
        <v>1095</v>
      </c>
      <c r="I291" s="16" t="s">
        <v>1096</v>
      </c>
      <c r="J291" s="30">
        <v>43193</v>
      </c>
      <c r="K291" s="30">
        <v>43680</v>
      </c>
      <c r="L291" s="31">
        <f t="shared" si="143"/>
        <v>82.304184459884823</v>
      </c>
      <c r="M291" s="20" t="s">
        <v>855</v>
      </c>
      <c r="N291" s="20" t="s">
        <v>856</v>
      </c>
      <c r="O291" s="20" t="s">
        <v>856</v>
      </c>
      <c r="P291" s="32" t="s">
        <v>850</v>
      </c>
      <c r="Q291" s="20" t="s">
        <v>40</v>
      </c>
      <c r="R291" s="2">
        <f t="shared" si="144"/>
        <v>822673.27</v>
      </c>
      <c r="S291" s="2">
        <v>663414.31999999995</v>
      </c>
      <c r="T291" s="2">
        <v>159258.95000000001</v>
      </c>
      <c r="U291" s="2">
        <f t="shared" si="139"/>
        <v>156887.87</v>
      </c>
      <c r="V291" s="2">
        <v>117073.13</v>
      </c>
      <c r="W291" s="2">
        <v>39814.74</v>
      </c>
      <c r="X291" s="2">
        <f t="shared" si="145"/>
        <v>0</v>
      </c>
      <c r="Y291" s="2"/>
      <c r="Z291" s="2"/>
      <c r="AA291" s="2">
        <f t="shared" si="146"/>
        <v>19991.04</v>
      </c>
      <c r="AB291" s="2">
        <v>15928.31</v>
      </c>
      <c r="AC291" s="2">
        <v>4062.73</v>
      </c>
      <c r="AD291" s="2">
        <f t="shared" si="147"/>
        <v>999552.18</v>
      </c>
      <c r="AE291" s="2"/>
      <c r="AF291" s="2">
        <f t="shared" si="148"/>
        <v>999552.18</v>
      </c>
      <c r="AG291" s="24" t="s">
        <v>41</v>
      </c>
      <c r="AH291" s="34" t="s">
        <v>35</v>
      </c>
      <c r="AI291" s="35">
        <v>639101.23</v>
      </c>
      <c r="AJ291" s="36">
        <v>121879.75</v>
      </c>
      <c r="AK291" s="28">
        <f t="shared" si="140"/>
        <v>183572.04000000004</v>
      </c>
      <c r="AL291" s="28">
        <f t="shared" si="141"/>
        <v>35008.119999999995</v>
      </c>
      <c r="AM291" s="29">
        <f t="shared" si="142"/>
        <v>0.77685911686421993</v>
      </c>
    </row>
    <row r="292" spans="1:39" ht="192" customHeight="1" x14ac:dyDescent="0.25">
      <c r="A292" s="10">
        <v>289</v>
      </c>
      <c r="B292" s="37">
        <v>121460</v>
      </c>
      <c r="C292" s="20">
        <v>59</v>
      </c>
      <c r="D292" s="20" t="s">
        <v>254</v>
      </c>
      <c r="E292" s="14" t="s">
        <v>851</v>
      </c>
      <c r="F292" s="63" t="s">
        <v>1097</v>
      </c>
      <c r="G292" s="32" t="s">
        <v>853</v>
      </c>
      <c r="H292" s="20" t="s">
        <v>46</v>
      </c>
      <c r="I292" s="16" t="s">
        <v>1098</v>
      </c>
      <c r="J292" s="30">
        <v>43207</v>
      </c>
      <c r="K292" s="30">
        <v>44303</v>
      </c>
      <c r="L292" s="31">
        <f t="shared" si="143"/>
        <v>83.983862875663178</v>
      </c>
      <c r="M292" s="20" t="s">
        <v>855</v>
      </c>
      <c r="N292" s="20" t="s">
        <v>856</v>
      </c>
      <c r="O292" s="20" t="s">
        <v>856</v>
      </c>
      <c r="P292" s="32" t="s">
        <v>260</v>
      </c>
      <c r="Q292" s="20" t="s">
        <v>40</v>
      </c>
      <c r="R292" s="2">
        <f t="shared" si="144"/>
        <v>6972160.9399999995</v>
      </c>
      <c r="S292" s="2">
        <v>5622440.3499999996</v>
      </c>
      <c r="T292" s="2">
        <v>1349720.59</v>
      </c>
      <c r="U292" s="2">
        <f t="shared" si="139"/>
        <v>0</v>
      </c>
      <c r="V292" s="2">
        <v>0</v>
      </c>
      <c r="W292" s="2">
        <v>0</v>
      </c>
      <c r="X292" s="2">
        <f t="shared" si="145"/>
        <v>1329625.5</v>
      </c>
      <c r="Y292" s="33">
        <v>992195.35</v>
      </c>
      <c r="Z292" s="2">
        <v>337430.15</v>
      </c>
      <c r="AA292" s="2">
        <f t="shared" si="146"/>
        <v>0</v>
      </c>
      <c r="AB292" s="2">
        <v>0</v>
      </c>
      <c r="AC292" s="2">
        <v>0</v>
      </c>
      <c r="AD292" s="2">
        <f t="shared" si="147"/>
        <v>8301786.4399999995</v>
      </c>
      <c r="AE292" s="2">
        <v>0</v>
      </c>
      <c r="AF292" s="2">
        <f t="shared" si="148"/>
        <v>8301786.4399999995</v>
      </c>
      <c r="AG292" s="39" t="s">
        <v>69</v>
      </c>
      <c r="AH292" s="34" t="s">
        <v>1099</v>
      </c>
      <c r="AI292" s="35">
        <v>897869.37</v>
      </c>
      <c r="AJ292" s="36">
        <v>0</v>
      </c>
      <c r="AK292" s="28">
        <f t="shared" si="140"/>
        <v>6074291.5699999994</v>
      </c>
      <c r="AL292" s="28">
        <f t="shared" si="141"/>
        <v>0</v>
      </c>
      <c r="AM292" s="29">
        <f t="shared" si="142"/>
        <v>0.12877920887465918</v>
      </c>
    </row>
    <row r="293" spans="1:39" ht="192" customHeight="1" x14ac:dyDescent="0.25">
      <c r="A293" s="10">
        <v>290</v>
      </c>
      <c r="B293" s="37">
        <v>109749</v>
      </c>
      <c r="C293" s="20">
        <v>253</v>
      </c>
      <c r="D293" s="20" t="s">
        <v>254</v>
      </c>
      <c r="E293" s="14" t="s">
        <v>1005</v>
      </c>
      <c r="F293" s="63" t="s">
        <v>1100</v>
      </c>
      <c r="G293" s="127" t="s">
        <v>1101</v>
      </c>
      <c r="H293" s="20" t="s">
        <v>35</v>
      </c>
      <c r="I293" s="16" t="s">
        <v>1102</v>
      </c>
      <c r="J293" s="30">
        <v>43208</v>
      </c>
      <c r="K293" s="30">
        <v>43695</v>
      </c>
      <c r="L293" s="31">
        <f t="shared" si="143"/>
        <v>82.304185790916577</v>
      </c>
      <c r="M293" s="20" t="s">
        <v>855</v>
      </c>
      <c r="N293" s="20" t="s">
        <v>1103</v>
      </c>
      <c r="O293" s="20" t="s">
        <v>1103</v>
      </c>
      <c r="P293" s="32" t="s">
        <v>850</v>
      </c>
      <c r="Q293" s="20" t="s">
        <v>40</v>
      </c>
      <c r="R293" s="2">
        <f t="shared" si="144"/>
        <v>808649.72</v>
      </c>
      <c r="S293" s="33">
        <v>652105.54</v>
      </c>
      <c r="T293" s="33">
        <v>156544.18</v>
      </c>
      <c r="U293" s="2">
        <f t="shared" si="139"/>
        <v>154213.49</v>
      </c>
      <c r="V293" s="33">
        <v>115077.45</v>
      </c>
      <c r="W293" s="33">
        <v>39136.04</v>
      </c>
      <c r="X293" s="2">
        <f t="shared" si="145"/>
        <v>0</v>
      </c>
      <c r="Y293" s="2">
        <v>0</v>
      </c>
      <c r="Z293" s="2">
        <v>0</v>
      </c>
      <c r="AA293" s="2">
        <f t="shared" si="146"/>
        <v>19650.27</v>
      </c>
      <c r="AB293" s="2">
        <v>15656.8</v>
      </c>
      <c r="AC293" s="2">
        <v>3993.47</v>
      </c>
      <c r="AD293" s="2">
        <f t="shared" si="147"/>
        <v>982513.48</v>
      </c>
      <c r="AE293" s="2"/>
      <c r="AF293" s="2">
        <f t="shared" si="148"/>
        <v>982513.48</v>
      </c>
      <c r="AG293" s="24" t="s">
        <v>41</v>
      </c>
      <c r="AH293" s="34"/>
      <c r="AI293" s="35">
        <f>320855.76+13409.42+153292.16+833.72+98250+85029.68+131034.25-5408.6</f>
        <v>797296.39</v>
      </c>
      <c r="AJ293" s="36">
        <f>63706.03+10496.81+18895.75+16215.58+24988.88+17705.3</f>
        <v>152008.34999999998</v>
      </c>
      <c r="AK293" s="28">
        <f t="shared" si="140"/>
        <v>11353.329999999958</v>
      </c>
      <c r="AL293" s="28">
        <f t="shared" si="141"/>
        <v>2205.140000000014</v>
      </c>
      <c r="AM293" s="29">
        <f t="shared" si="142"/>
        <v>0.98596013858757048</v>
      </c>
    </row>
    <row r="294" spans="1:39" ht="192" customHeight="1" x14ac:dyDescent="0.25">
      <c r="A294" s="10">
        <v>291</v>
      </c>
      <c r="B294" s="37">
        <v>109967</v>
      </c>
      <c r="C294" s="20">
        <v>177</v>
      </c>
      <c r="D294" s="20" t="s">
        <v>254</v>
      </c>
      <c r="E294" s="14" t="s">
        <v>1005</v>
      </c>
      <c r="F294" s="63" t="s">
        <v>1104</v>
      </c>
      <c r="G294" s="15" t="s">
        <v>1105</v>
      </c>
      <c r="H294" s="20" t="s">
        <v>35</v>
      </c>
      <c r="I294" s="16" t="s">
        <v>1106</v>
      </c>
      <c r="J294" s="30">
        <v>43208</v>
      </c>
      <c r="K294" s="30">
        <v>43695</v>
      </c>
      <c r="L294" s="31">
        <f t="shared" si="143"/>
        <v>82.304184597190911</v>
      </c>
      <c r="M294" s="20" t="s">
        <v>855</v>
      </c>
      <c r="N294" s="20" t="s">
        <v>856</v>
      </c>
      <c r="O294" s="20" t="s">
        <v>856</v>
      </c>
      <c r="P294" s="32" t="s">
        <v>850</v>
      </c>
      <c r="Q294" s="20" t="s">
        <v>40</v>
      </c>
      <c r="R294" s="2">
        <f t="shared" si="144"/>
        <v>804452.45</v>
      </c>
      <c r="S294" s="2">
        <v>648720.82999999996</v>
      </c>
      <c r="T294" s="2">
        <v>155731.62</v>
      </c>
      <c r="U294" s="2">
        <f t="shared" si="139"/>
        <v>153413.06</v>
      </c>
      <c r="V294" s="2">
        <v>114480.15</v>
      </c>
      <c r="W294" s="2">
        <v>38932.910000000003</v>
      </c>
      <c r="X294" s="2">
        <f t="shared" si="145"/>
        <v>0</v>
      </c>
      <c r="Y294" s="128"/>
      <c r="Z294" s="128"/>
      <c r="AA294" s="2">
        <f t="shared" si="146"/>
        <v>19548.28</v>
      </c>
      <c r="AB294" s="2">
        <v>15575.51</v>
      </c>
      <c r="AC294" s="2">
        <v>3972.77</v>
      </c>
      <c r="AD294" s="2">
        <f t="shared" si="147"/>
        <v>977413.79</v>
      </c>
      <c r="AE294" s="2"/>
      <c r="AF294" s="2">
        <f t="shared" si="148"/>
        <v>977413.79</v>
      </c>
      <c r="AG294" s="24" t="s">
        <v>41</v>
      </c>
      <c r="AH294" s="34" t="s">
        <v>1107</v>
      </c>
      <c r="AI294" s="35">
        <f>312590.47-8868.28+88856.3+55475.75+73233.76+50351.94+43692.49-8964.67+55972.79-7971.42+22143.49</f>
        <v>676512.61999999988</v>
      </c>
      <c r="AJ294" s="36">
        <f>40972.78+16948.54+8885.07+13966.04+9602.34+8332.37+8964.67+7971.42+13371.02</f>
        <v>129014.24999999999</v>
      </c>
      <c r="AK294" s="28">
        <f t="shared" si="140"/>
        <v>127939.83000000007</v>
      </c>
      <c r="AL294" s="28">
        <f t="shared" si="141"/>
        <v>24398.810000000012</v>
      </c>
      <c r="AM294" s="29">
        <f t="shared" si="142"/>
        <v>0.84096035756992216</v>
      </c>
    </row>
    <row r="295" spans="1:39" ht="192" customHeight="1" x14ac:dyDescent="0.25">
      <c r="A295" s="10">
        <v>292</v>
      </c>
      <c r="B295" s="37">
        <v>112811</v>
      </c>
      <c r="C295" s="20">
        <v>196</v>
      </c>
      <c r="D295" s="20" t="s">
        <v>254</v>
      </c>
      <c r="E295" s="14" t="s">
        <v>1005</v>
      </c>
      <c r="F295" s="63" t="s">
        <v>1108</v>
      </c>
      <c r="G295" s="15" t="s">
        <v>1109</v>
      </c>
      <c r="H295" s="20" t="s">
        <v>35</v>
      </c>
      <c r="I295" s="16" t="s">
        <v>1110</v>
      </c>
      <c r="J295" s="30">
        <v>43208</v>
      </c>
      <c r="K295" s="30">
        <v>43573</v>
      </c>
      <c r="L295" s="31">
        <f t="shared" si="143"/>
        <v>82.304184666338784</v>
      </c>
      <c r="M295" s="20" t="s">
        <v>855</v>
      </c>
      <c r="N295" s="20" t="s">
        <v>856</v>
      </c>
      <c r="O295" s="20" t="s">
        <v>856</v>
      </c>
      <c r="P295" s="32" t="s">
        <v>850</v>
      </c>
      <c r="Q295" s="20" t="s">
        <v>40</v>
      </c>
      <c r="R295" s="2">
        <f t="shared" si="144"/>
        <v>760931.29</v>
      </c>
      <c r="S295" s="2">
        <v>613624.79</v>
      </c>
      <c r="T295" s="2">
        <v>147306.5</v>
      </c>
      <c r="U295" s="2">
        <f t="shared" si="139"/>
        <v>145113.35999999999</v>
      </c>
      <c r="V295" s="2">
        <v>108286.73</v>
      </c>
      <c r="W295" s="2">
        <v>36826.629999999997</v>
      </c>
      <c r="X295" s="2">
        <f t="shared" si="145"/>
        <v>0</v>
      </c>
      <c r="Y295" s="2">
        <v>0</v>
      </c>
      <c r="Z295" s="2">
        <v>0</v>
      </c>
      <c r="AA295" s="2">
        <f t="shared" si="146"/>
        <v>18490.71</v>
      </c>
      <c r="AB295" s="2">
        <v>14732.89</v>
      </c>
      <c r="AC295" s="2">
        <v>3757.82</v>
      </c>
      <c r="AD295" s="2">
        <f t="shared" si="147"/>
        <v>924535.36</v>
      </c>
      <c r="AE295" s="2"/>
      <c r="AF295" s="2">
        <f t="shared" si="148"/>
        <v>924535.36</v>
      </c>
      <c r="AG295" s="24" t="s">
        <v>41</v>
      </c>
      <c r="AH295" s="34"/>
      <c r="AI295" s="35">
        <f>91800+75057.16+74073.77+121742.1-7175.16+205568.39+83432.56-15293.57</f>
        <v>629205.25000000012</v>
      </c>
      <c r="AJ295" s="36">
        <f>14189.24+14126.23+23216.82+16262.9+21571.65+15911+14714.69</f>
        <v>119992.53</v>
      </c>
      <c r="AK295" s="28">
        <f t="shared" si="140"/>
        <v>131726.03999999992</v>
      </c>
      <c r="AL295" s="28">
        <f t="shared" si="141"/>
        <v>25120.829999999987</v>
      </c>
      <c r="AM295" s="29">
        <f t="shared" si="142"/>
        <v>0.82688839093474531</v>
      </c>
    </row>
    <row r="296" spans="1:39" ht="192" customHeight="1" x14ac:dyDescent="0.25">
      <c r="A296" s="10">
        <v>293</v>
      </c>
      <c r="B296" s="37">
        <v>112080</v>
      </c>
      <c r="C296" s="20">
        <v>354</v>
      </c>
      <c r="D296" s="20" t="s">
        <v>254</v>
      </c>
      <c r="E296" s="14" t="s">
        <v>1005</v>
      </c>
      <c r="F296" s="63" t="s">
        <v>1111</v>
      </c>
      <c r="G296" s="63" t="s">
        <v>1112</v>
      </c>
      <c r="H296" s="20" t="s">
        <v>35</v>
      </c>
      <c r="I296" s="16" t="s">
        <v>1113</v>
      </c>
      <c r="J296" s="30">
        <v>43214</v>
      </c>
      <c r="K296" s="30">
        <v>43793</v>
      </c>
      <c r="L296" s="31">
        <f t="shared" si="143"/>
        <v>82.304185109241828</v>
      </c>
      <c r="M296" s="20" t="s">
        <v>855</v>
      </c>
      <c r="N296" s="20" t="s">
        <v>856</v>
      </c>
      <c r="O296" s="20" t="s">
        <v>856</v>
      </c>
      <c r="P296" s="32" t="s">
        <v>850</v>
      </c>
      <c r="Q296" s="20" t="s">
        <v>40</v>
      </c>
      <c r="R296" s="2">
        <f t="shared" si="144"/>
        <v>570578.29</v>
      </c>
      <c r="S296" s="2">
        <v>460121.68</v>
      </c>
      <c r="T296" s="2">
        <v>110456.61</v>
      </c>
      <c r="U296" s="2">
        <f t="shared" si="139"/>
        <v>108812.1</v>
      </c>
      <c r="V296" s="2">
        <v>81197.94</v>
      </c>
      <c r="W296" s="2">
        <v>27614.16</v>
      </c>
      <c r="X296" s="2">
        <f t="shared" si="145"/>
        <v>0</v>
      </c>
      <c r="Y296" s="2">
        <v>0</v>
      </c>
      <c r="Z296" s="2">
        <v>0</v>
      </c>
      <c r="AA296" s="2">
        <f t="shared" si="146"/>
        <v>13865.11</v>
      </c>
      <c r="AB296" s="2">
        <v>11047.34</v>
      </c>
      <c r="AC296" s="2">
        <v>2817.77</v>
      </c>
      <c r="AD296" s="2">
        <f t="shared" si="147"/>
        <v>693255.5</v>
      </c>
      <c r="AE296" s="2">
        <v>0</v>
      </c>
      <c r="AF296" s="2">
        <f t="shared" si="148"/>
        <v>693255.5</v>
      </c>
      <c r="AG296" s="24" t="s">
        <v>41</v>
      </c>
      <c r="AH296" s="34" t="s">
        <v>1114</v>
      </c>
      <c r="AI296" s="35">
        <f>314971.26+69325.55+97282.65-5135.32</f>
        <v>476444.13999999996</v>
      </c>
      <c r="AJ296" s="36">
        <f>60066.57+25498.8+5294.87</f>
        <v>90860.239999999991</v>
      </c>
      <c r="AK296" s="28">
        <f t="shared" si="140"/>
        <v>94134.150000000081</v>
      </c>
      <c r="AL296" s="28">
        <f t="shared" si="141"/>
        <v>17951.860000000015</v>
      </c>
      <c r="AM296" s="29">
        <f t="shared" si="142"/>
        <v>0.83501974812255808</v>
      </c>
    </row>
    <row r="297" spans="1:39" ht="192" customHeight="1" x14ac:dyDescent="0.25">
      <c r="A297" s="10">
        <v>294</v>
      </c>
      <c r="B297" s="37">
        <v>111113</v>
      </c>
      <c r="C297" s="20">
        <v>252</v>
      </c>
      <c r="D297" s="20" t="s">
        <v>254</v>
      </c>
      <c r="E297" s="14" t="s">
        <v>1005</v>
      </c>
      <c r="F297" s="63" t="s">
        <v>1115</v>
      </c>
      <c r="G297" s="63" t="s">
        <v>1116</v>
      </c>
      <c r="H297" s="20" t="s">
        <v>1117</v>
      </c>
      <c r="I297" s="16" t="s">
        <v>1118</v>
      </c>
      <c r="J297" s="30">
        <v>43214</v>
      </c>
      <c r="K297" s="30">
        <v>43579</v>
      </c>
      <c r="L297" s="31">
        <f t="shared" si="143"/>
        <v>82.304185972255567</v>
      </c>
      <c r="M297" s="20" t="s">
        <v>855</v>
      </c>
      <c r="N297" s="20" t="s">
        <v>1119</v>
      </c>
      <c r="O297" s="20" t="s">
        <v>1120</v>
      </c>
      <c r="P297" s="32" t="s">
        <v>850</v>
      </c>
      <c r="Q297" s="20" t="s">
        <v>40</v>
      </c>
      <c r="R297" s="2">
        <f t="shared" si="144"/>
        <v>793396.18</v>
      </c>
      <c r="S297" s="2">
        <v>639804.9</v>
      </c>
      <c r="T297" s="2">
        <v>153591.28</v>
      </c>
      <c r="U297" s="2">
        <f t="shared" si="139"/>
        <v>151304.57</v>
      </c>
      <c r="V297" s="2">
        <v>112906.75</v>
      </c>
      <c r="W297" s="2">
        <v>38397.82</v>
      </c>
      <c r="X297" s="2">
        <f t="shared" si="145"/>
        <v>0</v>
      </c>
      <c r="Y297" s="2">
        <v>0</v>
      </c>
      <c r="Z297" s="2">
        <v>0</v>
      </c>
      <c r="AA297" s="2">
        <f t="shared" si="146"/>
        <v>19279.599999999999</v>
      </c>
      <c r="AB297" s="2">
        <v>15361.46</v>
      </c>
      <c r="AC297" s="2">
        <v>3918.14</v>
      </c>
      <c r="AD297" s="2">
        <f t="shared" si="147"/>
        <v>963980.35</v>
      </c>
      <c r="AE297" s="2">
        <v>0</v>
      </c>
      <c r="AF297" s="2">
        <f t="shared" si="148"/>
        <v>963980.35</v>
      </c>
      <c r="AG297" s="24" t="s">
        <v>41</v>
      </c>
      <c r="AH297" s="34" t="s">
        <v>35</v>
      </c>
      <c r="AI297" s="35">
        <f>360374.76+80428.02+85558.08+11319.22+96397+20389.47+84094.42</f>
        <v>738560.97</v>
      </c>
      <c r="AJ297" s="36">
        <f>36349.9+31943.22+13703.1+20542.02+22271.75+16037.23</f>
        <v>140847.22</v>
      </c>
      <c r="AK297" s="28">
        <f t="shared" si="140"/>
        <v>54835.210000000079</v>
      </c>
      <c r="AL297" s="28">
        <f t="shared" si="141"/>
        <v>10457.350000000006</v>
      </c>
      <c r="AM297" s="29">
        <f t="shared" si="142"/>
        <v>0.93088546254407212</v>
      </c>
    </row>
    <row r="298" spans="1:39" ht="192" customHeight="1" x14ac:dyDescent="0.25">
      <c r="A298" s="10">
        <v>295</v>
      </c>
      <c r="B298" s="37">
        <v>109880</v>
      </c>
      <c r="C298" s="20">
        <v>261</v>
      </c>
      <c r="D298" s="20" t="s">
        <v>254</v>
      </c>
      <c r="E298" s="14" t="s">
        <v>1005</v>
      </c>
      <c r="F298" s="63" t="s">
        <v>1121</v>
      </c>
      <c r="G298" s="14" t="s">
        <v>1122</v>
      </c>
      <c r="H298" s="32" t="s">
        <v>1123</v>
      </c>
      <c r="I298" s="16" t="s">
        <v>1124</v>
      </c>
      <c r="J298" s="30">
        <v>43214</v>
      </c>
      <c r="K298" s="30">
        <v>43640</v>
      </c>
      <c r="L298" s="31">
        <f t="shared" si="143"/>
        <v>82.304184374786118</v>
      </c>
      <c r="M298" s="20" t="s">
        <v>855</v>
      </c>
      <c r="N298" s="20" t="s">
        <v>397</v>
      </c>
      <c r="O298" s="20" t="s">
        <v>401</v>
      </c>
      <c r="P298" s="32" t="s">
        <v>850</v>
      </c>
      <c r="Q298" s="20" t="s">
        <v>40</v>
      </c>
      <c r="R298" s="2">
        <f t="shared" si="144"/>
        <v>782828.76</v>
      </c>
      <c r="S298" s="2">
        <v>631283.18999999994</v>
      </c>
      <c r="T298" s="2">
        <v>151545.57</v>
      </c>
      <c r="U298" s="2">
        <f t="shared" si="139"/>
        <v>149289.32</v>
      </c>
      <c r="V298" s="2">
        <v>111402.93</v>
      </c>
      <c r="W298" s="2">
        <v>37886.39</v>
      </c>
      <c r="X298" s="2">
        <f t="shared" si="145"/>
        <v>0</v>
      </c>
      <c r="Y298" s="2"/>
      <c r="Z298" s="2"/>
      <c r="AA298" s="2">
        <f t="shared" si="146"/>
        <v>19022.82</v>
      </c>
      <c r="AB298" s="2">
        <v>15156.86</v>
      </c>
      <c r="AC298" s="2">
        <v>3865.96</v>
      </c>
      <c r="AD298" s="2">
        <f t="shared" si="147"/>
        <v>951140.9</v>
      </c>
      <c r="AE298" s="2"/>
      <c r="AF298" s="2">
        <f t="shared" si="148"/>
        <v>951140.9</v>
      </c>
      <c r="AG298" s="24" t="s">
        <v>41</v>
      </c>
      <c r="AH298" s="34" t="s">
        <v>132</v>
      </c>
      <c r="AI298" s="35">
        <v>734392.74</v>
      </c>
      <c r="AJ298" s="36">
        <v>140052.42000000001</v>
      </c>
      <c r="AK298" s="28">
        <f t="shared" si="140"/>
        <v>48436.020000000019</v>
      </c>
      <c r="AL298" s="28">
        <f t="shared" si="141"/>
        <v>9236.8999999999942</v>
      </c>
      <c r="AM298" s="29">
        <f t="shared" si="142"/>
        <v>0.93812692829527622</v>
      </c>
    </row>
    <row r="299" spans="1:39" ht="192" customHeight="1" x14ac:dyDescent="0.25">
      <c r="A299" s="10">
        <v>296</v>
      </c>
      <c r="B299" s="37">
        <v>110309</v>
      </c>
      <c r="C299" s="20">
        <v>304</v>
      </c>
      <c r="D299" s="20" t="s">
        <v>254</v>
      </c>
      <c r="E299" s="14" t="s">
        <v>1005</v>
      </c>
      <c r="F299" s="15" t="s">
        <v>1125</v>
      </c>
      <c r="G299" s="15" t="s">
        <v>1126</v>
      </c>
      <c r="H299" s="20" t="s">
        <v>35</v>
      </c>
      <c r="I299" s="16" t="s">
        <v>1127</v>
      </c>
      <c r="J299" s="30">
        <v>43217</v>
      </c>
      <c r="K299" s="30">
        <v>43888</v>
      </c>
      <c r="L299" s="31">
        <f t="shared" si="143"/>
        <v>82.304189246721677</v>
      </c>
      <c r="M299" s="20" t="s">
        <v>855</v>
      </c>
      <c r="N299" s="20" t="s">
        <v>1128</v>
      </c>
      <c r="O299" s="20" t="s">
        <v>1128</v>
      </c>
      <c r="P299" s="32" t="s">
        <v>850</v>
      </c>
      <c r="Q299" s="20" t="s">
        <v>40</v>
      </c>
      <c r="R299" s="2">
        <f t="shared" si="144"/>
        <v>822248.62</v>
      </c>
      <c r="S299" s="2">
        <v>663071.87</v>
      </c>
      <c r="T299" s="2">
        <v>159176.75</v>
      </c>
      <c r="U299" s="2">
        <f t="shared" si="139"/>
        <v>156806.83000000002</v>
      </c>
      <c r="V299" s="2">
        <v>117012.66</v>
      </c>
      <c r="W299" s="2">
        <v>39794.17</v>
      </c>
      <c r="X299" s="2">
        <f t="shared" si="145"/>
        <v>0</v>
      </c>
      <c r="Y299" s="2">
        <v>0</v>
      </c>
      <c r="Z299" s="2">
        <v>0</v>
      </c>
      <c r="AA299" s="2">
        <f t="shared" si="146"/>
        <v>19980.72</v>
      </c>
      <c r="AB299" s="2">
        <v>15920.08</v>
      </c>
      <c r="AC299" s="2">
        <v>4060.64</v>
      </c>
      <c r="AD299" s="2">
        <f t="shared" si="147"/>
        <v>999036.16999999993</v>
      </c>
      <c r="AE299" s="2">
        <v>0</v>
      </c>
      <c r="AF299" s="2">
        <f t="shared" si="148"/>
        <v>999036.16999999993</v>
      </c>
      <c r="AG299" s="39" t="s">
        <v>628</v>
      </c>
      <c r="AH299" s="34" t="s">
        <v>1129</v>
      </c>
      <c r="AI299" s="35">
        <v>553062.27999999991</v>
      </c>
      <c r="AJ299" s="36">
        <v>105471.71999999999</v>
      </c>
      <c r="AK299" s="28">
        <f t="shared" si="140"/>
        <v>269186.34000000008</v>
      </c>
      <c r="AL299" s="28">
        <f t="shared" si="141"/>
        <v>51335.11000000003</v>
      </c>
      <c r="AM299" s="29">
        <f t="shared" si="142"/>
        <v>0.67262171872054943</v>
      </c>
    </row>
    <row r="300" spans="1:39" ht="192" customHeight="1" x14ac:dyDescent="0.25">
      <c r="A300" s="10">
        <v>297</v>
      </c>
      <c r="B300" s="37">
        <v>112122</v>
      </c>
      <c r="C300" s="20">
        <v>172</v>
      </c>
      <c r="D300" s="20" t="s">
        <v>254</v>
      </c>
      <c r="E300" s="14" t="s">
        <v>1005</v>
      </c>
      <c r="F300" s="81" t="s">
        <v>1130</v>
      </c>
      <c r="G300" s="15" t="s">
        <v>1131</v>
      </c>
      <c r="H300" s="20" t="s">
        <v>35</v>
      </c>
      <c r="I300" s="16" t="s">
        <v>1132</v>
      </c>
      <c r="J300" s="30">
        <v>43217</v>
      </c>
      <c r="K300" s="30">
        <v>43796</v>
      </c>
      <c r="L300" s="31">
        <f t="shared" si="143"/>
        <v>82.30418763248349</v>
      </c>
      <c r="M300" s="20" t="s">
        <v>855</v>
      </c>
      <c r="N300" s="20" t="s">
        <v>397</v>
      </c>
      <c r="O300" s="20" t="s">
        <v>401</v>
      </c>
      <c r="P300" s="32" t="s">
        <v>850</v>
      </c>
      <c r="Q300" s="20" t="s">
        <v>40</v>
      </c>
      <c r="R300" s="2">
        <f t="shared" si="144"/>
        <v>773010.27999999991</v>
      </c>
      <c r="S300" s="2">
        <v>623365.43999999994</v>
      </c>
      <c r="T300" s="2">
        <v>149644.84</v>
      </c>
      <c r="U300" s="2">
        <f t="shared" si="139"/>
        <v>147416.85999999999</v>
      </c>
      <c r="V300" s="2">
        <v>110005.65</v>
      </c>
      <c r="W300" s="2">
        <v>37411.21</v>
      </c>
      <c r="X300" s="2">
        <f t="shared" si="145"/>
        <v>0</v>
      </c>
      <c r="Y300" s="2">
        <v>0</v>
      </c>
      <c r="Z300" s="2">
        <v>0</v>
      </c>
      <c r="AA300" s="2">
        <f t="shared" si="146"/>
        <v>18784.22</v>
      </c>
      <c r="AB300" s="2">
        <v>14966.74</v>
      </c>
      <c r="AC300" s="2">
        <v>3817.48</v>
      </c>
      <c r="AD300" s="2">
        <f t="shared" si="147"/>
        <v>939211.35999999987</v>
      </c>
      <c r="AE300" s="2">
        <v>0</v>
      </c>
      <c r="AF300" s="2">
        <f t="shared" si="148"/>
        <v>939211.35999999987</v>
      </c>
      <c r="AG300" s="24" t="s">
        <v>41</v>
      </c>
      <c r="AH300" s="34" t="s">
        <v>1133</v>
      </c>
      <c r="AI300" s="35">
        <v>733967.87</v>
      </c>
      <c r="AJ300" s="36">
        <v>138744.60999999999</v>
      </c>
      <c r="AK300" s="28">
        <f t="shared" si="140"/>
        <v>39042.409999999916</v>
      </c>
      <c r="AL300" s="28">
        <f t="shared" si="141"/>
        <v>8672.25</v>
      </c>
      <c r="AM300" s="29">
        <f t="shared" si="142"/>
        <v>0.94949302614707798</v>
      </c>
    </row>
    <row r="301" spans="1:39" ht="192" customHeight="1" x14ac:dyDescent="0.25">
      <c r="A301" s="10">
        <v>298</v>
      </c>
      <c r="B301" s="37">
        <v>111683</v>
      </c>
      <c r="C301" s="20">
        <v>339</v>
      </c>
      <c r="D301" s="20" t="s">
        <v>254</v>
      </c>
      <c r="E301" s="14" t="s">
        <v>1005</v>
      </c>
      <c r="F301" s="15" t="s">
        <v>1134</v>
      </c>
      <c r="G301" s="15" t="s">
        <v>1135</v>
      </c>
      <c r="H301" s="20" t="s">
        <v>35</v>
      </c>
      <c r="I301" s="16" t="s">
        <v>1136</v>
      </c>
      <c r="J301" s="30">
        <v>43227</v>
      </c>
      <c r="K301" s="30">
        <v>43868</v>
      </c>
      <c r="L301" s="31">
        <f t="shared" si="143"/>
        <v>82.304181640652189</v>
      </c>
      <c r="M301" s="20" t="s">
        <v>855</v>
      </c>
      <c r="N301" s="20" t="s">
        <v>228</v>
      </c>
      <c r="O301" s="20" t="s">
        <v>228</v>
      </c>
      <c r="P301" s="32" t="s">
        <v>850</v>
      </c>
      <c r="Q301" s="20" t="s">
        <v>40</v>
      </c>
      <c r="R301" s="2">
        <f t="shared" si="144"/>
        <v>791387.4800000001</v>
      </c>
      <c r="S301" s="2">
        <v>638185.06000000006</v>
      </c>
      <c r="T301" s="7">
        <v>153202.42000000001</v>
      </c>
      <c r="U301" s="2">
        <f t="shared" si="139"/>
        <v>150921.54999999999</v>
      </c>
      <c r="V301" s="6">
        <v>112620.91</v>
      </c>
      <c r="W301" s="2">
        <v>38300.639999999999</v>
      </c>
      <c r="X301" s="2">
        <f t="shared" si="145"/>
        <v>0</v>
      </c>
      <c r="Y301" s="2">
        <v>0</v>
      </c>
      <c r="Z301" s="2">
        <v>0</v>
      </c>
      <c r="AA301" s="2">
        <f t="shared" si="146"/>
        <v>19230.79</v>
      </c>
      <c r="AB301" s="2">
        <v>15322.58</v>
      </c>
      <c r="AC301" s="2">
        <v>3908.21</v>
      </c>
      <c r="AD301" s="2">
        <f t="shared" si="147"/>
        <v>961539.82000000007</v>
      </c>
      <c r="AE301" s="2"/>
      <c r="AF301" s="2">
        <f t="shared" si="148"/>
        <v>961539.82000000007</v>
      </c>
      <c r="AG301" s="39" t="s">
        <v>628</v>
      </c>
      <c r="AH301" s="34" t="s">
        <v>1137</v>
      </c>
      <c r="AI301" s="35">
        <f>197162.71+172481.19+20945.29+96000+68397.19</f>
        <v>554986.38</v>
      </c>
      <c r="AJ301" s="36">
        <f>37599.88+14585.36+22302.07+31351.36</f>
        <v>105838.67</v>
      </c>
      <c r="AK301" s="28">
        <f t="shared" si="140"/>
        <v>236401.10000000009</v>
      </c>
      <c r="AL301" s="28">
        <f t="shared" si="141"/>
        <v>45082.87999999999</v>
      </c>
      <c r="AM301" s="29">
        <f t="shared" si="142"/>
        <v>0.70128273952476472</v>
      </c>
    </row>
    <row r="302" spans="1:39" ht="192" customHeight="1" x14ac:dyDescent="0.25">
      <c r="A302" s="10">
        <v>299</v>
      </c>
      <c r="B302" s="37">
        <v>112332</v>
      </c>
      <c r="C302" s="20">
        <v>351</v>
      </c>
      <c r="D302" s="20" t="s">
        <v>254</v>
      </c>
      <c r="E302" s="14" t="s">
        <v>1005</v>
      </c>
      <c r="F302" s="32" t="s">
        <v>1138</v>
      </c>
      <c r="G302" s="129" t="s">
        <v>1139</v>
      </c>
      <c r="H302" s="81" t="s">
        <v>1140</v>
      </c>
      <c r="I302" s="16" t="s">
        <v>1141</v>
      </c>
      <c r="J302" s="30">
        <v>43227</v>
      </c>
      <c r="K302" s="30">
        <v>43715</v>
      </c>
      <c r="L302" s="31">
        <f t="shared" si="143"/>
        <v>82.803274340618188</v>
      </c>
      <c r="M302" s="20" t="s">
        <v>855</v>
      </c>
      <c r="N302" s="20" t="s">
        <v>1142</v>
      </c>
      <c r="O302" s="20" t="s">
        <v>1143</v>
      </c>
      <c r="P302" s="32" t="s">
        <v>850</v>
      </c>
      <c r="Q302" s="20" t="s">
        <v>40</v>
      </c>
      <c r="R302" s="2">
        <f t="shared" si="144"/>
        <v>789905.57000000007</v>
      </c>
      <c r="S302" s="2">
        <v>636990.03</v>
      </c>
      <c r="T302" s="2">
        <v>152915.54</v>
      </c>
      <c r="U302" s="2">
        <f t="shared" si="139"/>
        <v>144969.85</v>
      </c>
      <c r="V302" s="2">
        <v>107893.05</v>
      </c>
      <c r="W302" s="2">
        <v>37076.800000000003</v>
      </c>
      <c r="X302" s="2">
        <f t="shared" si="145"/>
        <v>0</v>
      </c>
      <c r="Y302" s="2">
        <v>0</v>
      </c>
      <c r="Z302" s="2">
        <v>0</v>
      </c>
      <c r="AA302" s="2">
        <f t="shared" si="146"/>
        <v>19079.09</v>
      </c>
      <c r="AB302" s="2">
        <v>15201.71</v>
      </c>
      <c r="AC302" s="2">
        <v>3877.38</v>
      </c>
      <c r="AD302" s="2">
        <f t="shared" si="147"/>
        <v>953954.51</v>
      </c>
      <c r="AE302" s="2">
        <v>0</v>
      </c>
      <c r="AF302" s="2">
        <f t="shared" si="148"/>
        <v>953954.51</v>
      </c>
      <c r="AG302" s="24" t="s">
        <v>41</v>
      </c>
      <c r="AH302" s="34" t="s">
        <v>35</v>
      </c>
      <c r="AI302" s="35">
        <f>103189.19-10344.17+64585.92+101525.85+67050.25+55900.12+82485.04+159943.99</f>
        <v>624336.18999999994</v>
      </c>
      <c r="AJ302" s="36">
        <f>6891.88+10344.17+32148.26+10660.44+28517.1+27035.36</f>
        <v>115597.21</v>
      </c>
      <c r="AK302" s="28">
        <f t="shared" si="140"/>
        <v>165569.38000000012</v>
      </c>
      <c r="AL302" s="28">
        <f t="shared" si="141"/>
        <v>29372.639999999999</v>
      </c>
      <c r="AM302" s="29">
        <f t="shared" si="142"/>
        <v>0.79039345171347497</v>
      </c>
    </row>
    <row r="303" spans="1:39" ht="192" customHeight="1" x14ac:dyDescent="0.25">
      <c r="A303" s="10">
        <v>300</v>
      </c>
      <c r="B303" s="37">
        <v>115657</v>
      </c>
      <c r="C303" s="20">
        <v>390</v>
      </c>
      <c r="D303" s="20" t="s">
        <v>254</v>
      </c>
      <c r="E303" s="14" t="s">
        <v>1015</v>
      </c>
      <c r="F303" s="15" t="s">
        <v>1144</v>
      </c>
      <c r="G303" s="15" t="s">
        <v>885</v>
      </c>
      <c r="H303" s="20" t="s">
        <v>1145</v>
      </c>
      <c r="I303" s="16" t="s">
        <v>1146</v>
      </c>
      <c r="J303" s="30">
        <v>43223</v>
      </c>
      <c r="K303" s="30">
        <v>44015</v>
      </c>
      <c r="L303" s="31">
        <f t="shared" si="143"/>
        <v>83.983862800906138</v>
      </c>
      <c r="M303" s="20" t="s">
        <v>855</v>
      </c>
      <c r="N303" s="20" t="s">
        <v>856</v>
      </c>
      <c r="O303" s="20" t="s">
        <v>856</v>
      </c>
      <c r="P303" s="32" t="s">
        <v>260</v>
      </c>
      <c r="Q303" s="20" t="s">
        <v>40</v>
      </c>
      <c r="R303" s="2">
        <f t="shared" si="144"/>
        <v>5309367.55</v>
      </c>
      <c r="S303" s="2">
        <v>4281542.3499999996</v>
      </c>
      <c r="T303" s="2">
        <v>1027825.2</v>
      </c>
      <c r="U303" s="2">
        <f t="shared" si="139"/>
        <v>0</v>
      </c>
      <c r="V303" s="2">
        <v>0</v>
      </c>
      <c r="W303" s="2">
        <v>0</v>
      </c>
      <c r="X303" s="2">
        <f t="shared" si="145"/>
        <v>1012522.6000000001</v>
      </c>
      <c r="Y303" s="2">
        <v>755566.3</v>
      </c>
      <c r="Z303" s="2">
        <v>256956.3</v>
      </c>
      <c r="AA303" s="2">
        <f t="shared" si="146"/>
        <v>0</v>
      </c>
      <c r="AB303" s="2">
        <v>0</v>
      </c>
      <c r="AC303" s="2">
        <v>0</v>
      </c>
      <c r="AD303" s="2">
        <f t="shared" si="147"/>
        <v>6321890.1500000004</v>
      </c>
      <c r="AE303" s="2">
        <v>0</v>
      </c>
      <c r="AF303" s="2">
        <f t="shared" si="148"/>
        <v>6321890.1500000004</v>
      </c>
      <c r="AG303" s="39" t="s">
        <v>69</v>
      </c>
      <c r="AH303" s="34" t="s">
        <v>1147</v>
      </c>
      <c r="AI303" s="35">
        <f>1180382.36+873156.96+622255.36</f>
        <v>2675794.6800000002</v>
      </c>
      <c r="AJ303" s="36">
        <v>0</v>
      </c>
      <c r="AK303" s="28">
        <f t="shared" si="140"/>
        <v>2633572.8699999996</v>
      </c>
      <c r="AL303" s="28">
        <f t="shared" si="141"/>
        <v>0</v>
      </c>
      <c r="AM303" s="29">
        <f t="shared" si="142"/>
        <v>0.50397616190651562</v>
      </c>
    </row>
    <row r="304" spans="1:39" ht="192" customHeight="1" x14ac:dyDescent="0.25">
      <c r="A304" s="10">
        <v>301</v>
      </c>
      <c r="B304" s="37">
        <v>116294</v>
      </c>
      <c r="C304" s="20">
        <v>395</v>
      </c>
      <c r="D304" s="124" t="s">
        <v>254</v>
      </c>
      <c r="E304" s="14" t="s">
        <v>1015</v>
      </c>
      <c r="F304" s="15" t="s">
        <v>1148</v>
      </c>
      <c r="G304" s="32" t="s">
        <v>930</v>
      </c>
      <c r="H304" s="20" t="s">
        <v>1149</v>
      </c>
      <c r="I304" s="112" t="s">
        <v>1150</v>
      </c>
      <c r="J304" s="30">
        <v>43307</v>
      </c>
      <c r="K304" s="30">
        <v>44100</v>
      </c>
      <c r="L304" s="31">
        <f t="shared" si="143"/>
        <v>83.983862768208695</v>
      </c>
      <c r="M304" s="20" t="s">
        <v>855</v>
      </c>
      <c r="N304" s="20" t="s">
        <v>229</v>
      </c>
      <c r="O304" s="20" t="s">
        <v>229</v>
      </c>
      <c r="P304" s="32" t="s">
        <v>260</v>
      </c>
      <c r="Q304" s="20" t="s">
        <v>40</v>
      </c>
      <c r="R304" s="2">
        <f t="shared" si="144"/>
        <v>10337095.59</v>
      </c>
      <c r="S304" s="2">
        <v>8335966.9800000004</v>
      </c>
      <c r="T304" s="2">
        <v>2001128.61</v>
      </c>
      <c r="U304" s="2">
        <f t="shared" si="139"/>
        <v>861007.51</v>
      </c>
      <c r="V304" s="2">
        <v>636291.80000000005</v>
      </c>
      <c r="W304" s="2">
        <v>224715.71</v>
      </c>
      <c r="X304" s="2">
        <f t="shared" si="145"/>
        <v>1110327.6499999999</v>
      </c>
      <c r="Y304" s="2">
        <v>834761.2</v>
      </c>
      <c r="Z304" s="2">
        <v>275566.45</v>
      </c>
      <c r="AA304" s="2">
        <f t="shared" si="146"/>
        <v>0</v>
      </c>
      <c r="AB304" s="2">
        <v>0</v>
      </c>
      <c r="AC304" s="2">
        <v>0</v>
      </c>
      <c r="AD304" s="2">
        <f t="shared" si="147"/>
        <v>12308430.75</v>
      </c>
      <c r="AE304" s="2"/>
      <c r="AF304" s="2">
        <f t="shared" si="148"/>
        <v>12308430.75</v>
      </c>
      <c r="AG304" s="39" t="s">
        <v>69</v>
      </c>
      <c r="AH304" s="34"/>
      <c r="AI304" s="35">
        <f>567275.05+242142.38+389249.89</f>
        <v>1198667.32</v>
      </c>
      <c r="AJ304" s="36">
        <f>37941.44+64466.26+39373.95</f>
        <v>141781.65000000002</v>
      </c>
      <c r="AK304" s="28">
        <f t="shared" si="140"/>
        <v>9138428.2699999996</v>
      </c>
      <c r="AL304" s="28">
        <f t="shared" si="141"/>
        <v>719225.86</v>
      </c>
      <c r="AM304" s="29">
        <f t="shared" si="142"/>
        <v>0.11595784420911988</v>
      </c>
    </row>
    <row r="305" spans="1:39" ht="192" customHeight="1" x14ac:dyDescent="0.25">
      <c r="A305" s="10">
        <v>302</v>
      </c>
      <c r="B305" s="37">
        <v>115539</v>
      </c>
      <c r="C305" s="20">
        <v>396</v>
      </c>
      <c r="D305" s="20" t="s">
        <v>254</v>
      </c>
      <c r="E305" s="14" t="s">
        <v>1015</v>
      </c>
      <c r="F305" s="15" t="s">
        <v>1151</v>
      </c>
      <c r="G305" s="15" t="s">
        <v>1152</v>
      </c>
      <c r="H305" s="20" t="s">
        <v>1049</v>
      </c>
      <c r="I305" s="16" t="s">
        <v>1153</v>
      </c>
      <c r="J305" s="30">
        <v>43249</v>
      </c>
      <c r="K305" s="30">
        <v>44041</v>
      </c>
      <c r="L305" s="31">
        <f t="shared" si="143"/>
        <v>83.983861240799271</v>
      </c>
      <c r="M305" s="20" t="s">
        <v>855</v>
      </c>
      <c r="N305" s="20" t="s">
        <v>229</v>
      </c>
      <c r="O305" s="20" t="s">
        <v>229</v>
      </c>
      <c r="P305" s="32" t="s">
        <v>260</v>
      </c>
      <c r="Q305" s="20" t="s">
        <v>40</v>
      </c>
      <c r="R305" s="2">
        <f t="shared" si="144"/>
        <v>2264152.09</v>
      </c>
      <c r="S305" s="2">
        <v>1825841.4</v>
      </c>
      <c r="T305" s="2">
        <v>438310.69</v>
      </c>
      <c r="U305" s="2">
        <f t="shared" si="139"/>
        <v>159763.60999999999</v>
      </c>
      <c r="V305" s="2">
        <v>118066.66</v>
      </c>
      <c r="W305" s="2">
        <v>41696.949999999997</v>
      </c>
      <c r="X305" s="2">
        <f t="shared" si="145"/>
        <v>272021.42</v>
      </c>
      <c r="Y305" s="2">
        <v>204140.68</v>
      </c>
      <c r="Z305" s="2">
        <v>67880.740000000005</v>
      </c>
      <c r="AA305" s="2">
        <f t="shared" si="146"/>
        <v>0</v>
      </c>
      <c r="AB305" s="2">
        <v>0</v>
      </c>
      <c r="AC305" s="2">
        <v>0</v>
      </c>
      <c r="AD305" s="2">
        <f t="shared" si="147"/>
        <v>2695937.1199999996</v>
      </c>
      <c r="AE305" s="2">
        <v>0</v>
      </c>
      <c r="AF305" s="2">
        <f t="shared" si="148"/>
        <v>2695937.1199999996</v>
      </c>
      <c r="AG305" s="39" t="s">
        <v>69</v>
      </c>
      <c r="AH305" s="34"/>
      <c r="AI305" s="35">
        <f>331641.17-13183.87</f>
        <v>318457.3</v>
      </c>
      <c r="AJ305" s="36">
        <v>13183.87</v>
      </c>
      <c r="AK305" s="28">
        <f t="shared" si="140"/>
        <v>1945694.7899999998</v>
      </c>
      <c r="AL305" s="28">
        <f t="shared" si="141"/>
        <v>146579.74</v>
      </c>
      <c r="AM305" s="29">
        <f t="shared" si="142"/>
        <v>0.14065190293819882</v>
      </c>
    </row>
    <row r="306" spans="1:39" ht="192" customHeight="1" x14ac:dyDescent="0.25">
      <c r="A306" s="10">
        <v>303</v>
      </c>
      <c r="B306" s="37">
        <v>111701</v>
      </c>
      <c r="C306" s="20">
        <v>251</v>
      </c>
      <c r="D306" s="20" t="s">
        <v>254</v>
      </c>
      <c r="E306" s="14" t="s">
        <v>1005</v>
      </c>
      <c r="F306" s="32" t="s">
        <v>1154</v>
      </c>
      <c r="G306" s="130" t="s">
        <v>1155</v>
      </c>
      <c r="H306" s="130" t="s">
        <v>1156</v>
      </c>
      <c r="I306" s="131" t="s">
        <v>1157</v>
      </c>
      <c r="J306" s="30">
        <v>43231</v>
      </c>
      <c r="K306" s="30">
        <v>43780</v>
      </c>
      <c r="L306" s="31">
        <f t="shared" si="143"/>
        <v>82.304186092487143</v>
      </c>
      <c r="M306" s="20" t="s">
        <v>855</v>
      </c>
      <c r="N306" s="20" t="s">
        <v>198</v>
      </c>
      <c r="O306" s="20" t="s">
        <v>198</v>
      </c>
      <c r="P306" s="32" t="s">
        <v>850</v>
      </c>
      <c r="Q306" s="20" t="s">
        <v>40</v>
      </c>
      <c r="R306" s="2">
        <f t="shared" si="144"/>
        <v>643463.74</v>
      </c>
      <c r="S306" s="132">
        <v>518897.45</v>
      </c>
      <c r="T306" s="132">
        <v>124566.29</v>
      </c>
      <c r="U306" s="2">
        <f t="shared" ref="U306:U369" si="149">V306+W306</f>
        <v>122711.73</v>
      </c>
      <c r="V306" s="132">
        <v>91570.15</v>
      </c>
      <c r="W306" s="132">
        <v>31141.58</v>
      </c>
      <c r="X306" s="2">
        <f t="shared" si="145"/>
        <v>0</v>
      </c>
      <c r="Y306" s="2"/>
      <c r="Z306" s="2"/>
      <c r="AA306" s="2">
        <f t="shared" si="146"/>
        <v>15636.21</v>
      </c>
      <c r="AB306" s="132">
        <v>12458.49</v>
      </c>
      <c r="AC306" s="132">
        <v>3177.72</v>
      </c>
      <c r="AD306" s="2">
        <f t="shared" si="147"/>
        <v>781811.67999999993</v>
      </c>
      <c r="AE306" s="2">
        <v>4162.62</v>
      </c>
      <c r="AF306" s="2">
        <f t="shared" si="148"/>
        <v>785974.29999999993</v>
      </c>
      <c r="AG306" s="24" t="s">
        <v>41</v>
      </c>
      <c r="AH306" s="34" t="s">
        <v>1158</v>
      </c>
      <c r="AI306" s="35">
        <f>95051.96+39484.25+23955.55-8000+211432.19+107515.78+78081.24</f>
        <v>547520.97</v>
      </c>
      <c r="AJ306" s="36">
        <f>15075.6+9055.47+4568.44+40321.17+20503.81+14890.48</f>
        <v>104414.96999999999</v>
      </c>
      <c r="AK306" s="28">
        <f t="shared" si="140"/>
        <v>95942.770000000019</v>
      </c>
      <c r="AL306" s="28">
        <f t="shared" si="141"/>
        <v>18296.760000000009</v>
      </c>
      <c r="AM306" s="29">
        <f t="shared" si="142"/>
        <v>0.85089638461990103</v>
      </c>
    </row>
    <row r="307" spans="1:39" ht="192" customHeight="1" x14ac:dyDescent="0.25">
      <c r="A307" s="10">
        <v>304</v>
      </c>
      <c r="B307" s="37">
        <v>111284</v>
      </c>
      <c r="C307" s="20">
        <v>182</v>
      </c>
      <c r="D307" s="20" t="s">
        <v>254</v>
      </c>
      <c r="E307" s="14" t="s">
        <v>1005</v>
      </c>
      <c r="F307" s="32" t="s">
        <v>1159</v>
      </c>
      <c r="G307" s="20" t="s">
        <v>1160</v>
      </c>
      <c r="H307" s="81"/>
      <c r="I307" s="61" t="s">
        <v>1161</v>
      </c>
      <c r="J307" s="30">
        <v>43236</v>
      </c>
      <c r="K307" s="30">
        <v>43724</v>
      </c>
      <c r="L307" s="31">
        <f t="shared" si="143"/>
        <v>82.304186150868873</v>
      </c>
      <c r="M307" s="20" t="s">
        <v>855</v>
      </c>
      <c r="N307" s="20" t="s">
        <v>338</v>
      </c>
      <c r="O307" s="20" t="s">
        <v>1162</v>
      </c>
      <c r="P307" s="32" t="s">
        <v>850</v>
      </c>
      <c r="Q307" s="20" t="s">
        <v>40</v>
      </c>
      <c r="R307" s="2">
        <f t="shared" si="144"/>
        <v>820224.26</v>
      </c>
      <c r="S307" s="2">
        <v>661439.4</v>
      </c>
      <c r="T307" s="2">
        <v>158784.85999999999</v>
      </c>
      <c r="U307" s="2">
        <f t="shared" si="149"/>
        <v>156420.81</v>
      </c>
      <c r="V307" s="2">
        <v>116724.6</v>
      </c>
      <c r="W307" s="2">
        <v>39696.21</v>
      </c>
      <c r="X307" s="2">
        <f t="shared" si="145"/>
        <v>0</v>
      </c>
      <c r="Y307" s="2"/>
      <c r="Z307" s="2"/>
      <c r="AA307" s="2">
        <f t="shared" si="146"/>
        <v>19931.53</v>
      </c>
      <c r="AB307" s="2">
        <v>15880.9</v>
      </c>
      <c r="AC307" s="2">
        <v>4050.63</v>
      </c>
      <c r="AD307" s="2">
        <f t="shared" si="147"/>
        <v>996576.60000000009</v>
      </c>
      <c r="AE307" s="2"/>
      <c r="AF307" s="2">
        <f t="shared" si="148"/>
        <v>996576.60000000009</v>
      </c>
      <c r="AG307" s="24" t="s">
        <v>41</v>
      </c>
      <c r="AH307" s="34" t="s">
        <v>35</v>
      </c>
      <c r="AI307" s="35">
        <f>589154.54+143024.16</f>
        <v>732178.70000000007</v>
      </c>
      <c r="AJ307" s="36">
        <f>93665.6+45964.48</f>
        <v>139630.08000000002</v>
      </c>
      <c r="AK307" s="28">
        <f t="shared" si="140"/>
        <v>88045.559999999939</v>
      </c>
      <c r="AL307" s="28">
        <f t="shared" si="141"/>
        <v>16790.729999999981</v>
      </c>
      <c r="AM307" s="29">
        <f t="shared" si="142"/>
        <v>0.89265672293087261</v>
      </c>
    </row>
    <row r="308" spans="1:39" ht="192" customHeight="1" x14ac:dyDescent="0.25">
      <c r="A308" s="10">
        <v>305</v>
      </c>
      <c r="B308" s="37">
        <v>116994</v>
      </c>
      <c r="C308" s="20">
        <v>399</v>
      </c>
      <c r="D308" s="20" t="s">
        <v>254</v>
      </c>
      <c r="E308" s="14" t="s">
        <v>1015</v>
      </c>
      <c r="F308" s="32" t="s">
        <v>1163</v>
      </c>
      <c r="G308" s="15" t="s">
        <v>952</v>
      </c>
      <c r="H308" s="32" t="s">
        <v>46</v>
      </c>
      <c r="I308" s="61" t="s">
        <v>1164</v>
      </c>
      <c r="J308" s="30">
        <v>43236</v>
      </c>
      <c r="K308" s="30">
        <v>44028</v>
      </c>
      <c r="L308" s="31">
        <f t="shared" si="143"/>
        <v>83.983862868396045</v>
      </c>
      <c r="M308" s="20" t="s">
        <v>855</v>
      </c>
      <c r="N308" s="20" t="s">
        <v>229</v>
      </c>
      <c r="O308" s="20" t="s">
        <v>229</v>
      </c>
      <c r="P308" s="32" t="s">
        <v>260</v>
      </c>
      <c r="Q308" s="20" t="s">
        <v>40</v>
      </c>
      <c r="R308" s="2">
        <f t="shared" si="144"/>
        <v>6570135.6299999999</v>
      </c>
      <c r="S308" s="2">
        <v>5298241.96</v>
      </c>
      <c r="T308" s="2">
        <v>1271893.67</v>
      </c>
      <c r="U308" s="2">
        <f t="shared" si="149"/>
        <v>0</v>
      </c>
      <c r="V308" s="2">
        <v>0</v>
      </c>
      <c r="W308" s="2">
        <v>0</v>
      </c>
      <c r="X308" s="2">
        <f t="shared" si="145"/>
        <v>1252957.29</v>
      </c>
      <c r="Y308" s="2">
        <v>934983.88</v>
      </c>
      <c r="Z308" s="2">
        <v>317973.40999999997</v>
      </c>
      <c r="AA308" s="2">
        <f t="shared" si="146"/>
        <v>0</v>
      </c>
      <c r="AB308" s="2">
        <v>0</v>
      </c>
      <c r="AC308" s="2">
        <v>0</v>
      </c>
      <c r="AD308" s="2">
        <f t="shared" si="147"/>
        <v>7823092.9199999999</v>
      </c>
      <c r="AE308" s="2">
        <v>0</v>
      </c>
      <c r="AF308" s="2">
        <f t="shared" si="148"/>
        <v>7823092.9199999999</v>
      </c>
      <c r="AG308" s="39" t="s">
        <v>69</v>
      </c>
      <c r="AH308" s="34"/>
      <c r="AI308" s="35">
        <f>4248.74+31166.22+89220.52+57381.15+77993.31+62439.49+102447.37</f>
        <v>424896.8</v>
      </c>
      <c r="AJ308" s="36">
        <v>0</v>
      </c>
      <c r="AK308" s="28">
        <f t="shared" si="140"/>
        <v>6145238.8300000001</v>
      </c>
      <c r="AL308" s="28">
        <f t="shared" si="141"/>
        <v>0</v>
      </c>
      <c r="AM308" s="29">
        <f t="shared" si="142"/>
        <v>6.4670932828216204E-2</v>
      </c>
    </row>
    <row r="309" spans="1:39" ht="192" customHeight="1" x14ac:dyDescent="0.25">
      <c r="A309" s="10">
        <v>306</v>
      </c>
      <c r="B309" s="37">
        <v>112921</v>
      </c>
      <c r="C309" s="20">
        <v>288</v>
      </c>
      <c r="D309" s="20" t="s">
        <v>254</v>
      </c>
      <c r="E309" s="14" t="s">
        <v>1005</v>
      </c>
      <c r="F309" s="63" t="s">
        <v>1165</v>
      </c>
      <c r="G309" s="15" t="s">
        <v>1166</v>
      </c>
      <c r="H309" s="20" t="s">
        <v>1167</v>
      </c>
      <c r="I309" s="61" t="s">
        <v>1168</v>
      </c>
      <c r="J309" s="30">
        <v>43236</v>
      </c>
      <c r="K309" s="30">
        <v>43724</v>
      </c>
      <c r="L309" s="31">
        <f t="shared" si="143"/>
        <v>82.304184477468439</v>
      </c>
      <c r="M309" s="20" t="s">
        <v>855</v>
      </c>
      <c r="N309" s="20" t="s">
        <v>1169</v>
      </c>
      <c r="O309" s="20" t="s">
        <v>1169</v>
      </c>
      <c r="P309" s="32" t="s">
        <v>850</v>
      </c>
      <c r="Q309" s="20" t="s">
        <v>40</v>
      </c>
      <c r="R309" s="2">
        <f t="shared" si="144"/>
        <v>692528.19000000006</v>
      </c>
      <c r="S309" s="2">
        <v>558463.68000000005</v>
      </c>
      <c r="T309" s="2">
        <v>134064.51</v>
      </c>
      <c r="U309" s="2">
        <f t="shared" si="149"/>
        <v>132068.54999999999</v>
      </c>
      <c r="V309" s="2">
        <v>98552.39</v>
      </c>
      <c r="W309" s="2">
        <v>33516.160000000003</v>
      </c>
      <c r="X309" s="2">
        <f t="shared" si="145"/>
        <v>0</v>
      </c>
      <c r="Y309" s="2">
        <v>0</v>
      </c>
      <c r="Z309" s="2">
        <v>0</v>
      </c>
      <c r="AA309" s="2">
        <f t="shared" si="146"/>
        <v>16828.509999999998</v>
      </c>
      <c r="AB309" s="2">
        <v>13408.49</v>
      </c>
      <c r="AC309" s="2">
        <v>3420.02</v>
      </c>
      <c r="AD309" s="2">
        <f t="shared" si="147"/>
        <v>841425.25</v>
      </c>
      <c r="AE309" s="2">
        <v>0</v>
      </c>
      <c r="AF309" s="2">
        <f t="shared" si="148"/>
        <v>841425.25</v>
      </c>
      <c r="AG309" s="24" t="s">
        <v>41</v>
      </c>
      <c r="AH309" s="34" t="s">
        <v>1170</v>
      </c>
      <c r="AI309" s="35">
        <f>59000+45054.47-7168.82+43487.54+82400+27588.29+82400+83329.15+139789.65+86231.39</f>
        <v>642111.67000000004</v>
      </c>
      <c r="AJ309" s="36">
        <f>15760.94+11008.93+20975.3+31605.35+26658.52+16444.76</f>
        <v>122453.79999999999</v>
      </c>
      <c r="AK309" s="28">
        <f t="shared" si="140"/>
        <v>50416.520000000019</v>
      </c>
      <c r="AL309" s="28">
        <f t="shared" si="141"/>
        <v>9614.75</v>
      </c>
      <c r="AM309" s="29">
        <f t="shared" si="142"/>
        <v>0.92719932455023957</v>
      </c>
    </row>
    <row r="310" spans="1:39" ht="192" customHeight="1" x14ac:dyDescent="0.25">
      <c r="A310" s="10">
        <v>307</v>
      </c>
      <c r="B310" s="37">
        <v>122235</v>
      </c>
      <c r="C310" s="20">
        <v>60</v>
      </c>
      <c r="D310" s="20" t="s">
        <v>861</v>
      </c>
      <c r="E310" s="14" t="s">
        <v>862</v>
      </c>
      <c r="F310" s="63" t="s">
        <v>1171</v>
      </c>
      <c r="G310" s="20" t="s">
        <v>1172</v>
      </c>
      <c r="H310" s="20" t="s">
        <v>35</v>
      </c>
      <c r="I310" s="61" t="s">
        <v>1173</v>
      </c>
      <c r="J310" s="30">
        <v>43236</v>
      </c>
      <c r="K310" s="30">
        <v>44302</v>
      </c>
      <c r="L310" s="31">
        <f t="shared" si="143"/>
        <v>83.983862861012312</v>
      </c>
      <c r="M310" s="20" t="s">
        <v>855</v>
      </c>
      <c r="N310" s="20" t="s">
        <v>228</v>
      </c>
      <c r="O310" s="20" t="s">
        <v>228</v>
      </c>
      <c r="P310" s="32" t="s">
        <v>260</v>
      </c>
      <c r="Q310" s="20" t="s">
        <v>40</v>
      </c>
      <c r="R310" s="2">
        <f t="shared" si="144"/>
        <v>9422880.1500000004</v>
      </c>
      <c r="S310" s="2">
        <v>7598731.8700000001</v>
      </c>
      <c r="T310" s="2">
        <v>1824148.28</v>
      </c>
      <c r="U310" s="2">
        <f t="shared" si="149"/>
        <v>0</v>
      </c>
      <c r="V310" s="2"/>
      <c r="W310" s="2"/>
      <c r="X310" s="2">
        <f t="shared" si="145"/>
        <v>1796989.75</v>
      </c>
      <c r="Y310" s="2">
        <v>1340952.68</v>
      </c>
      <c r="Z310" s="2">
        <v>456037.07</v>
      </c>
      <c r="AA310" s="2">
        <f t="shared" si="146"/>
        <v>0</v>
      </c>
      <c r="AB310" s="2">
        <v>0</v>
      </c>
      <c r="AC310" s="2">
        <v>0</v>
      </c>
      <c r="AD310" s="2">
        <f t="shared" si="147"/>
        <v>11219869.9</v>
      </c>
      <c r="AE310" s="2">
        <v>0</v>
      </c>
      <c r="AF310" s="2">
        <f t="shared" si="148"/>
        <v>11219869.9</v>
      </c>
      <c r="AG310" s="39" t="s">
        <v>69</v>
      </c>
      <c r="AH310" s="34" t="s">
        <v>35</v>
      </c>
      <c r="AI310" s="35">
        <f>177000+30000-137868.19+11251.1+63755.9+119800.68+155000</f>
        <v>418939.49</v>
      </c>
      <c r="AJ310" s="36">
        <v>0</v>
      </c>
      <c r="AK310" s="28">
        <f t="shared" si="140"/>
        <v>9003940.6600000001</v>
      </c>
      <c r="AL310" s="28">
        <f t="shared" si="141"/>
        <v>0</v>
      </c>
      <c r="AM310" s="29">
        <f t="shared" si="142"/>
        <v>4.4459813064692322E-2</v>
      </c>
    </row>
    <row r="311" spans="1:39" ht="192" customHeight="1" x14ac:dyDescent="0.25">
      <c r="A311" s="10">
        <v>308</v>
      </c>
      <c r="B311" s="37">
        <v>113205</v>
      </c>
      <c r="C311" s="20">
        <v>286</v>
      </c>
      <c r="D311" s="20" t="s">
        <v>254</v>
      </c>
      <c r="E311" s="14" t="s">
        <v>1005</v>
      </c>
      <c r="F311" s="63" t="s">
        <v>1174</v>
      </c>
      <c r="G311" s="20" t="s">
        <v>1175</v>
      </c>
      <c r="H311" s="20" t="s">
        <v>1176</v>
      </c>
      <c r="I311" s="61" t="s">
        <v>1177</v>
      </c>
      <c r="J311" s="30">
        <v>43243</v>
      </c>
      <c r="K311" s="30">
        <v>43700</v>
      </c>
      <c r="L311" s="31">
        <f t="shared" si="143"/>
        <v>82.304187102769717</v>
      </c>
      <c r="M311" s="20" t="s">
        <v>855</v>
      </c>
      <c r="N311" s="20" t="s">
        <v>228</v>
      </c>
      <c r="O311" s="20" t="s">
        <v>228</v>
      </c>
      <c r="P311" s="32" t="s">
        <v>260</v>
      </c>
      <c r="Q311" s="20" t="s">
        <v>40</v>
      </c>
      <c r="R311" s="2">
        <f t="shared" si="144"/>
        <v>750653.75</v>
      </c>
      <c r="S311" s="2">
        <v>605336.84</v>
      </c>
      <c r="T311" s="2">
        <v>145316.91</v>
      </c>
      <c r="U311" s="2">
        <f t="shared" si="149"/>
        <v>143153.36000000002</v>
      </c>
      <c r="V311" s="2">
        <v>106824.13</v>
      </c>
      <c r="W311" s="2">
        <v>36329.230000000003</v>
      </c>
      <c r="X311" s="2">
        <f t="shared" si="145"/>
        <v>0</v>
      </c>
      <c r="Y311" s="2">
        <v>0</v>
      </c>
      <c r="Z311" s="2">
        <v>0</v>
      </c>
      <c r="AA311" s="2">
        <f t="shared" si="146"/>
        <v>18240.96</v>
      </c>
      <c r="AB311" s="2">
        <v>14533.91</v>
      </c>
      <c r="AC311" s="2">
        <v>3707.05</v>
      </c>
      <c r="AD311" s="2">
        <f t="shared" si="147"/>
        <v>912048.07</v>
      </c>
      <c r="AE311" s="2">
        <v>0</v>
      </c>
      <c r="AF311" s="2">
        <f t="shared" si="148"/>
        <v>912048.07</v>
      </c>
      <c r="AG311" s="24" t="s">
        <v>41</v>
      </c>
      <c r="AH311" s="34"/>
      <c r="AI311" s="35">
        <f>80989.07+73791.77+71604.65-11418.94+71296.47+10538.9+120276.34+289691.6-34329.09</f>
        <v>672440.77</v>
      </c>
      <c r="AJ311" s="36">
        <f>12124.41+13655.35+11418.94+6176.71+18770.39+55245.61+10846.33</f>
        <v>128237.74</v>
      </c>
      <c r="AK311" s="28">
        <f t="shared" si="140"/>
        <v>78212.979999999981</v>
      </c>
      <c r="AL311" s="28">
        <f t="shared" si="141"/>
        <v>14915.62000000001</v>
      </c>
      <c r="AM311" s="29">
        <f t="shared" si="142"/>
        <v>0.89580684836384283</v>
      </c>
    </row>
    <row r="312" spans="1:39" ht="192" customHeight="1" x14ac:dyDescent="0.25">
      <c r="A312" s="10">
        <v>309</v>
      </c>
      <c r="B312" s="37">
        <v>111084</v>
      </c>
      <c r="C312" s="20">
        <v>343</v>
      </c>
      <c r="D312" s="20" t="s">
        <v>254</v>
      </c>
      <c r="E312" s="14" t="s">
        <v>1005</v>
      </c>
      <c r="F312" s="133" t="s">
        <v>1178</v>
      </c>
      <c r="G312" s="134" t="s">
        <v>1179</v>
      </c>
      <c r="H312" s="20" t="s">
        <v>1178</v>
      </c>
      <c r="I312" s="61" t="s">
        <v>1180</v>
      </c>
      <c r="J312" s="30">
        <v>43243</v>
      </c>
      <c r="K312" s="30">
        <v>43731</v>
      </c>
      <c r="L312" s="31">
        <f t="shared" si="143"/>
        <v>82.304185103544512</v>
      </c>
      <c r="M312" s="20" t="s">
        <v>855</v>
      </c>
      <c r="N312" s="20" t="s">
        <v>229</v>
      </c>
      <c r="O312" s="20" t="s">
        <v>229</v>
      </c>
      <c r="P312" s="32" t="s">
        <v>850</v>
      </c>
      <c r="Q312" s="20" t="s">
        <v>40</v>
      </c>
      <c r="R312" s="2">
        <f t="shared" si="144"/>
        <v>698744.26</v>
      </c>
      <c r="S312" s="26">
        <v>563476.37</v>
      </c>
      <c r="T312" s="26">
        <v>135267.89000000001</v>
      </c>
      <c r="U312" s="2">
        <f t="shared" si="149"/>
        <v>133253.97999999998</v>
      </c>
      <c r="V312" s="26">
        <v>99437.01</v>
      </c>
      <c r="W312" s="77">
        <v>33816.97</v>
      </c>
      <c r="X312" s="2">
        <f t="shared" si="145"/>
        <v>0</v>
      </c>
      <c r="Y312" s="2">
        <v>0</v>
      </c>
      <c r="Z312" s="2">
        <v>0</v>
      </c>
      <c r="AA312" s="2">
        <f t="shared" si="146"/>
        <v>16979.560000000001</v>
      </c>
      <c r="AB312" s="26">
        <v>13528.85</v>
      </c>
      <c r="AC312" s="135">
        <v>3450.71</v>
      </c>
      <c r="AD312" s="2">
        <f t="shared" si="147"/>
        <v>848977.8</v>
      </c>
      <c r="AE312" s="2">
        <v>0</v>
      </c>
      <c r="AF312" s="2">
        <f t="shared" si="148"/>
        <v>848977.8</v>
      </c>
      <c r="AG312" s="24" t="s">
        <v>41</v>
      </c>
      <c r="AH312" s="34"/>
      <c r="AI312" s="35">
        <f>410601.28+140850.68</f>
        <v>551451.96</v>
      </c>
      <c r="AJ312" s="36">
        <f>12927.23+3853.32+17589.26+10795.58+17309.82+42689.48</f>
        <v>105164.69</v>
      </c>
      <c r="AK312" s="28">
        <f t="shared" si="140"/>
        <v>147292.30000000005</v>
      </c>
      <c r="AL312" s="28">
        <f t="shared" si="141"/>
        <v>28089.289999999979</v>
      </c>
      <c r="AM312" s="29">
        <f t="shared" si="142"/>
        <v>0.78920427911636792</v>
      </c>
    </row>
    <row r="313" spans="1:39" ht="192" customHeight="1" x14ac:dyDescent="0.25">
      <c r="A313" s="10">
        <v>310</v>
      </c>
      <c r="B313" s="37">
        <v>110679</v>
      </c>
      <c r="C313" s="20">
        <v>197</v>
      </c>
      <c r="D313" s="20" t="s">
        <v>254</v>
      </c>
      <c r="E313" s="14" t="s">
        <v>1005</v>
      </c>
      <c r="F313" s="14" t="s">
        <v>1181</v>
      </c>
      <c r="G313" s="15" t="s">
        <v>1182</v>
      </c>
      <c r="H313" s="20" t="s">
        <v>35</v>
      </c>
      <c r="I313" s="16" t="s">
        <v>1183</v>
      </c>
      <c r="J313" s="30">
        <v>43243</v>
      </c>
      <c r="K313" s="30">
        <v>43731</v>
      </c>
      <c r="L313" s="31">
        <f t="shared" si="143"/>
        <v>82.304183634873581</v>
      </c>
      <c r="M313" s="20" t="s">
        <v>855</v>
      </c>
      <c r="N313" s="20" t="s">
        <v>1184</v>
      </c>
      <c r="O313" s="20" t="s">
        <v>1185</v>
      </c>
      <c r="P313" s="32" t="s">
        <v>850</v>
      </c>
      <c r="Q313" s="20" t="s">
        <v>40</v>
      </c>
      <c r="R313" s="2">
        <f t="shared" si="144"/>
        <v>763944.7</v>
      </c>
      <c r="S313" s="2">
        <v>616054.81999999995</v>
      </c>
      <c r="T313" s="2">
        <v>147889.88</v>
      </c>
      <c r="U313" s="2">
        <f t="shared" si="149"/>
        <v>145688.04999999999</v>
      </c>
      <c r="V313" s="2">
        <v>108715.59</v>
      </c>
      <c r="W313" s="2">
        <v>36972.46</v>
      </c>
      <c r="X313" s="2">
        <f t="shared" si="145"/>
        <v>0</v>
      </c>
      <c r="Y313" s="2"/>
      <c r="Z313" s="2"/>
      <c r="AA313" s="2">
        <f t="shared" si="146"/>
        <v>18563.93</v>
      </c>
      <c r="AB313" s="2">
        <v>14791.24</v>
      </c>
      <c r="AC313" s="2">
        <v>3772.69</v>
      </c>
      <c r="AD313" s="2">
        <f t="shared" si="147"/>
        <v>928196.68</v>
      </c>
      <c r="AE313" s="2">
        <v>0</v>
      </c>
      <c r="AF313" s="2">
        <f t="shared" si="148"/>
        <v>928196.68</v>
      </c>
      <c r="AG313" s="24" t="s">
        <v>41</v>
      </c>
      <c r="AH313" s="34" t="s">
        <v>1186</v>
      </c>
      <c r="AI313" s="35">
        <f>521279.95+227140.72-4067.74</f>
        <v>744352.93</v>
      </c>
      <c r="AJ313" s="36">
        <f>94550.63+43316.87+4084.24</f>
        <v>141951.74</v>
      </c>
      <c r="AK313" s="28">
        <f t="shared" si="140"/>
        <v>19591.769999999902</v>
      </c>
      <c r="AL313" s="28">
        <f t="shared" si="141"/>
        <v>3736.3099999999977</v>
      </c>
      <c r="AM313" s="29">
        <f t="shared" si="142"/>
        <v>0.97435446570936368</v>
      </c>
    </row>
    <row r="314" spans="1:39" ht="192" customHeight="1" x14ac:dyDescent="0.25">
      <c r="A314" s="10">
        <v>311</v>
      </c>
      <c r="B314" s="37">
        <v>112787</v>
      </c>
      <c r="C314" s="20">
        <v>276</v>
      </c>
      <c r="D314" s="20" t="s">
        <v>254</v>
      </c>
      <c r="E314" s="14" t="s">
        <v>1005</v>
      </c>
      <c r="F314" s="63" t="s">
        <v>1187</v>
      </c>
      <c r="G314" s="63" t="s">
        <v>1188</v>
      </c>
      <c r="H314" s="20" t="s">
        <v>1189</v>
      </c>
      <c r="I314" s="16" t="s">
        <v>1190</v>
      </c>
      <c r="J314" s="30">
        <v>43243</v>
      </c>
      <c r="K314" s="30">
        <v>43822</v>
      </c>
      <c r="L314" s="31">
        <f t="shared" si="143"/>
        <v>82.304187377441963</v>
      </c>
      <c r="M314" s="20" t="s">
        <v>855</v>
      </c>
      <c r="N314" s="20" t="s">
        <v>735</v>
      </c>
      <c r="O314" s="20" t="s">
        <v>735</v>
      </c>
      <c r="P314" s="32" t="s">
        <v>850</v>
      </c>
      <c r="Q314" s="20" t="s">
        <v>40</v>
      </c>
      <c r="R314" s="2">
        <f t="shared" si="144"/>
        <v>813947.08000000007</v>
      </c>
      <c r="S314" s="2">
        <v>656377.4</v>
      </c>
      <c r="T314" s="2">
        <v>157569.68</v>
      </c>
      <c r="U314" s="2">
        <f t="shared" si="149"/>
        <v>155223.71000000002</v>
      </c>
      <c r="V314" s="2">
        <v>115831.3</v>
      </c>
      <c r="W314" s="2">
        <v>39392.410000000003</v>
      </c>
      <c r="X314" s="2">
        <f t="shared" si="145"/>
        <v>0</v>
      </c>
      <c r="Y314" s="2"/>
      <c r="Z314" s="2"/>
      <c r="AA314" s="2">
        <f t="shared" si="146"/>
        <v>19778.990000000002</v>
      </c>
      <c r="AB314" s="2">
        <v>15759.36</v>
      </c>
      <c r="AC314" s="2">
        <v>4019.63</v>
      </c>
      <c r="AD314" s="2">
        <f t="shared" si="147"/>
        <v>988949.78</v>
      </c>
      <c r="AE314" s="2">
        <v>0</v>
      </c>
      <c r="AF314" s="2">
        <f t="shared" si="148"/>
        <v>988949.78</v>
      </c>
      <c r="AG314" s="39" t="s">
        <v>41</v>
      </c>
      <c r="AH314" s="34" t="s">
        <v>1191</v>
      </c>
      <c r="AI314" s="35">
        <f>508508.59+217597.28+20606.15-1971.58+7286.02</f>
        <v>752026.46000000008</v>
      </c>
      <c r="AJ314" s="36">
        <f>79461.28+51123.81+3929.69+7150.18+1750.08</f>
        <v>143415.03999999998</v>
      </c>
      <c r="AK314" s="28">
        <f t="shared" si="140"/>
        <v>61920.619999999995</v>
      </c>
      <c r="AL314" s="28">
        <f t="shared" si="141"/>
        <v>11808.670000000042</v>
      </c>
      <c r="AM314" s="29">
        <f t="shared" si="142"/>
        <v>0.92392549648313749</v>
      </c>
    </row>
    <row r="315" spans="1:39" ht="192" customHeight="1" x14ac:dyDescent="0.25">
      <c r="A315" s="10">
        <v>312</v>
      </c>
      <c r="B315" s="37">
        <v>110998</v>
      </c>
      <c r="C315" s="20">
        <v>333</v>
      </c>
      <c r="D315" s="20" t="s">
        <v>254</v>
      </c>
      <c r="E315" s="14" t="s">
        <v>1005</v>
      </c>
      <c r="F315" s="63" t="s">
        <v>1192</v>
      </c>
      <c r="G315" s="63" t="s">
        <v>1193</v>
      </c>
      <c r="H315" s="20" t="s">
        <v>35</v>
      </c>
      <c r="I315" s="16" t="s">
        <v>1194</v>
      </c>
      <c r="J315" s="30">
        <v>43244</v>
      </c>
      <c r="K315" s="30">
        <v>43762</v>
      </c>
      <c r="L315" s="31">
        <f t="shared" si="143"/>
        <v>82.304186800362686</v>
      </c>
      <c r="M315" s="20" t="s">
        <v>855</v>
      </c>
      <c r="N315" s="20" t="s">
        <v>229</v>
      </c>
      <c r="O315" s="20" t="s">
        <v>229</v>
      </c>
      <c r="P315" s="32" t="s">
        <v>850</v>
      </c>
      <c r="Q315" s="20" t="s">
        <v>40</v>
      </c>
      <c r="R315" s="2">
        <f t="shared" si="144"/>
        <v>802303.17999999993</v>
      </c>
      <c r="S315" s="2">
        <v>646987.62</v>
      </c>
      <c r="T315" s="2">
        <v>155315.56</v>
      </c>
      <c r="U315" s="2">
        <f t="shared" si="149"/>
        <v>153003.18</v>
      </c>
      <c r="V315" s="2">
        <v>114174.29</v>
      </c>
      <c r="W315" s="2">
        <v>38828.89</v>
      </c>
      <c r="X315" s="2">
        <f t="shared" si="145"/>
        <v>0</v>
      </c>
      <c r="Y315" s="136"/>
      <c r="Z315" s="136"/>
      <c r="AA315" s="2">
        <f t="shared" si="146"/>
        <v>19496.03</v>
      </c>
      <c r="AB315" s="2">
        <v>15533.9</v>
      </c>
      <c r="AC315" s="2">
        <v>3962.13</v>
      </c>
      <c r="AD315" s="2">
        <f t="shared" si="147"/>
        <v>974802.3899999999</v>
      </c>
      <c r="AE315" s="2">
        <v>0</v>
      </c>
      <c r="AF315" s="2">
        <f t="shared" si="148"/>
        <v>974802.3899999999</v>
      </c>
      <c r="AG315" s="24" t="s">
        <v>41</v>
      </c>
      <c r="AH315" s="34" t="s">
        <v>1195</v>
      </c>
      <c r="AI315" s="35">
        <f>685815.27+32782.58+20651.76+10555.66</f>
        <v>749805.27</v>
      </c>
      <c r="AJ315" s="36">
        <f>115562.98+6251.8+3938.4+17238.46</f>
        <v>142991.63999999998</v>
      </c>
      <c r="AK315" s="28">
        <f t="shared" si="140"/>
        <v>52497.909999999916</v>
      </c>
      <c r="AL315" s="28">
        <f t="shared" si="141"/>
        <v>10011.540000000008</v>
      </c>
      <c r="AM315" s="29">
        <f t="shared" si="142"/>
        <v>0.93456599536349849</v>
      </c>
    </row>
    <row r="316" spans="1:39" ht="192" customHeight="1" x14ac:dyDescent="0.25">
      <c r="A316" s="10">
        <v>313</v>
      </c>
      <c r="B316" s="137">
        <v>115759</v>
      </c>
      <c r="C316" s="124">
        <v>400</v>
      </c>
      <c r="D316" s="124" t="s">
        <v>254</v>
      </c>
      <c r="E316" s="14" t="s">
        <v>1015</v>
      </c>
      <c r="F316" s="138" t="s">
        <v>1196</v>
      </c>
      <c r="G316" s="139" t="s">
        <v>1197</v>
      </c>
      <c r="H316" s="124" t="s">
        <v>1198</v>
      </c>
      <c r="I316" s="140" t="s">
        <v>1199</v>
      </c>
      <c r="J316" s="141">
        <v>43270</v>
      </c>
      <c r="K316" s="30">
        <v>44062</v>
      </c>
      <c r="L316" s="31">
        <f t="shared" si="143"/>
        <v>83.983862602445981</v>
      </c>
      <c r="M316" s="124" t="s">
        <v>855</v>
      </c>
      <c r="N316" s="124" t="s">
        <v>229</v>
      </c>
      <c r="O316" s="124" t="s">
        <v>229</v>
      </c>
      <c r="P316" s="142" t="s">
        <v>260</v>
      </c>
      <c r="Q316" s="124" t="s">
        <v>40</v>
      </c>
      <c r="R316" s="2">
        <f t="shared" si="144"/>
        <v>8270959.1999999993</v>
      </c>
      <c r="S316" s="2">
        <v>6669808.0599999996</v>
      </c>
      <c r="T316" s="2">
        <v>1601151.14</v>
      </c>
      <c r="U316" s="2">
        <f t="shared" si="149"/>
        <v>0</v>
      </c>
      <c r="V316" s="2">
        <v>0</v>
      </c>
      <c r="W316" s="2">
        <v>0</v>
      </c>
      <c r="X316" s="2">
        <f t="shared" si="145"/>
        <v>1577312.77</v>
      </c>
      <c r="Y316" s="2">
        <v>1177024.8899999999</v>
      </c>
      <c r="Z316" s="2">
        <v>400287.88</v>
      </c>
      <c r="AA316" s="2">
        <f t="shared" si="146"/>
        <v>0</v>
      </c>
      <c r="AB316" s="2">
        <v>0</v>
      </c>
      <c r="AC316" s="2">
        <v>0</v>
      </c>
      <c r="AD316" s="2">
        <f t="shared" si="147"/>
        <v>9848271.9699999988</v>
      </c>
      <c r="AE316" s="2"/>
      <c r="AF316" s="2">
        <f t="shared" si="148"/>
        <v>9848271.9699999988</v>
      </c>
      <c r="AG316" s="39" t="s">
        <v>69</v>
      </c>
      <c r="AH316" s="34" t="s">
        <v>415</v>
      </c>
      <c r="AI316" s="35">
        <v>4870800.16</v>
      </c>
      <c r="AJ316" s="36">
        <v>0</v>
      </c>
      <c r="AK316" s="28">
        <f t="shared" si="140"/>
        <v>3400159.0399999991</v>
      </c>
      <c r="AL316" s="28">
        <f t="shared" si="141"/>
        <v>0</v>
      </c>
      <c r="AM316" s="29">
        <f t="shared" si="142"/>
        <v>0.5889039036729864</v>
      </c>
    </row>
    <row r="317" spans="1:39" ht="192" customHeight="1" thickBot="1" x14ac:dyDescent="0.3">
      <c r="A317" s="10">
        <v>314</v>
      </c>
      <c r="B317" s="37">
        <v>118716</v>
      </c>
      <c r="C317" s="20">
        <v>455</v>
      </c>
      <c r="D317" s="20" t="s">
        <v>1200</v>
      </c>
      <c r="E317" s="14" t="s">
        <v>1201</v>
      </c>
      <c r="F317" s="15" t="s">
        <v>1202</v>
      </c>
      <c r="G317" s="63" t="s">
        <v>1203</v>
      </c>
      <c r="H317" s="20" t="s">
        <v>35</v>
      </c>
      <c r="I317" s="16" t="s">
        <v>1204</v>
      </c>
      <c r="J317" s="30">
        <v>43249</v>
      </c>
      <c r="K317" s="30">
        <v>44164</v>
      </c>
      <c r="L317" s="31">
        <f t="shared" si="143"/>
        <v>83.983862841968545</v>
      </c>
      <c r="M317" s="20" t="s">
        <v>855</v>
      </c>
      <c r="N317" s="20" t="s">
        <v>229</v>
      </c>
      <c r="O317" s="20" t="s">
        <v>229</v>
      </c>
      <c r="P317" s="32" t="s">
        <v>260</v>
      </c>
      <c r="Q317" s="20" t="s">
        <v>40</v>
      </c>
      <c r="R317" s="2">
        <f t="shared" si="144"/>
        <v>2343689.42</v>
      </c>
      <c r="S317" s="2">
        <v>1889981.33</v>
      </c>
      <c r="T317" s="2">
        <v>453708.09</v>
      </c>
      <c r="U317" s="2">
        <f t="shared" si="149"/>
        <v>0</v>
      </c>
      <c r="V317" s="2"/>
      <c r="W317" s="2"/>
      <c r="X317" s="2">
        <f t="shared" si="145"/>
        <v>446953.14</v>
      </c>
      <c r="Y317" s="2">
        <v>333526.11</v>
      </c>
      <c r="Z317" s="2">
        <v>113427.03</v>
      </c>
      <c r="AA317" s="2">
        <f t="shared" si="146"/>
        <v>0</v>
      </c>
      <c r="AB317" s="2">
        <v>0</v>
      </c>
      <c r="AC317" s="2">
        <v>0</v>
      </c>
      <c r="AD317" s="2">
        <f t="shared" si="147"/>
        <v>2790642.56</v>
      </c>
      <c r="AE317" s="2">
        <v>0</v>
      </c>
      <c r="AF317" s="2">
        <f t="shared" si="148"/>
        <v>2790642.56</v>
      </c>
      <c r="AG317" s="39" t="s">
        <v>69</v>
      </c>
      <c r="AH317" s="143" t="s">
        <v>1205</v>
      </c>
      <c r="AI317" s="35">
        <f>145011.94+359253.32+95755.51+413834.13+212612.28+361774.06+13423.98</f>
        <v>1601665.22</v>
      </c>
      <c r="AJ317" s="36">
        <v>0</v>
      </c>
      <c r="AK317" s="28">
        <f t="shared" si="140"/>
        <v>742024.2</v>
      </c>
      <c r="AL317" s="28">
        <f t="shared" si="141"/>
        <v>0</v>
      </c>
      <c r="AM317" s="29">
        <f t="shared" si="142"/>
        <v>0.68339482455828127</v>
      </c>
    </row>
    <row r="318" spans="1:39" ht="192" customHeight="1" x14ac:dyDescent="0.25">
      <c r="A318" s="10">
        <v>315</v>
      </c>
      <c r="B318" s="37">
        <v>109777</v>
      </c>
      <c r="C318" s="20">
        <v>363</v>
      </c>
      <c r="D318" s="20" t="s">
        <v>254</v>
      </c>
      <c r="E318" s="14" t="s">
        <v>1005</v>
      </c>
      <c r="F318" s="32" t="s">
        <v>1206</v>
      </c>
      <c r="G318" s="19" t="s">
        <v>1207</v>
      </c>
      <c r="H318" s="19" t="s">
        <v>35</v>
      </c>
      <c r="I318" s="54" t="s">
        <v>1208</v>
      </c>
      <c r="J318" s="30">
        <v>43251</v>
      </c>
      <c r="K318" s="30">
        <v>43738</v>
      </c>
      <c r="L318" s="31">
        <f t="shared" si="143"/>
        <v>82.304185429325983</v>
      </c>
      <c r="M318" s="20" t="s">
        <v>855</v>
      </c>
      <c r="N318" s="20" t="s">
        <v>397</v>
      </c>
      <c r="O318" s="20" t="s">
        <v>401</v>
      </c>
      <c r="P318" s="32" t="s">
        <v>850</v>
      </c>
      <c r="Q318" s="20" t="s">
        <v>40</v>
      </c>
      <c r="R318" s="2">
        <f t="shared" si="144"/>
        <v>809738</v>
      </c>
      <c r="S318" s="2">
        <v>652983.16</v>
      </c>
      <c r="T318" s="2">
        <v>156754.84</v>
      </c>
      <c r="U318" s="2">
        <f t="shared" si="149"/>
        <v>154421.03</v>
      </c>
      <c r="V318" s="2">
        <v>115232.31</v>
      </c>
      <c r="W318" s="2">
        <v>39188.720000000001</v>
      </c>
      <c r="X318" s="2">
        <f t="shared" si="145"/>
        <v>0</v>
      </c>
      <c r="Y318" s="2">
        <v>0</v>
      </c>
      <c r="Z318" s="2">
        <v>0</v>
      </c>
      <c r="AA318" s="2">
        <f t="shared" si="146"/>
        <v>19676.72</v>
      </c>
      <c r="AB318" s="2">
        <v>15677.86</v>
      </c>
      <c r="AC318" s="2">
        <v>3998.86</v>
      </c>
      <c r="AD318" s="2">
        <f t="shared" si="147"/>
        <v>983835.75</v>
      </c>
      <c r="AE318" s="144">
        <v>0</v>
      </c>
      <c r="AF318" s="2">
        <f t="shared" si="148"/>
        <v>983835.75</v>
      </c>
      <c r="AG318" s="24" t="s">
        <v>41</v>
      </c>
      <c r="AH318" s="34" t="s">
        <v>1209</v>
      </c>
      <c r="AI318" s="144">
        <f>98383.57+67957.2+131759+61030.49+98383.57-15548.08+97077.59+100688.53-14300.18+89286.06+87658.61-28814.78</f>
        <v>773561.58</v>
      </c>
      <c r="AJ318" s="36">
        <f>12959.77+25127.1+30401.05+15548.08+19201.81+14300.18+16716.91+13267.11</f>
        <v>147522.01</v>
      </c>
      <c r="AK318" s="28">
        <f t="shared" si="140"/>
        <v>36176.420000000042</v>
      </c>
      <c r="AL318" s="28">
        <f t="shared" si="141"/>
        <v>6899.0199999999895</v>
      </c>
      <c r="AM318" s="29">
        <f t="shared" si="142"/>
        <v>0.95532330210512528</v>
      </c>
    </row>
    <row r="319" spans="1:39" ht="192" customHeight="1" x14ac:dyDescent="0.25">
      <c r="A319" s="10">
        <v>316</v>
      </c>
      <c r="B319" s="37">
        <v>112263</v>
      </c>
      <c r="C319" s="20">
        <v>212</v>
      </c>
      <c r="D319" s="20" t="s">
        <v>254</v>
      </c>
      <c r="E319" s="14" t="s">
        <v>1005</v>
      </c>
      <c r="F319" s="63" t="s">
        <v>1210</v>
      </c>
      <c r="G319" s="63" t="s">
        <v>1211</v>
      </c>
      <c r="H319" s="20" t="s">
        <v>35</v>
      </c>
      <c r="I319" s="16" t="s">
        <v>1212</v>
      </c>
      <c r="J319" s="30">
        <v>43257</v>
      </c>
      <c r="K319" s="30">
        <v>43744</v>
      </c>
      <c r="L319" s="31">
        <f t="shared" si="143"/>
        <v>82.304186636665435</v>
      </c>
      <c r="M319" s="20" t="s">
        <v>855</v>
      </c>
      <c r="N319" s="20" t="s">
        <v>228</v>
      </c>
      <c r="O319" s="20" t="s">
        <v>1213</v>
      </c>
      <c r="P319" s="32" t="s">
        <v>850</v>
      </c>
      <c r="Q319" s="20" t="s">
        <v>40</v>
      </c>
      <c r="R319" s="2">
        <f t="shared" si="144"/>
        <v>804068.05999999994</v>
      </c>
      <c r="S319" s="2">
        <v>648410.84</v>
      </c>
      <c r="T319" s="2">
        <v>155657.22</v>
      </c>
      <c r="U319" s="2">
        <f t="shared" si="149"/>
        <v>153339.75</v>
      </c>
      <c r="V319" s="2">
        <v>114425.45</v>
      </c>
      <c r="W319" s="2">
        <v>38914.300000000003</v>
      </c>
      <c r="X319" s="145">
        <f t="shared" si="145"/>
        <v>0</v>
      </c>
      <c r="Y319" s="2">
        <v>0</v>
      </c>
      <c r="Z319" s="2">
        <v>0</v>
      </c>
      <c r="AA319" s="2">
        <f t="shared" si="146"/>
        <v>19538.919999999998</v>
      </c>
      <c r="AB319" s="2">
        <v>15568.08</v>
      </c>
      <c r="AC319" s="2">
        <v>3970.84</v>
      </c>
      <c r="AD319" s="2">
        <f t="shared" si="147"/>
        <v>976946.73</v>
      </c>
      <c r="AE319" s="2">
        <v>0</v>
      </c>
      <c r="AF319" s="2">
        <f t="shared" si="148"/>
        <v>976946.73</v>
      </c>
      <c r="AG319" s="24" t="s">
        <v>41</v>
      </c>
      <c r="AH319" s="34"/>
      <c r="AI319" s="35">
        <f>84638.59+81518.25+15437.85+121639.28+42099.38+37504.88+114980.02+153441.7</f>
        <v>651259.94999999995</v>
      </c>
      <c r="AJ319" s="36">
        <f>13056.08+21574.93+4566.35+8028.56+23258.8+5820.82+47892.94</f>
        <v>124198.48000000001</v>
      </c>
      <c r="AK319" s="28">
        <f t="shared" si="140"/>
        <v>152808.10999999999</v>
      </c>
      <c r="AL319" s="28">
        <f t="shared" si="141"/>
        <v>29141.26999999999</v>
      </c>
      <c r="AM319" s="29">
        <f t="shared" si="142"/>
        <v>0.80995624922596732</v>
      </c>
    </row>
    <row r="320" spans="1:39" ht="192" customHeight="1" x14ac:dyDescent="0.25">
      <c r="A320" s="10">
        <v>317</v>
      </c>
      <c r="B320" s="37">
        <v>118978</v>
      </c>
      <c r="C320" s="20">
        <v>453</v>
      </c>
      <c r="D320" s="20" t="s">
        <v>1200</v>
      </c>
      <c r="E320" s="14" t="s">
        <v>1201</v>
      </c>
      <c r="F320" s="63" t="s">
        <v>1214</v>
      </c>
      <c r="G320" s="63" t="s">
        <v>1215</v>
      </c>
      <c r="H320" s="20" t="s">
        <v>35</v>
      </c>
      <c r="I320" s="16" t="s">
        <v>1216</v>
      </c>
      <c r="J320" s="30">
        <v>43257</v>
      </c>
      <c r="K320" s="30">
        <v>44536</v>
      </c>
      <c r="L320" s="31">
        <f t="shared" si="143"/>
        <v>83.983863240359696</v>
      </c>
      <c r="M320" s="20" t="s">
        <v>855</v>
      </c>
      <c r="N320" s="20" t="s">
        <v>229</v>
      </c>
      <c r="O320" s="20" t="s">
        <v>229</v>
      </c>
      <c r="P320" s="32" t="s">
        <v>260</v>
      </c>
      <c r="Q320" s="20" t="s">
        <v>40</v>
      </c>
      <c r="R320" s="2">
        <f t="shared" si="144"/>
        <v>10919953.040000001</v>
      </c>
      <c r="S320" s="2">
        <v>8805990.7200000007</v>
      </c>
      <c r="T320" s="2">
        <v>2113962.3199999998</v>
      </c>
      <c r="U320" s="2">
        <f t="shared" si="149"/>
        <v>0</v>
      </c>
      <c r="V320" s="2">
        <v>0</v>
      </c>
      <c r="W320" s="2">
        <v>0</v>
      </c>
      <c r="X320" s="2">
        <f t="shared" si="145"/>
        <v>2082488.8800000001</v>
      </c>
      <c r="Y320" s="2">
        <v>1553998.32</v>
      </c>
      <c r="Z320" s="2">
        <v>528490.56000000006</v>
      </c>
      <c r="AA320" s="2">
        <f t="shared" si="146"/>
        <v>0</v>
      </c>
      <c r="AB320" s="2">
        <v>0</v>
      </c>
      <c r="AC320" s="2">
        <v>0</v>
      </c>
      <c r="AD320" s="2">
        <f t="shared" si="147"/>
        <v>13002441.920000002</v>
      </c>
      <c r="AE320" s="2">
        <v>1503920</v>
      </c>
      <c r="AF320" s="2">
        <f t="shared" si="148"/>
        <v>14506361.920000002</v>
      </c>
      <c r="AG320" s="39" t="s">
        <v>69</v>
      </c>
      <c r="AH320" s="34" t="s">
        <v>1217</v>
      </c>
      <c r="AI320" s="35">
        <v>1130733.83</v>
      </c>
      <c r="AJ320" s="36">
        <v>0</v>
      </c>
      <c r="AK320" s="28">
        <f t="shared" si="140"/>
        <v>9789219.2100000009</v>
      </c>
      <c r="AL320" s="28">
        <f t="shared" si="141"/>
        <v>0</v>
      </c>
      <c r="AM320" s="29">
        <f t="shared" si="142"/>
        <v>0.10354749932148059</v>
      </c>
    </row>
    <row r="321" spans="1:39" ht="192" customHeight="1" x14ac:dyDescent="0.25">
      <c r="A321" s="10">
        <v>318</v>
      </c>
      <c r="B321" s="37">
        <v>119317</v>
      </c>
      <c r="C321" s="20">
        <v>456</v>
      </c>
      <c r="D321" s="20" t="s">
        <v>1200</v>
      </c>
      <c r="E321" s="14" t="s">
        <v>1201</v>
      </c>
      <c r="F321" s="63" t="s">
        <v>1218</v>
      </c>
      <c r="G321" s="63" t="s">
        <v>1219</v>
      </c>
      <c r="H321" s="20" t="s">
        <v>35</v>
      </c>
      <c r="I321" s="16" t="s">
        <v>1220</v>
      </c>
      <c r="J321" s="30">
        <v>43257</v>
      </c>
      <c r="K321" s="30">
        <v>44353</v>
      </c>
      <c r="L321" s="31">
        <f t="shared" si="143"/>
        <v>83.983862727062601</v>
      </c>
      <c r="M321" s="20" t="s">
        <v>855</v>
      </c>
      <c r="N321" s="20" t="s">
        <v>229</v>
      </c>
      <c r="O321" s="20" t="s">
        <v>229</v>
      </c>
      <c r="P321" s="32" t="s">
        <v>260</v>
      </c>
      <c r="Q321" s="20" t="s">
        <v>40</v>
      </c>
      <c r="R321" s="2">
        <f t="shared" si="144"/>
        <v>26702638.289999999</v>
      </c>
      <c r="S321" s="2">
        <v>21533351.329999998</v>
      </c>
      <c r="T321" s="2">
        <v>5169286.96</v>
      </c>
      <c r="U321" s="2">
        <f t="shared" si="149"/>
        <v>0</v>
      </c>
      <c r="V321" s="2"/>
      <c r="W321" s="2"/>
      <c r="X321" s="2">
        <f t="shared" si="145"/>
        <v>5092324.96</v>
      </c>
      <c r="Y321" s="2">
        <v>3800003.18</v>
      </c>
      <c r="Z321" s="2">
        <v>1292321.78</v>
      </c>
      <c r="AA321" s="2">
        <f t="shared" si="146"/>
        <v>0</v>
      </c>
      <c r="AB321" s="2">
        <v>0</v>
      </c>
      <c r="AC321" s="2">
        <v>0</v>
      </c>
      <c r="AD321" s="2">
        <f t="shared" si="147"/>
        <v>31794963.25</v>
      </c>
      <c r="AE321" s="2">
        <v>0</v>
      </c>
      <c r="AF321" s="2">
        <f t="shared" si="148"/>
        <v>31794963.25</v>
      </c>
      <c r="AG321" s="39" t="s">
        <v>69</v>
      </c>
      <c r="AH321" s="34" t="s">
        <v>1221</v>
      </c>
      <c r="AI321" s="35">
        <v>13204122.23</v>
      </c>
      <c r="AJ321" s="36">
        <v>0</v>
      </c>
      <c r="AK321" s="28">
        <f t="shared" si="140"/>
        <v>13498516.059999999</v>
      </c>
      <c r="AL321" s="28">
        <f t="shared" si="141"/>
        <v>0</v>
      </c>
      <c r="AM321" s="29">
        <f t="shared" si="142"/>
        <v>0.49448755162686964</v>
      </c>
    </row>
    <row r="322" spans="1:39" ht="192" customHeight="1" x14ac:dyDescent="0.25">
      <c r="A322" s="10">
        <v>319</v>
      </c>
      <c r="B322" s="37">
        <v>111319</v>
      </c>
      <c r="C322" s="20">
        <v>359</v>
      </c>
      <c r="D322" s="20" t="s">
        <v>254</v>
      </c>
      <c r="E322" s="14" t="s">
        <v>1005</v>
      </c>
      <c r="F322" s="63" t="s">
        <v>1222</v>
      </c>
      <c r="G322" s="63" t="s">
        <v>1223</v>
      </c>
      <c r="H322" s="20" t="s">
        <v>1224</v>
      </c>
      <c r="I322" s="16" t="s">
        <v>1225</v>
      </c>
      <c r="J322" s="30">
        <v>43256</v>
      </c>
      <c r="K322" s="30">
        <v>43866</v>
      </c>
      <c r="L322" s="31">
        <f t="shared" si="143"/>
        <v>82.304189744785745</v>
      </c>
      <c r="M322" s="20" t="s">
        <v>855</v>
      </c>
      <c r="N322" s="20" t="s">
        <v>565</v>
      </c>
      <c r="O322" s="20" t="s">
        <v>565</v>
      </c>
      <c r="P322" s="32" t="s">
        <v>850</v>
      </c>
      <c r="Q322" s="20" t="s">
        <v>40</v>
      </c>
      <c r="R322" s="2">
        <f t="shared" si="144"/>
        <v>822860.82000000007</v>
      </c>
      <c r="S322" s="2">
        <v>663565.56000000006</v>
      </c>
      <c r="T322" s="2">
        <v>159295.26</v>
      </c>
      <c r="U322" s="2">
        <f t="shared" si="149"/>
        <v>156923.62</v>
      </c>
      <c r="V322" s="2">
        <v>117099.8</v>
      </c>
      <c r="W322" s="2">
        <v>39823.82</v>
      </c>
      <c r="X322" s="2">
        <f t="shared" si="145"/>
        <v>0</v>
      </c>
      <c r="Y322" s="2"/>
      <c r="Z322" s="2"/>
      <c r="AA322" s="2">
        <f t="shared" si="146"/>
        <v>19995.55</v>
      </c>
      <c r="AB322" s="2">
        <v>15931.91</v>
      </c>
      <c r="AC322" s="2">
        <v>4063.64</v>
      </c>
      <c r="AD322" s="2">
        <f t="shared" si="147"/>
        <v>999779.99000000011</v>
      </c>
      <c r="AE322" s="2">
        <v>0</v>
      </c>
      <c r="AF322" s="2">
        <f t="shared" si="148"/>
        <v>999779.99000000011</v>
      </c>
      <c r="AG322" s="39" t="s">
        <v>628</v>
      </c>
      <c r="AH322" s="34" t="s">
        <v>1226</v>
      </c>
      <c r="AI322" s="35">
        <v>789088.58</v>
      </c>
      <c r="AJ322" s="36">
        <v>150483.12000000002</v>
      </c>
      <c r="AK322" s="28">
        <f t="shared" si="140"/>
        <v>33772.240000000107</v>
      </c>
      <c r="AL322" s="28">
        <f t="shared" si="141"/>
        <v>6440.4999999999709</v>
      </c>
      <c r="AM322" s="29">
        <f t="shared" si="142"/>
        <v>0.95895753063075706</v>
      </c>
    </row>
    <row r="323" spans="1:39" ht="192" customHeight="1" x14ac:dyDescent="0.25">
      <c r="A323" s="10">
        <v>320</v>
      </c>
      <c r="B323" s="37">
        <v>111320</v>
      </c>
      <c r="C323" s="20">
        <v>132</v>
      </c>
      <c r="D323" s="20" t="s">
        <v>254</v>
      </c>
      <c r="E323" s="14" t="s">
        <v>1005</v>
      </c>
      <c r="F323" s="63" t="s">
        <v>1227</v>
      </c>
      <c r="G323" s="63" t="s">
        <v>1228</v>
      </c>
      <c r="H323" s="20" t="s">
        <v>132</v>
      </c>
      <c r="I323" s="16" t="s">
        <v>1229</v>
      </c>
      <c r="J323" s="30">
        <v>43258</v>
      </c>
      <c r="K323" s="30">
        <v>43745</v>
      </c>
      <c r="L323" s="31">
        <f t="shared" si="143"/>
        <v>82.304187069212688</v>
      </c>
      <c r="M323" s="20" t="s">
        <v>855</v>
      </c>
      <c r="N323" s="20" t="s">
        <v>228</v>
      </c>
      <c r="O323" s="20" t="s">
        <v>1213</v>
      </c>
      <c r="P323" s="32" t="s">
        <v>850</v>
      </c>
      <c r="Q323" s="20" t="s">
        <v>40</v>
      </c>
      <c r="R323" s="2">
        <f t="shared" si="144"/>
        <v>745773.49</v>
      </c>
      <c r="S323" s="2">
        <v>601401.34</v>
      </c>
      <c r="T323" s="2">
        <v>144372.15</v>
      </c>
      <c r="U323" s="2">
        <f t="shared" si="149"/>
        <v>142222.68</v>
      </c>
      <c r="V323" s="2">
        <v>106129.65</v>
      </c>
      <c r="W323" s="2">
        <v>36093.03</v>
      </c>
      <c r="X323" s="2">
        <f t="shared" si="145"/>
        <v>0</v>
      </c>
      <c r="Y323" s="2">
        <v>0</v>
      </c>
      <c r="Z323" s="2">
        <v>0</v>
      </c>
      <c r="AA323" s="2">
        <f t="shared" si="146"/>
        <v>18122.36</v>
      </c>
      <c r="AB323" s="2">
        <v>14439.4</v>
      </c>
      <c r="AC323" s="2">
        <v>3682.96</v>
      </c>
      <c r="AD323" s="2">
        <f t="shared" si="147"/>
        <v>906118.52999999991</v>
      </c>
      <c r="AE323" s="2">
        <v>0</v>
      </c>
      <c r="AF323" s="2">
        <f t="shared" si="148"/>
        <v>906118.52999999991</v>
      </c>
      <c r="AG323" s="24" t="s">
        <v>41</v>
      </c>
      <c r="AH323" s="34"/>
      <c r="AI323" s="35">
        <f>592141.33+76026.28+52285.05</f>
        <v>720452.66</v>
      </c>
      <c r="AJ323" s="36">
        <f>23379.78+18253.47+17321.01+18762.68+17927.2+31778.72+9971.04</f>
        <v>137393.9</v>
      </c>
      <c r="AK323" s="28">
        <f t="shared" si="140"/>
        <v>25320.829999999958</v>
      </c>
      <c r="AL323" s="28">
        <f t="shared" si="141"/>
        <v>4828.7799999999988</v>
      </c>
      <c r="AM323" s="29">
        <f t="shared" si="142"/>
        <v>0.96604755956128185</v>
      </c>
    </row>
    <row r="324" spans="1:39" ht="192" customHeight="1" x14ac:dyDescent="0.25">
      <c r="A324" s="10">
        <v>321</v>
      </c>
      <c r="B324" s="37">
        <v>110527</v>
      </c>
      <c r="C324" s="20">
        <v>353</v>
      </c>
      <c r="D324" s="20" t="s">
        <v>254</v>
      </c>
      <c r="E324" s="14" t="s">
        <v>1005</v>
      </c>
      <c r="F324" s="63" t="s">
        <v>1230</v>
      </c>
      <c r="G324" s="63" t="s">
        <v>1231</v>
      </c>
      <c r="H324" s="20" t="s">
        <v>1232</v>
      </c>
      <c r="I324" s="16" t="s">
        <v>1233</v>
      </c>
      <c r="J324" s="30">
        <v>43258</v>
      </c>
      <c r="K324" s="30">
        <v>43745</v>
      </c>
      <c r="L324" s="31">
        <f t="shared" si="143"/>
        <v>82.304183804307399</v>
      </c>
      <c r="M324" s="20" t="s">
        <v>855</v>
      </c>
      <c r="N324" s="20" t="s">
        <v>228</v>
      </c>
      <c r="O324" s="20" t="s">
        <v>228</v>
      </c>
      <c r="P324" s="32" t="s">
        <v>850</v>
      </c>
      <c r="Q324" s="20" t="s">
        <v>40</v>
      </c>
      <c r="R324" s="2">
        <f t="shared" si="144"/>
        <v>797101.36999999988</v>
      </c>
      <c r="S324" s="2">
        <v>642792.81999999995</v>
      </c>
      <c r="T324" s="2">
        <v>154308.54999999999</v>
      </c>
      <c r="U324" s="2">
        <f t="shared" si="149"/>
        <v>152011.18</v>
      </c>
      <c r="V324" s="2">
        <v>113434.03</v>
      </c>
      <c r="W324" s="2">
        <v>38577.15</v>
      </c>
      <c r="X324" s="2">
        <f t="shared" si="145"/>
        <v>0</v>
      </c>
      <c r="Y324" s="2"/>
      <c r="Z324" s="2"/>
      <c r="AA324" s="2">
        <f t="shared" si="146"/>
        <v>19369.649999999998</v>
      </c>
      <c r="AB324" s="2">
        <v>15433.21</v>
      </c>
      <c r="AC324" s="2">
        <v>3936.44</v>
      </c>
      <c r="AD324" s="2">
        <f t="shared" si="147"/>
        <v>968482.19999999984</v>
      </c>
      <c r="AE324" s="2"/>
      <c r="AF324" s="2">
        <f t="shared" si="148"/>
        <v>968482.19999999984</v>
      </c>
      <c r="AG324" s="24" t="s">
        <v>41</v>
      </c>
      <c r="AH324" s="34"/>
      <c r="AI324" s="35">
        <f>151069.39+15306.08+96848.21+24994.02+61062.29+191670.85+146395.04</f>
        <v>687345.88</v>
      </c>
      <c r="AJ324" s="36">
        <f>10340.24+21388.37+4766.48+30114.35+18083.14+46387.73</f>
        <v>131080.31</v>
      </c>
      <c r="AK324" s="28">
        <f t="shared" si="140"/>
        <v>109755.48999999987</v>
      </c>
      <c r="AL324" s="28">
        <f t="shared" si="141"/>
        <v>20930.869999999995</v>
      </c>
      <c r="AM324" s="29">
        <f t="shared" si="142"/>
        <v>0.86230673521487</v>
      </c>
    </row>
    <row r="325" spans="1:39" ht="192" customHeight="1" x14ac:dyDescent="0.25">
      <c r="A325" s="10">
        <v>322</v>
      </c>
      <c r="B325" s="37">
        <v>112412</v>
      </c>
      <c r="C325" s="20">
        <v>269</v>
      </c>
      <c r="D325" s="20" t="s">
        <v>254</v>
      </c>
      <c r="E325" s="14" t="s">
        <v>1005</v>
      </c>
      <c r="F325" s="63" t="s">
        <v>1234</v>
      </c>
      <c r="G325" s="63" t="s">
        <v>1235</v>
      </c>
      <c r="H325" s="20" t="s">
        <v>1236</v>
      </c>
      <c r="I325" s="16" t="s">
        <v>1237</v>
      </c>
      <c r="J325" s="30">
        <v>43259</v>
      </c>
      <c r="K325" s="30">
        <v>43869</v>
      </c>
      <c r="L325" s="31">
        <f t="shared" si="143"/>
        <v>82.304183541065214</v>
      </c>
      <c r="M325" s="20" t="s">
        <v>855</v>
      </c>
      <c r="N325" s="20" t="s">
        <v>228</v>
      </c>
      <c r="O325" s="20" t="s">
        <v>228</v>
      </c>
      <c r="P325" s="32" t="s">
        <v>850</v>
      </c>
      <c r="Q325" s="20" t="s">
        <v>40</v>
      </c>
      <c r="R325" s="2">
        <f t="shared" si="144"/>
        <v>789670.74</v>
      </c>
      <c r="S325" s="2">
        <v>636800.65</v>
      </c>
      <c r="T325" s="2">
        <v>152870.09</v>
      </c>
      <c r="U325" s="2">
        <f t="shared" si="149"/>
        <v>150594.14000000001</v>
      </c>
      <c r="V325" s="2">
        <v>112376.61</v>
      </c>
      <c r="W325" s="2">
        <v>38217.53</v>
      </c>
      <c r="X325" s="2">
        <f t="shared" si="145"/>
        <v>0</v>
      </c>
      <c r="Y325" s="2"/>
      <c r="Z325" s="2"/>
      <c r="AA325" s="2">
        <f t="shared" si="146"/>
        <v>19189.07</v>
      </c>
      <c r="AB325" s="2">
        <v>15289.33</v>
      </c>
      <c r="AC325" s="2">
        <v>3899.74</v>
      </c>
      <c r="AD325" s="2">
        <f t="shared" si="147"/>
        <v>959453.95</v>
      </c>
      <c r="AE325" s="2"/>
      <c r="AF325" s="2">
        <f t="shared" si="148"/>
        <v>959453.95</v>
      </c>
      <c r="AG325" s="39" t="s">
        <v>628</v>
      </c>
      <c r="AH325" s="34" t="s">
        <v>1238</v>
      </c>
      <c r="AI325" s="35">
        <f>95945.38+5019.44+25010.26+9763.75+114260.12+16124.2+16125.04+203494.65+30475.94+16453.44+90320.57+23005.98</f>
        <v>645998.77</v>
      </c>
      <c r="AJ325" s="36">
        <f>7941.36+4769.59+16667.83+3074.99+3075.12+38807.41+5811.93+3137.74+21791.13+18118.11</f>
        <v>123195.21000000002</v>
      </c>
      <c r="AK325" s="28">
        <f t="shared" ref="AK325:AK388" si="150">R325-AI325</f>
        <v>143671.96999999997</v>
      </c>
      <c r="AL325" s="28">
        <f t="shared" ref="AL325:AL388" si="151">U325-AJ325</f>
        <v>27398.929999999993</v>
      </c>
      <c r="AM325" s="29">
        <f t="shared" ref="AM325:AM388" si="152">AI325/R325</f>
        <v>0.81806091738944264</v>
      </c>
    </row>
    <row r="326" spans="1:39" ht="192" customHeight="1" x14ac:dyDescent="0.25">
      <c r="A326" s="10">
        <v>323</v>
      </c>
      <c r="B326" s="37">
        <v>113035</v>
      </c>
      <c r="C326" s="20">
        <v>332</v>
      </c>
      <c r="D326" s="20" t="s">
        <v>254</v>
      </c>
      <c r="E326" s="14" t="s">
        <v>1005</v>
      </c>
      <c r="F326" s="63" t="s">
        <v>1239</v>
      </c>
      <c r="G326" s="15" t="s">
        <v>1240</v>
      </c>
      <c r="H326" s="20" t="s">
        <v>132</v>
      </c>
      <c r="I326" s="16" t="s">
        <v>1861</v>
      </c>
      <c r="J326" s="30">
        <v>43258</v>
      </c>
      <c r="K326" s="30">
        <v>43745</v>
      </c>
      <c r="L326" s="31">
        <f t="shared" si="143"/>
        <v>82.304190781814583</v>
      </c>
      <c r="M326" s="20" t="s">
        <v>855</v>
      </c>
      <c r="N326" s="20" t="s">
        <v>228</v>
      </c>
      <c r="O326" s="20" t="s">
        <v>228</v>
      </c>
      <c r="P326" s="32" t="s">
        <v>850</v>
      </c>
      <c r="Q326" s="20" t="s">
        <v>40</v>
      </c>
      <c r="R326" s="2">
        <f t="shared" si="144"/>
        <v>813615.64999999991</v>
      </c>
      <c r="S326" s="2">
        <v>656110.1</v>
      </c>
      <c r="T326" s="2">
        <v>157505.54999999999</v>
      </c>
      <c r="U326" s="2">
        <f t="shared" si="149"/>
        <v>155160.44</v>
      </c>
      <c r="V326" s="2">
        <v>115784.14</v>
      </c>
      <c r="W326" s="2">
        <v>39376.300000000003</v>
      </c>
      <c r="X326" s="2">
        <f t="shared" si="145"/>
        <v>0</v>
      </c>
      <c r="Y326" s="2">
        <v>0</v>
      </c>
      <c r="Z326" s="2">
        <v>0</v>
      </c>
      <c r="AA326" s="2">
        <f t="shared" si="146"/>
        <v>19770.96</v>
      </c>
      <c r="AB326" s="2">
        <v>15752.93</v>
      </c>
      <c r="AC326" s="2">
        <v>4018.03</v>
      </c>
      <c r="AD326" s="2">
        <f t="shared" si="147"/>
        <v>988547.04999999981</v>
      </c>
      <c r="AE326" s="2">
        <v>0</v>
      </c>
      <c r="AF326" s="2">
        <f t="shared" si="148"/>
        <v>988547.04999999981</v>
      </c>
      <c r="AG326" s="24" t="s">
        <v>41</v>
      </c>
      <c r="AH326" s="34" t="s">
        <v>1241</v>
      </c>
      <c r="AI326" s="35">
        <f>660984.49+9608.72+119843.6-177</f>
        <v>790259.80999999994</v>
      </c>
      <c r="AJ326" s="36">
        <f>107200.99+19833+22854.78+817.6</f>
        <v>150706.37000000002</v>
      </c>
      <c r="AK326" s="28">
        <f t="shared" si="150"/>
        <v>23355.839999999967</v>
      </c>
      <c r="AL326" s="28">
        <f t="shared" si="151"/>
        <v>4454.0699999999779</v>
      </c>
      <c r="AM326" s="29">
        <f t="shared" si="152"/>
        <v>0.97129376751786922</v>
      </c>
    </row>
    <row r="327" spans="1:39" ht="192" customHeight="1" x14ac:dyDescent="0.25">
      <c r="A327" s="10">
        <v>324</v>
      </c>
      <c r="B327" s="37">
        <v>112992</v>
      </c>
      <c r="C327" s="37">
        <v>233</v>
      </c>
      <c r="D327" s="20" t="s">
        <v>254</v>
      </c>
      <c r="E327" s="14" t="s">
        <v>1005</v>
      </c>
      <c r="F327" s="146" t="s">
        <v>1242</v>
      </c>
      <c r="G327" s="15" t="s">
        <v>1243</v>
      </c>
      <c r="H327" s="20" t="s">
        <v>132</v>
      </c>
      <c r="I327" s="16" t="s">
        <v>1862</v>
      </c>
      <c r="J327" s="30">
        <v>43259</v>
      </c>
      <c r="K327" s="30">
        <v>43807</v>
      </c>
      <c r="L327" s="31">
        <f t="shared" si="143"/>
        <v>82.304185804634827</v>
      </c>
      <c r="M327" s="20" t="s">
        <v>855</v>
      </c>
      <c r="N327" s="20" t="s">
        <v>228</v>
      </c>
      <c r="O327" s="20" t="s">
        <v>228</v>
      </c>
      <c r="P327" s="32" t="s">
        <v>850</v>
      </c>
      <c r="Q327" s="20" t="s">
        <v>40</v>
      </c>
      <c r="R327" s="2">
        <f t="shared" si="144"/>
        <v>413202.42000000004</v>
      </c>
      <c r="S327" s="2">
        <v>333211.76</v>
      </c>
      <c r="T327" s="2">
        <v>79990.66</v>
      </c>
      <c r="U327" s="2">
        <f t="shared" si="149"/>
        <v>78799.740000000005</v>
      </c>
      <c r="V327" s="2">
        <v>58802.080000000002</v>
      </c>
      <c r="W327" s="2">
        <v>19997.66</v>
      </c>
      <c r="X327" s="2">
        <f t="shared" si="145"/>
        <v>0</v>
      </c>
      <c r="Y327" s="2"/>
      <c r="Z327" s="2"/>
      <c r="AA327" s="2">
        <f t="shared" si="146"/>
        <v>10040.86</v>
      </c>
      <c r="AB327" s="2">
        <v>8000.27</v>
      </c>
      <c r="AC327" s="2">
        <v>2040.59</v>
      </c>
      <c r="AD327" s="2">
        <f t="shared" si="147"/>
        <v>502043.02</v>
      </c>
      <c r="AE327" s="2">
        <v>96.29</v>
      </c>
      <c r="AF327" s="2">
        <f t="shared" si="148"/>
        <v>502139.31</v>
      </c>
      <c r="AG327" s="24" t="s">
        <v>41</v>
      </c>
      <c r="AH327" s="34" t="s">
        <v>1244</v>
      </c>
      <c r="AI327" s="35">
        <f>288667.07+18246.61+35182-18201.37</f>
        <v>323894.31</v>
      </c>
      <c r="AJ327" s="36">
        <f>45476.06+13053.86+3238.27</f>
        <v>61768.189999999995</v>
      </c>
      <c r="AK327" s="28">
        <f t="shared" si="150"/>
        <v>89308.110000000044</v>
      </c>
      <c r="AL327" s="28">
        <f t="shared" si="151"/>
        <v>17031.55000000001</v>
      </c>
      <c r="AM327" s="29">
        <f t="shared" si="152"/>
        <v>0.78386353593960068</v>
      </c>
    </row>
    <row r="328" spans="1:39" ht="192" customHeight="1" x14ac:dyDescent="0.25">
      <c r="A328" s="10">
        <v>325</v>
      </c>
      <c r="B328" s="37">
        <v>109834</v>
      </c>
      <c r="C328" s="37">
        <v>202</v>
      </c>
      <c r="D328" s="20" t="s">
        <v>254</v>
      </c>
      <c r="E328" s="14" t="s">
        <v>1005</v>
      </c>
      <c r="F328" s="146" t="s">
        <v>1245</v>
      </c>
      <c r="G328" s="15" t="s">
        <v>1246</v>
      </c>
      <c r="H328" s="20" t="s">
        <v>132</v>
      </c>
      <c r="I328" s="16" t="s">
        <v>1247</v>
      </c>
      <c r="J328" s="30">
        <v>43264</v>
      </c>
      <c r="K328" s="30">
        <v>43751</v>
      </c>
      <c r="L328" s="31">
        <f t="shared" si="143"/>
        <v>82.304183375849476</v>
      </c>
      <c r="M328" s="20" t="s">
        <v>855</v>
      </c>
      <c r="N328" s="20" t="s">
        <v>228</v>
      </c>
      <c r="O328" s="20" t="s">
        <v>228</v>
      </c>
      <c r="P328" s="32" t="s">
        <v>850</v>
      </c>
      <c r="Q328" s="20" t="s">
        <v>40</v>
      </c>
      <c r="R328" s="2">
        <f t="shared" si="144"/>
        <v>756907.55</v>
      </c>
      <c r="S328" s="2">
        <v>610380.03</v>
      </c>
      <c r="T328" s="2">
        <v>146527.51999999999</v>
      </c>
      <c r="U328" s="2">
        <f t="shared" si="149"/>
        <v>144346.04</v>
      </c>
      <c r="V328" s="2">
        <v>107714.13</v>
      </c>
      <c r="W328" s="2">
        <v>36631.910000000003</v>
      </c>
      <c r="X328" s="2">
        <f t="shared" si="145"/>
        <v>0</v>
      </c>
      <c r="Y328" s="2"/>
      <c r="Z328" s="2"/>
      <c r="AA328" s="2">
        <f t="shared" si="146"/>
        <v>18392.919999999998</v>
      </c>
      <c r="AB328" s="2">
        <v>14654.96</v>
      </c>
      <c r="AC328" s="2">
        <v>3737.96</v>
      </c>
      <c r="AD328" s="2">
        <f t="shared" si="147"/>
        <v>919646.51000000013</v>
      </c>
      <c r="AE328" s="2">
        <v>0</v>
      </c>
      <c r="AF328" s="2">
        <f t="shared" si="148"/>
        <v>919646.51000000013</v>
      </c>
      <c r="AG328" s="24" t="s">
        <v>41</v>
      </c>
      <c r="AH328" s="34" t="s">
        <v>1248</v>
      </c>
      <c r="AI328" s="35">
        <f>563280.08+150291.55-17456.57</f>
        <v>696115.05999999994</v>
      </c>
      <c r="AJ328" s="36">
        <f>103044.14+15874.06+13834.42</f>
        <v>132752.62</v>
      </c>
      <c r="AK328" s="28">
        <f t="shared" si="150"/>
        <v>60792.490000000107</v>
      </c>
      <c r="AL328" s="28">
        <f t="shared" si="151"/>
        <v>11593.420000000013</v>
      </c>
      <c r="AM328" s="29">
        <f t="shared" si="152"/>
        <v>0.91968307093779145</v>
      </c>
    </row>
    <row r="329" spans="1:39" ht="192" customHeight="1" x14ac:dyDescent="0.25">
      <c r="A329" s="10">
        <v>326</v>
      </c>
      <c r="B329" s="37">
        <v>111613</v>
      </c>
      <c r="C329" s="37">
        <v>289</v>
      </c>
      <c r="D329" s="20" t="s">
        <v>254</v>
      </c>
      <c r="E329" s="14" t="s">
        <v>1005</v>
      </c>
      <c r="F329" s="146" t="s">
        <v>1249</v>
      </c>
      <c r="G329" s="15" t="s">
        <v>1250</v>
      </c>
      <c r="H329" s="20" t="s">
        <v>1251</v>
      </c>
      <c r="I329" s="16" t="s">
        <v>1252</v>
      </c>
      <c r="J329" s="30">
        <v>43264</v>
      </c>
      <c r="K329" s="30">
        <v>43751</v>
      </c>
      <c r="L329" s="31">
        <f t="shared" si="143"/>
        <v>82.304185024184278</v>
      </c>
      <c r="M329" s="20" t="s">
        <v>855</v>
      </c>
      <c r="N329" s="20" t="s">
        <v>774</v>
      </c>
      <c r="O329" s="20" t="s">
        <v>774</v>
      </c>
      <c r="P329" s="32" t="s">
        <v>850</v>
      </c>
      <c r="Q329" s="20" t="s">
        <v>40</v>
      </c>
      <c r="R329" s="2">
        <f t="shared" si="144"/>
        <v>790560.66</v>
      </c>
      <c r="S329" s="2">
        <v>637518.30000000005</v>
      </c>
      <c r="T329" s="2">
        <v>153042.35999999999</v>
      </c>
      <c r="U329" s="2">
        <f t="shared" si="149"/>
        <v>150763.83000000002</v>
      </c>
      <c r="V329" s="2">
        <v>112503.22</v>
      </c>
      <c r="W329" s="2">
        <v>38260.61</v>
      </c>
      <c r="X329" s="2">
        <v>0</v>
      </c>
      <c r="Y329" s="2"/>
      <c r="Z329" s="2"/>
      <c r="AA329" s="2">
        <f t="shared" si="146"/>
        <v>19210.7</v>
      </c>
      <c r="AB329" s="2">
        <v>15306.57</v>
      </c>
      <c r="AC329" s="2">
        <v>3904.13</v>
      </c>
      <c r="AD329" s="2">
        <f t="shared" si="147"/>
        <v>960535.19</v>
      </c>
      <c r="AE329" s="2">
        <v>67830</v>
      </c>
      <c r="AF329" s="2">
        <f t="shared" si="148"/>
        <v>1028365.19</v>
      </c>
      <c r="AG329" s="24" t="s">
        <v>41</v>
      </c>
      <c r="AH329" s="34" t="s">
        <v>132</v>
      </c>
      <c r="AI329" s="35">
        <f>601578.5+85673.04+17171.08</f>
        <v>704422.62</v>
      </c>
      <c r="AJ329" s="36">
        <f>96406.11+16338.28+21592.49</f>
        <v>134336.88</v>
      </c>
      <c r="AK329" s="28">
        <f t="shared" si="150"/>
        <v>86138.040000000037</v>
      </c>
      <c r="AL329" s="28">
        <f t="shared" si="151"/>
        <v>16426.950000000012</v>
      </c>
      <c r="AM329" s="29">
        <f t="shared" si="152"/>
        <v>0.89104183352609523</v>
      </c>
    </row>
    <row r="330" spans="1:39" ht="192" customHeight="1" x14ac:dyDescent="0.25">
      <c r="A330" s="10">
        <v>327</v>
      </c>
      <c r="B330" s="37">
        <v>112219</v>
      </c>
      <c r="C330" s="37">
        <v>274</v>
      </c>
      <c r="D330" s="20" t="s">
        <v>254</v>
      </c>
      <c r="E330" s="14" t="s">
        <v>1005</v>
      </c>
      <c r="F330" s="63" t="s">
        <v>1253</v>
      </c>
      <c r="G330" s="15" t="s">
        <v>1254</v>
      </c>
      <c r="H330" s="20" t="s">
        <v>1255</v>
      </c>
      <c r="I330" s="16" t="s">
        <v>1256</v>
      </c>
      <c r="J330" s="30">
        <v>43262</v>
      </c>
      <c r="K330" s="30">
        <v>43749</v>
      </c>
      <c r="L330" s="31">
        <f t="shared" si="143"/>
        <v>82.304180101214385</v>
      </c>
      <c r="M330" s="20" t="s">
        <v>855</v>
      </c>
      <c r="N330" s="20" t="s">
        <v>1257</v>
      </c>
      <c r="O330" s="20" t="s">
        <v>1258</v>
      </c>
      <c r="P330" s="32" t="s">
        <v>850</v>
      </c>
      <c r="Q330" s="20" t="s">
        <v>40</v>
      </c>
      <c r="R330" s="2">
        <f t="shared" si="144"/>
        <v>796246.49</v>
      </c>
      <c r="S330" s="2">
        <v>642103.43000000005</v>
      </c>
      <c r="T330" s="2">
        <v>154143.06</v>
      </c>
      <c r="U330" s="2">
        <f t="shared" si="149"/>
        <v>151848.19</v>
      </c>
      <c r="V330" s="2">
        <v>113312.41</v>
      </c>
      <c r="W330" s="2">
        <v>38535.78</v>
      </c>
      <c r="X330" s="2">
        <f t="shared" ref="X330:X393" si="153">Y330+Z330</f>
        <v>0</v>
      </c>
      <c r="Y330" s="2"/>
      <c r="Z330" s="2"/>
      <c r="AA330" s="2">
        <f t="shared" si="146"/>
        <v>19348.88</v>
      </c>
      <c r="AB330" s="2">
        <v>15416.65</v>
      </c>
      <c r="AC330" s="2">
        <v>3932.23</v>
      </c>
      <c r="AD330" s="2">
        <f t="shared" si="147"/>
        <v>967443.55999999994</v>
      </c>
      <c r="AE330" s="2"/>
      <c r="AF330" s="2">
        <f t="shared" si="148"/>
        <v>967443.55999999994</v>
      </c>
      <c r="AG330" s="24" t="s">
        <v>41</v>
      </c>
      <c r="AH330" s="34" t="s">
        <v>1259</v>
      </c>
      <c r="AI330" s="35">
        <f>191558.95+82810.85-11941.24+189135.5-9602.09+179531.24+112002.06-2148.73+7719.83</f>
        <v>739066.37</v>
      </c>
      <c r="AJ330" s="36">
        <f>18065.03+15792.44+11941.24+3307.22+18543.36+15614.11+16792.23+39159.49+1728.5</f>
        <v>140943.62</v>
      </c>
      <c r="AK330" s="28">
        <f t="shared" si="150"/>
        <v>57180.119999999995</v>
      </c>
      <c r="AL330" s="28">
        <f t="shared" si="151"/>
        <v>10904.570000000007</v>
      </c>
      <c r="AM330" s="29">
        <f t="shared" si="152"/>
        <v>0.92818791577969784</v>
      </c>
    </row>
    <row r="331" spans="1:39" ht="192" customHeight="1" x14ac:dyDescent="0.25">
      <c r="A331" s="10">
        <v>328</v>
      </c>
      <c r="B331" s="37">
        <v>111981</v>
      </c>
      <c r="C331" s="37">
        <v>264</v>
      </c>
      <c r="D331" s="20" t="s">
        <v>254</v>
      </c>
      <c r="E331" s="14" t="s">
        <v>1005</v>
      </c>
      <c r="F331" s="63" t="s">
        <v>1260</v>
      </c>
      <c r="G331" s="15" t="s">
        <v>600</v>
      </c>
      <c r="H331" s="20" t="s">
        <v>1261</v>
      </c>
      <c r="I331" s="16" t="s">
        <v>1262</v>
      </c>
      <c r="J331" s="30">
        <v>43264</v>
      </c>
      <c r="K331" s="30">
        <v>43874</v>
      </c>
      <c r="L331" s="31">
        <f t="shared" si="143"/>
        <v>82.304187524210803</v>
      </c>
      <c r="M331" s="20" t="s">
        <v>855</v>
      </c>
      <c r="N331" s="20" t="s">
        <v>406</v>
      </c>
      <c r="O331" s="20" t="s">
        <v>401</v>
      </c>
      <c r="P331" s="32" t="s">
        <v>850</v>
      </c>
      <c r="Q331" s="20" t="s">
        <v>40</v>
      </c>
      <c r="R331" s="2">
        <f t="shared" si="144"/>
        <v>771066.18</v>
      </c>
      <c r="S331" s="2">
        <v>621797.65</v>
      </c>
      <c r="T331" s="2">
        <v>149268.53</v>
      </c>
      <c r="U331" s="2">
        <f t="shared" si="149"/>
        <v>147046.1</v>
      </c>
      <c r="V331" s="2">
        <v>109729</v>
      </c>
      <c r="W331" s="2">
        <v>37317.1</v>
      </c>
      <c r="X331" s="2">
        <f t="shared" si="153"/>
        <v>0</v>
      </c>
      <c r="Y331" s="2"/>
      <c r="Z331" s="2"/>
      <c r="AA331" s="2">
        <f t="shared" si="146"/>
        <v>18736.989999999998</v>
      </c>
      <c r="AB331" s="2">
        <v>14929.14</v>
      </c>
      <c r="AC331" s="2">
        <v>3807.85</v>
      </c>
      <c r="AD331" s="2">
        <f t="shared" si="147"/>
        <v>936849.27</v>
      </c>
      <c r="AE331" s="2"/>
      <c r="AF331" s="2">
        <f t="shared" si="148"/>
        <v>936849.27</v>
      </c>
      <c r="AG331" s="39" t="s">
        <v>628</v>
      </c>
      <c r="AH331" s="34" t="s">
        <v>1014</v>
      </c>
      <c r="AI331" s="35">
        <f>627878.85+15145.61+1697.71+43882.89+21028.71</f>
        <v>709633.7699999999</v>
      </c>
      <c r="AJ331" s="36">
        <f>105047.04+2888.35+12346.51+11038.55+4010.29</f>
        <v>135330.74</v>
      </c>
      <c r="AK331" s="28">
        <f t="shared" si="150"/>
        <v>61432.410000000149</v>
      </c>
      <c r="AL331" s="28">
        <f t="shared" si="151"/>
        <v>11715.360000000015</v>
      </c>
      <c r="AM331" s="29">
        <f t="shared" si="152"/>
        <v>0.92032796717915943</v>
      </c>
    </row>
    <row r="332" spans="1:39" ht="192" customHeight="1" x14ac:dyDescent="0.25">
      <c r="A332" s="10">
        <v>329</v>
      </c>
      <c r="B332" s="37">
        <v>113037</v>
      </c>
      <c r="C332" s="37">
        <v>280</v>
      </c>
      <c r="D332" s="20" t="s">
        <v>254</v>
      </c>
      <c r="E332" s="14" t="s">
        <v>1005</v>
      </c>
      <c r="F332" s="63" t="s">
        <v>1263</v>
      </c>
      <c r="G332" s="15" t="s">
        <v>1264</v>
      </c>
      <c r="H332" s="20" t="s">
        <v>1265</v>
      </c>
      <c r="I332" s="16" t="s">
        <v>1266</v>
      </c>
      <c r="J332" s="30">
        <v>43269</v>
      </c>
      <c r="K332" s="30">
        <v>43756</v>
      </c>
      <c r="L332" s="31">
        <f t="shared" si="143"/>
        <v>82.304185659324261</v>
      </c>
      <c r="M332" s="20" t="s">
        <v>855</v>
      </c>
      <c r="N332" s="20" t="s">
        <v>229</v>
      </c>
      <c r="O332" s="20" t="s">
        <v>229</v>
      </c>
      <c r="P332" s="32" t="s">
        <v>850</v>
      </c>
      <c r="Q332" s="20" t="s">
        <v>40</v>
      </c>
      <c r="R332" s="2">
        <f t="shared" si="144"/>
        <v>812766.5</v>
      </c>
      <c r="S332" s="2">
        <v>655425.36</v>
      </c>
      <c r="T332" s="2">
        <v>157341.14000000001</v>
      </c>
      <c r="U332" s="2">
        <f t="shared" si="149"/>
        <v>154998.59</v>
      </c>
      <c r="V332" s="2">
        <v>115663.31</v>
      </c>
      <c r="W332" s="2">
        <v>39335.279999999999</v>
      </c>
      <c r="X332" s="2">
        <f t="shared" si="153"/>
        <v>0</v>
      </c>
      <c r="Y332" s="2"/>
      <c r="Z332" s="2"/>
      <c r="AA332" s="2">
        <f t="shared" si="146"/>
        <v>19750.3</v>
      </c>
      <c r="AB332" s="2">
        <v>15736.51</v>
      </c>
      <c r="AC332" s="2">
        <v>4013.79</v>
      </c>
      <c r="AD332" s="2">
        <f t="shared" si="147"/>
        <v>987515.39</v>
      </c>
      <c r="AE332" s="2"/>
      <c r="AF332" s="2">
        <f t="shared" si="148"/>
        <v>987515.39</v>
      </c>
      <c r="AG332" s="24" t="s">
        <v>41</v>
      </c>
      <c r="AH332" s="34" t="s">
        <v>132</v>
      </c>
      <c r="AI332" s="35">
        <f>453689.55+62401.05+231922.17+8071.09</f>
        <v>756083.86</v>
      </c>
      <c r="AJ332" s="36">
        <f>14547.96+18386.23+14448.94+20305.31+30732.58+44228.7+1539.2</f>
        <v>144188.92000000001</v>
      </c>
      <c r="AK332" s="28">
        <f t="shared" si="150"/>
        <v>56682.640000000014</v>
      </c>
      <c r="AL332" s="28">
        <f t="shared" si="151"/>
        <v>10809.669999999984</v>
      </c>
      <c r="AM332" s="29">
        <f t="shared" si="152"/>
        <v>0.93025962561203002</v>
      </c>
    </row>
    <row r="333" spans="1:39" ht="192" customHeight="1" x14ac:dyDescent="0.25">
      <c r="A333" s="10">
        <v>330</v>
      </c>
      <c r="B333" s="37">
        <v>126354</v>
      </c>
      <c r="C333" s="37">
        <v>491</v>
      </c>
      <c r="D333" s="15" t="s">
        <v>425</v>
      </c>
      <c r="E333" s="14" t="s">
        <v>426</v>
      </c>
      <c r="F333" s="15" t="s">
        <v>1267</v>
      </c>
      <c r="G333" s="20" t="s">
        <v>1268</v>
      </c>
      <c r="H333" s="20" t="s">
        <v>35</v>
      </c>
      <c r="I333" s="15" t="s">
        <v>1269</v>
      </c>
      <c r="J333" s="30">
        <v>43515</v>
      </c>
      <c r="K333" s="30">
        <v>44246</v>
      </c>
      <c r="L333" s="31">
        <f t="shared" si="143"/>
        <v>83.300000282457262</v>
      </c>
      <c r="M333" s="20" t="s">
        <v>1270</v>
      </c>
      <c r="N333" s="20" t="s">
        <v>1271</v>
      </c>
      <c r="O333" s="20" t="s">
        <v>1271</v>
      </c>
      <c r="P333" s="20" t="s">
        <v>850</v>
      </c>
      <c r="Q333" s="20" t="s">
        <v>40</v>
      </c>
      <c r="R333" s="35">
        <f t="shared" si="144"/>
        <v>2064383.09</v>
      </c>
      <c r="S333" s="35">
        <v>2064383.09</v>
      </c>
      <c r="T333" s="41">
        <v>0</v>
      </c>
      <c r="U333" s="35">
        <f t="shared" si="149"/>
        <v>364302.89</v>
      </c>
      <c r="V333" s="35">
        <v>364302.89</v>
      </c>
      <c r="W333" s="41">
        <v>0</v>
      </c>
      <c r="X333" s="35">
        <f t="shared" si="153"/>
        <v>0</v>
      </c>
      <c r="Y333" s="35">
        <v>0</v>
      </c>
      <c r="Z333" s="35">
        <v>0</v>
      </c>
      <c r="AA333" s="2">
        <f t="shared" si="146"/>
        <v>49565.02</v>
      </c>
      <c r="AB333" s="2">
        <v>49565.02</v>
      </c>
      <c r="AC333" s="2">
        <v>0</v>
      </c>
      <c r="AD333" s="2">
        <f t="shared" si="147"/>
        <v>2478251</v>
      </c>
      <c r="AE333" s="2">
        <v>0</v>
      </c>
      <c r="AF333" s="2">
        <f t="shared" si="148"/>
        <v>2478251</v>
      </c>
      <c r="AG333" s="39" t="s">
        <v>69</v>
      </c>
      <c r="AH333" s="39" t="s">
        <v>35</v>
      </c>
      <c r="AI333" s="35">
        <f>379630.33+188293.25+260720.58-14122.01+258532.83</f>
        <v>1073054.98</v>
      </c>
      <c r="AJ333" s="36">
        <f>56487.92+46009.49+14122.01+29009.29</f>
        <v>145628.71</v>
      </c>
      <c r="AK333" s="28">
        <f t="shared" si="150"/>
        <v>991328.1100000001</v>
      </c>
      <c r="AL333" s="28">
        <f t="shared" si="151"/>
        <v>218674.18000000002</v>
      </c>
      <c r="AM333" s="29">
        <f t="shared" si="152"/>
        <v>0.51979450190129195</v>
      </c>
    </row>
    <row r="334" spans="1:39" ht="192" customHeight="1" x14ac:dyDescent="0.25">
      <c r="A334" s="10">
        <v>331</v>
      </c>
      <c r="B334" s="37">
        <v>125435</v>
      </c>
      <c r="C334" s="37">
        <v>493</v>
      </c>
      <c r="D334" s="15" t="s">
        <v>425</v>
      </c>
      <c r="E334" s="14" t="s">
        <v>426</v>
      </c>
      <c r="F334" s="40" t="s">
        <v>1272</v>
      </c>
      <c r="G334" s="20" t="s">
        <v>1273</v>
      </c>
      <c r="H334" s="20" t="s">
        <v>35</v>
      </c>
      <c r="I334" s="55" t="s">
        <v>1274</v>
      </c>
      <c r="J334" s="30">
        <v>43531</v>
      </c>
      <c r="K334" s="30">
        <v>44142</v>
      </c>
      <c r="L334" s="31">
        <f t="shared" si="143"/>
        <v>83.300000756731819</v>
      </c>
      <c r="M334" s="20" t="s">
        <v>1275</v>
      </c>
      <c r="N334" s="20" t="s">
        <v>1276</v>
      </c>
      <c r="O334" s="20" t="s">
        <v>1276</v>
      </c>
      <c r="P334" s="20" t="s">
        <v>850</v>
      </c>
      <c r="Q334" s="20" t="s">
        <v>40</v>
      </c>
      <c r="R334" s="35">
        <f t="shared" si="144"/>
        <v>1797584.02</v>
      </c>
      <c r="S334" s="2">
        <v>1797584.02</v>
      </c>
      <c r="T334" s="2">
        <v>0</v>
      </c>
      <c r="U334" s="35">
        <f t="shared" si="149"/>
        <v>317220.69</v>
      </c>
      <c r="V334" s="2">
        <v>317220.69</v>
      </c>
      <c r="W334" s="2">
        <v>0</v>
      </c>
      <c r="X334" s="35">
        <f t="shared" si="153"/>
        <v>0</v>
      </c>
      <c r="Y334" s="2">
        <v>0</v>
      </c>
      <c r="Z334" s="2">
        <v>0</v>
      </c>
      <c r="AA334" s="2">
        <f t="shared" si="146"/>
        <v>43159.28</v>
      </c>
      <c r="AB334" s="2">
        <v>43159.28</v>
      </c>
      <c r="AC334" s="2">
        <v>0</v>
      </c>
      <c r="AD334" s="2">
        <f t="shared" si="147"/>
        <v>2157963.9899999998</v>
      </c>
      <c r="AE334" s="2">
        <v>0</v>
      </c>
      <c r="AF334" s="2">
        <f t="shared" si="148"/>
        <v>2157963.9899999998</v>
      </c>
      <c r="AG334" s="39" t="s">
        <v>69</v>
      </c>
      <c r="AH334" s="34" t="s">
        <v>1277</v>
      </c>
      <c r="AI334" s="35">
        <f>288486.99+139941.28-7379.3+112722.77</f>
        <v>533771.74</v>
      </c>
      <c r="AJ334" s="36">
        <f>14309.49+24483.75+7379.3+10963.67</f>
        <v>57136.21</v>
      </c>
      <c r="AK334" s="28">
        <f t="shared" si="150"/>
        <v>1263812.28</v>
      </c>
      <c r="AL334" s="28">
        <f t="shared" si="151"/>
        <v>260084.48000000001</v>
      </c>
      <c r="AM334" s="29">
        <f t="shared" si="152"/>
        <v>0.29693840958822054</v>
      </c>
    </row>
    <row r="335" spans="1:39" ht="192" customHeight="1" x14ac:dyDescent="0.25">
      <c r="A335" s="10">
        <v>332</v>
      </c>
      <c r="B335" s="37">
        <v>111409</v>
      </c>
      <c r="C335" s="37">
        <v>193</v>
      </c>
      <c r="D335" s="20" t="s">
        <v>254</v>
      </c>
      <c r="E335" s="14" t="s">
        <v>1005</v>
      </c>
      <c r="F335" s="146" t="s">
        <v>1278</v>
      </c>
      <c r="G335" s="15" t="s">
        <v>1279</v>
      </c>
      <c r="H335" s="20" t="s">
        <v>132</v>
      </c>
      <c r="I335" s="16" t="s">
        <v>1280</v>
      </c>
      <c r="J335" s="30">
        <v>43271</v>
      </c>
      <c r="K335" s="30">
        <v>43819</v>
      </c>
      <c r="L335" s="31">
        <f t="shared" si="143"/>
        <v>82.304192821223239</v>
      </c>
      <c r="M335" s="20" t="s">
        <v>855</v>
      </c>
      <c r="N335" s="19" t="s">
        <v>229</v>
      </c>
      <c r="O335" s="19" t="s">
        <v>229</v>
      </c>
      <c r="P335" s="32" t="s">
        <v>850</v>
      </c>
      <c r="Q335" s="20" t="s">
        <v>40</v>
      </c>
      <c r="R335" s="147">
        <f t="shared" si="144"/>
        <v>813056.8</v>
      </c>
      <c r="S335" s="2">
        <v>655659.42000000004</v>
      </c>
      <c r="T335" s="2">
        <v>157397.38</v>
      </c>
      <c r="U335" s="2">
        <f t="shared" si="149"/>
        <v>155053.86000000002</v>
      </c>
      <c r="V335" s="2">
        <v>115704.6</v>
      </c>
      <c r="W335" s="2">
        <v>39349.26</v>
      </c>
      <c r="X335" s="2">
        <f t="shared" si="153"/>
        <v>0</v>
      </c>
      <c r="Y335" s="2"/>
      <c r="Z335" s="2"/>
      <c r="AA335" s="2">
        <f t="shared" si="146"/>
        <v>19757.36</v>
      </c>
      <c r="AB335" s="2">
        <v>15742.12</v>
      </c>
      <c r="AC335" s="2">
        <v>4015.24</v>
      </c>
      <c r="AD335" s="2">
        <f t="shared" si="147"/>
        <v>987868.02</v>
      </c>
      <c r="AE335" s="2">
        <v>0</v>
      </c>
      <c r="AF335" s="2">
        <f t="shared" si="148"/>
        <v>987868.02</v>
      </c>
      <c r="AG335" s="39" t="s">
        <v>41</v>
      </c>
      <c r="AH335" s="34" t="s">
        <v>1281</v>
      </c>
      <c r="AI335" s="35">
        <f>794317.39-32626.91</f>
        <v>761690.48</v>
      </c>
      <c r="AJ335" s="36">
        <f>142402.74+2855.49</f>
        <v>145258.22999999998</v>
      </c>
      <c r="AK335" s="28">
        <f t="shared" si="150"/>
        <v>51366.320000000065</v>
      </c>
      <c r="AL335" s="28">
        <f t="shared" si="151"/>
        <v>9795.6300000000338</v>
      </c>
      <c r="AM335" s="29">
        <f t="shared" si="152"/>
        <v>0.9368232084154513</v>
      </c>
    </row>
    <row r="336" spans="1:39" ht="192" customHeight="1" x14ac:dyDescent="0.25">
      <c r="A336" s="10">
        <v>333</v>
      </c>
      <c r="B336" s="37">
        <v>118676</v>
      </c>
      <c r="C336" s="37">
        <v>432</v>
      </c>
      <c r="D336" s="20" t="s">
        <v>1282</v>
      </c>
      <c r="E336" s="14" t="s">
        <v>1283</v>
      </c>
      <c r="F336" s="146" t="s">
        <v>1284</v>
      </c>
      <c r="G336" s="15" t="s">
        <v>1285</v>
      </c>
      <c r="H336" s="20" t="s">
        <v>1286</v>
      </c>
      <c r="I336" s="16" t="s">
        <v>1287</v>
      </c>
      <c r="J336" s="30">
        <v>43270</v>
      </c>
      <c r="K336" s="30">
        <v>43970</v>
      </c>
      <c r="L336" s="31">
        <f t="shared" si="143"/>
        <v>83.983863365706441</v>
      </c>
      <c r="M336" s="20" t="s">
        <v>855</v>
      </c>
      <c r="N336" s="19" t="s">
        <v>229</v>
      </c>
      <c r="O336" s="19" t="s">
        <v>229</v>
      </c>
      <c r="P336" s="32" t="s">
        <v>260</v>
      </c>
      <c r="Q336" s="20" t="s">
        <v>40</v>
      </c>
      <c r="R336" s="2">
        <f t="shared" si="144"/>
        <v>3030823.93</v>
      </c>
      <c r="S336" s="2">
        <v>2444095.41</v>
      </c>
      <c r="T336" s="2">
        <v>586728.52</v>
      </c>
      <c r="U336" s="2">
        <f t="shared" si="149"/>
        <v>0</v>
      </c>
      <c r="V336" s="2"/>
      <c r="W336" s="2"/>
      <c r="X336" s="2">
        <f t="shared" si="153"/>
        <v>577993.05999999994</v>
      </c>
      <c r="Y336" s="2">
        <v>431310.97</v>
      </c>
      <c r="Z336" s="2">
        <v>146682.09</v>
      </c>
      <c r="AA336" s="2">
        <f t="shared" si="146"/>
        <v>0</v>
      </c>
      <c r="AB336" s="2">
        <v>0</v>
      </c>
      <c r="AC336" s="2">
        <v>0</v>
      </c>
      <c r="AD336" s="2">
        <f t="shared" si="147"/>
        <v>3608816.99</v>
      </c>
      <c r="AE336" s="2">
        <v>0</v>
      </c>
      <c r="AF336" s="2">
        <f t="shared" si="148"/>
        <v>3608816.99</v>
      </c>
      <c r="AG336" s="39" t="s">
        <v>69</v>
      </c>
      <c r="AH336" s="34" t="s">
        <v>1288</v>
      </c>
      <c r="AI336" s="35">
        <f>43102.2+366371.99+199.89+120510.92+225498.13+197283.1+424052.29+106695.85</f>
        <v>1483714.37</v>
      </c>
      <c r="AJ336" s="36">
        <v>0</v>
      </c>
      <c r="AK336" s="28">
        <f t="shared" si="150"/>
        <v>1547109.56</v>
      </c>
      <c r="AL336" s="28">
        <f t="shared" si="151"/>
        <v>0</v>
      </c>
      <c r="AM336" s="29">
        <f t="shared" si="152"/>
        <v>0.48954159141801418</v>
      </c>
    </row>
    <row r="337" spans="1:39" ht="192" customHeight="1" x14ac:dyDescent="0.25">
      <c r="A337" s="10">
        <v>334</v>
      </c>
      <c r="B337" s="37">
        <v>111610</v>
      </c>
      <c r="C337" s="37">
        <v>374</v>
      </c>
      <c r="D337" s="20" t="s">
        <v>1289</v>
      </c>
      <c r="E337" s="14" t="s">
        <v>1290</v>
      </c>
      <c r="F337" s="146" t="s">
        <v>1291</v>
      </c>
      <c r="G337" s="15" t="s">
        <v>1292</v>
      </c>
      <c r="H337" s="20" t="s">
        <v>1293</v>
      </c>
      <c r="I337" s="16" t="s">
        <v>1294</v>
      </c>
      <c r="J337" s="30">
        <v>43272</v>
      </c>
      <c r="K337" s="30">
        <v>43820</v>
      </c>
      <c r="L337" s="31">
        <f t="shared" si="143"/>
        <v>82.304186949685416</v>
      </c>
      <c r="M337" s="20" t="s">
        <v>855</v>
      </c>
      <c r="N337" s="19" t="s">
        <v>229</v>
      </c>
      <c r="O337" s="19" t="s">
        <v>229</v>
      </c>
      <c r="P337" s="32" t="s">
        <v>850</v>
      </c>
      <c r="Q337" s="20" t="s">
        <v>40</v>
      </c>
      <c r="R337" s="2">
        <f t="shared" si="144"/>
        <v>3413208.43</v>
      </c>
      <c r="S337" s="2">
        <v>2752455.22</v>
      </c>
      <c r="T337" s="2">
        <v>660753.21</v>
      </c>
      <c r="U337" s="2">
        <f t="shared" si="149"/>
        <v>650915.57999999996</v>
      </c>
      <c r="V337" s="2">
        <v>485727.31</v>
      </c>
      <c r="W337" s="2">
        <v>165188.26999999999</v>
      </c>
      <c r="X337" s="2">
        <f t="shared" si="153"/>
        <v>0</v>
      </c>
      <c r="Y337" s="2">
        <v>0</v>
      </c>
      <c r="Z337" s="2">
        <v>0</v>
      </c>
      <c r="AA337" s="2">
        <f t="shared" si="146"/>
        <v>82941.353863662065</v>
      </c>
      <c r="AB337" s="2">
        <v>66085.38</v>
      </c>
      <c r="AC337" s="2">
        <v>16855.97386366206</v>
      </c>
      <c r="AD337" s="2">
        <f t="shared" si="147"/>
        <v>4147065.3638636624</v>
      </c>
      <c r="AE337" s="2">
        <v>0</v>
      </c>
      <c r="AF337" s="2">
        <f t="shared" si="148"/>
        <v>4147065.3638636624</v>
      </c>
      <c r="AG337" s="39" t="s">
        <v>41</v>
      </c>
      <c r="AH337" s="34" t="s">
        <v>1295</v>
      </c>
      <c r="AI337" s="35">
        <f>413506.52+39634.08+203862.73+22675.21+238112.3-5677.61+315671.54+256839.5+48499.95+31156.55+577305.1+574631.44+238908.29+212961.41</f>
        <v>3168087.0100000002</v>
      </c>
      <c r="AJ337" s="36">
        <f>51329.52+25659.99+79433+5677.61+44422.4+12020.11+67601.69+43232.94+109585.05+124594.61+40612.79</f>
        <v>604169.71000000008</v>
      </c>
      <c r="AK337" s="28">
        <f t="shared" si="150"/>
        <v>245121.41999999993</v>
      </c>
      <c r="AL337" s="28">
        <f t="shared" si="151"/>
        <v>46745.869999999879</v>
      </c>
      <c r="AM337" s="29">
        <f t="shared" si="152"/>
        <v>0.92818445605444611</v>
      </c>
    </row>
    <row r="338" spans="1:39" ht="192" customHeight="1" x14ac:dyDescent="0.25">
      <c r="A338" s="10">
        <v>335</v>
      </c>
      <c r="B338" s="37">
        <v>110423</v>
      </c>
      <c r="C338" s="37">
        <v>207</v>
      </c>
      <c r="D338" s="20" t="s">
        <v>254</v>
      </c>
      <c r="E338" s="14" t="s">
        <v>1005</v>
      </c>
      <c r="F338" s="146" t="s">
        <v>1296</v>
      </c>
      <c r="G338" s="53" t="s">
        <v>1297</v>
      </c>
      <c r="H338" s="20" t="s">
        <v>132</v>
      </c>
      <c r="I338" s="16" t="s">
        <v>1298</v>
      </c>
      <c r="J338" s="30">
        <v>43272</v>
      </c>
      <c r="K338" s="30">
        <v>43820</v>
      </c>
      <c r="L338" s="31">
        <f t="shared" si="143"/>
        <v>82.304184780767926</v>
      </c>
      <c r="M338" s="20" t="s">
        <v>855</v>
      </c>
      <c r="N338" s="20" t="s">
        <v>228</v>
      </c>
      <c r="O338" s="20" t="s">
        <v>228</v>
      </c>
      <c r="P338" s="32" t="s">
        <v>850</v>
      </c>
      <c r="Q338" s="20" t="s">
        <v>40</v>
      </c>
      <c r="R338" s="2">
        <f t="shared" si="144"/>
        <v>823039.14</v>
      </c>
      <c r="S338" s="2">
        <v>663709.35</v>
      </c>
      <c r="T338" s="2">
        <v>159329.79</v>
      </c>
      <c r="U338" s="2">
        <f t="shared" si="149"/>
        <v>156957.63</v>
      </c>
      <c r="V338" s="2">
        <v>117125.19</v>
      </c>
      <c r="W338" s="2">
        <v>39832.44</v>
      </c>
      <c r="X338" s="2">
        <f t="shared" si="153"/>
        <v>0</v>
      </c>
      <c r="Y338" s="2"/>
      <c r="Z338" s="2"/>
      <c r="AA338" s="2">
        <f t="shared" si="146"/>
        <v>19999.939999999999</v>
      </c>
      <c r="AB338" s="2">
        <v>15935.41</v>
      </c>
      <c r="AC338" s="2">
        <v>4064.53</v>
      </c>
      <c r="AD338" s="2">
        <f t="shared" si="147"/>
        <v>999996.71</v>
      </c>
      <c r="AE338" s="2">
        <v>0</v>
      </c>
      <c r="AF338" s="2">
        <f t="shared" si="148"/>
        <v>999996.71</v>
      </c>
      <c r="AG338" s="39" t="s">
        <v>41</v>
      </c>
      <c r="AH338" s="34" t="s">
        <v>1299</v>
      </c>
      <c r="AI338" s="35">
        <f>563686.25+9788.05+56761.68+161067.97+5325.05</f>
        <v>796629.00000000012</v>
      </c>
      <c r="AJ338" s="36">
        <f>88427.44+20936.91+10824.71+11646.17+20085.81</f>
        <v>151921.04</v>
      </c>
      <c r="AK338" s="28">
        <f t="shared" si="150"/>
        <v>26410.139999999898</v>
      </c>
      <c r="AL338" s="28">
        <f t="shared" si="151"/>
        <v>5036.5899999999965</v>
      </c>
      <c r="AM338" s="29">
        <f t="shared" si="152"/>
        <v>0.96791144100388726</v>
      </c>
    </row>
    <row r="339" spans="1:39" ht="192" customHeight="1" x14ac:dyDescent="0.25">
      <c r="A339" s="10">
        <v>336</v>
      </c>
      <c r="B339" s="37">
        <v>111199</v>
      </c>
      <c r="C339" s="37">
        <v>147</v>
      </c>
      <c r="D339" s="20" t="s">
        <v>254</v>
      </c>
      <c r="E339" s="14" t="s">
        <v>1005</v>
      </c>
      <c r="F339" s="146" t="s">
        <v>1300</v>
      </c>
      <c r="G339" s="15" t="s">
        <v>1301</v>
      </c>
      <c r="H339" s="20" t="s">
        <v>1302</v>
      </c>
      <c r="I339" s="16" t="s">
        <v>1303</v>
      </c>
      <c r="J339" s="30">
        <v>43277</v>
      </c>
      <c r="K339" s="30">
        <v>43764</v>
      </c>
      <c r="L339" s="31">
        <f t="shared" si="143"/>
        <v>82.524995224288418</v>
      </c>
      <c r="M339" s="20" t="s">
        <v>855</v>
      </c>
      <c r="N339" s="20" t="s">
        <v>228</v>
      </c>
      <c r="O339" s="20" t="s">
        <v>228</v>
      </c>
      <c r="P339" s="32" t="s">
        <v>850</v>
      </c>
      <c r="Q339" s="20" t="s">
        <v>40</v>
      </c>
      <c r="R339" s="2">
        <f t="shared" si="144"/>
        <v>825126.99</v>
      </c>
      <c r="S339" s="2">
        <v>665393.03</v>
      </c>
      <c r="T339" s="2">
        <v>159733.96</v>
      </c>
      <c r="U339" s="2">
        <f t="shared" si="149"/>
        <v>154726.99</v>
      </c>
      <c r="V339" s="2">
        <v>115327.75</v>
      </c>
      <c r="W339" s="2">
        <v>39399.24</v>
      </c>
      <c r="X339" s="2">
        <f t="shared" si="153"/>
        <v>0</v>
      </c>
      <c r="Y339" s="2">
        <v>0</v>
      </c>
      <c r="Z339" s="2">
        <v>0</v>
      </c>
      <c r="AA339" s="2">
        <f t="shared" si="146"/>
        <v>19997.02</v>
      </c>
      <c r="AB339" s="2">
        <v>15933.08</v>
      </c>
      <c r="AC339" s="2">
        <v>4063.94</v>
      </c>
      <c r="AD339" s="2">
        <f t="shared" si="147"/>
        <v>999851</v>
      </c>
      <c r="AE339" s="2">
        <v>0</v>
      </c>
      <c r="AF339" s="2">
        <f t="shared" si="148"/>
        <v>999851</v>
      </c>
      <c r="AG339" s="24" t="s">
        <v>41</v>
      </c>
      <c r="AH339" s="34" t="s">
        <v>35</v>
      </c>
      <c r="AI339" s="35">
        <f>468127.93-12613.35+243265.58</f>
        <v>698780.16000000003</v>
      </c>
      <c r="AJ339" s="36">
        <f>17105.45+14284.79+17404.21+19871.63+13778.33+48936.49</f>
        <v>131380.9</v>
      </c>
      <c r="AK339" s="28">
        <f t="shared" si="150"/>
        <v>126346.82999999996</v>
      </c>
      <c r="AL339" s="28">
        <f t="shared" si="151"/>
        <v>23346.089999999997</v>
      </c>
      <c r="AM339" s="29">
        <f t="shared" si="152"/>
        <v>0.84687589724825274</v>
      </c>
    </row>
    <row r="340" spans="1:39" ht="192" customHeight="1" x14ac:dyDescent="0.25">
      <c r="A340" s="10">
        <v>337</v>
      </c>
      <c r="B340" s="37">
        <v>111846</v>
      </c>
      <c r="C340" s="37">
        <v>165</v>
      </c>
      <c r="D340" s="20" t="s">
        <v>254</v>
      </c>
      <c r="E340" s="14" t="s">
        <v>1005</v>
      </c>
      <c r="F340" s="15" t="s">
        <v>1304</v>
      </c>
      <c r="G340" s="15" t="s">
        <v>1305</v>
      </c>
      <c r="H340" s="20" t="s">
        <v>132</v>
      </c>
      <c r="I340" s="16" t="s">
        <v>1306</v>
      </c>
      <c r="J340" s="30">
        <v>43278</v>
      </c>
      <c r="K340" s="30">
        <v>43643</v>
      </c>
      <c r="L340" s="31">
        <f t="shared" si="143"/>
        <v>82.304186166768261</v>
      </c>
      <c r="M340" s="20" t="s">
        <v>855</v>
      </c>
      <c r="N340" s="20" t="s">
        <v>228</v>
      </c>
      <c r="O340" s="20" t="s">
        <v>228</v>
      </c>
      <c r="P340" s="32" t="s">
        <v>850</v>
      </c>
      <c r="Q340" s="20" t="s">
        <v>40</v>
      </c>
      <c r="R340" s="2">
        <f t="shared" si="144"/>
        <v>693954.33</v>
      </c>
      <c r="S340" s="2">
        <v>559613.69999999995</v>
      </c>
      <c r="T340" s="2">
        <v>134340.63</v>
      </c>
      <c r="U340" s="2">
        <f t="shared" si="149"/>
        <v>132340.51</v>
      </c>
      <c r="V340" s="2">
        <v>98755.36</v>
      </c>
      <c r="W340" s="2">
        <v>33585.15</v>
      </c>
      <c r="X340" s="2">
        <f t="shared" si="153"/>
        <v>0</v>
      </c>
      <c r="Y340" s="2">
        <v>0</v>
      </c>
      <c r="Z340" s="2">
        <v>0</v>
      </c>
      <c r="AA340" s="2">
        <f t="shared" si="146"/>
        <v>16863.16</v>
      </c>
      <c r="AB340" s="2">
        <v>13436.1</v>
      </c>
      <c r="AC340" s="2">
        <v>3427.06</v>
      </c>
      <c r="AD340" s="2">
        <f t="shared" si="147"/>
        <v>843158</v>
      </c>
      <c r="AE340" s="2">
        <v>0</v>
      </c>
      <c r="AF340" s="2">
        <f t="shared" si="148"/>
        <v>843158</v>
      </c>
      <c r="AG340" s="24" t="s">
        <v>41</v>
      </c>
      <c r="AH340" s="34" t="s">
        <v>35</v>
      </c>
      <c r="AI340" s="35">
        <v>635983.98</v>
      </c>
      <c r="AJ340" s="36">
        <v>121285.28</v>
      </c>
      <c r="AK340" s="28">
        <f t="shared" si="150"/>
        <v>57970.349999999977</v>
      </c>
      <c r="AL340" s="28">
        <f t="shared" si="151"/>
        <v>11055.23000000001</v>
      </c>
      <c r="AM340" s="29">
        <f t="shared" si="152"/>
        <v>0.91646373904749612</v>
      </c>
    </row>
    <row r="341" spans="1:39" ht="192" customHeight="1" x14ac:dyDescent="0.25">
      <c r="A341" s="10">
        <v>338</v>
      </c>
      <c r="B341" s="37">
        <v>110795</v>
      </c>
      <c r="C341" s="37">
        <v>127</v>
      </c>
      <c r="D341" s="20" t="s">
        <v>254</v>
      </c>
      <c r="E341" s="14" t="s">
        <v>1005</v>
      </c>
      <c r="F341" s="15" t="s">
        <v>1307</v>
      </c>
      <c r="G341" s="15" t="s">
        <v>1308</v>
      </c>
      <c r="H341" s="20" t="s">
        <v>1309</v>
      </c>
      <c r="I341" s="112" t="s">
        <v>1310</v>
      </c>
      <c r="J341" s="30">
        <v>43278</v>
      </c>
      <c r="K341" s="30">
        <v>43765</v>
      </c>
      <c r="L341" s="31">
        <f t="shared" si="143"/>
        <v>82.304181171723172</v>
      </c>
      <c r="M341" s="20" t="s">
        <v>855</v>
      </c>
      <c r="N341" s="20" t="s">
        <v>228</v>
      </c>
      <c r="O341" s="20" t="s">
        <v>228</v>
      </c>
      <c r="P341" s="32" t="s">
        <v>850</v>
      </c>
      <c r="Q341" s="20" t="s">
        <v>40</v>
      </c>
      <c r="R341" s="2">
        <f t="shared" si="144"/>
        <v>818511.09</v>
      </c>
      <c r="S341" s="2">
        <v>660057.88</v>
      </c>
      <c r="T341" s="2">
        <v>158453.21</v>
      </c>
      <c r="U341" s="2">
        <f t="shared" si="149"/>
        <v>156094.12</v>
      </c>
      <c r="V341" s="2">
        <v>116480.81</v>
      </c>
      <c r="W341" s="2">
        <v>39613.31</v>
      </c>
      <c r="X341" s="2">
        <f t="shared" si="153"/>
        <v>0</v>
      </c>
      <c r="Y341" s="2"/>
      <c r="Z341" s="2"/>
      <c r="AA341" s="2">
        <f t="shared" si="146"/>
        <v>19889.939999999999</v>
      </c>
      <c r="AB341" s="2">
        <v>15847.76</v>
      </c>
      <c r="AC341" s="2">
        <v>4042.18</v>
      </c>
      <c r="AD341" s="2">
        <f t="shared" si="147"/>
        <v>994495.14999999991</v>
      </c>
      <c r="AE341" s="2"/>
      <c r="AF341" s="2">
        <f t="shared" si="148"/>
        <v>994495.14999999991</v>
      </c>
      <c r="AG341" s="24" t="s">
        <v>41</v>
      </c>
      <c r="AH341" s="34" t="s">
        <v>245</v>
      </c>
      <c r="AI341" s="35">
        <f>795982.47-5714.37</f>
        <v>790268.1</v>
      </c>
      <c r="AJ341" s="36">
        <f>11135.04+27716.68+9400.61+3526.85+11840.91+7483.51+15010.54+8062.74+19640.21+23451.37+13439.59</f>
        <v>150708.04999999999</v>
      </c>
      <c r="AK341" s="28">
        <f t="shared" si="150"/>
        <v>28242.989999999991</v>
      </c>
      <c r="AL341" s="28">
        <f t="shared" si="151"/>
        <v>5386.070000000007</v>
      </c>
      <c r="AM341" s="29">
        <f t="shared" si="152"/>
        <v>0.96549467643743225</v>
      </c>
    </row>
    <row r="342" spans="1:39" ht="192" customHeight="1" x14ac:dyDescent="0.25">
      <c r="A342" s="10">
        <v>339</v>
      </c>
      <c r="B342" s="37">
        <v>110651</v>
      </c>
      <c r="C342" s="37">
        <v>226</v>
      </c>
      <c r="D342" s="20" t="s">
        <v>254</v>
      </c>
      <c r="E342" s="14" t="s">
        <v>1005</v>
      </c>
      <c r="F342" s="146" t="s">
        <v>1311</v>
      </c>
      <c r="G342" s="15" t="s">
        <v>1312</v>
      </c>
      <c r="H342" s="20" t="s">
        <v>1313</v>
      </c>
      <c r="I342" s="112" t="s">
        <v>1314</v>
      </c>
      <c r="J342" s="30">
        <v>43278</v>
      </c>
      <c r="K342" s="30">
        <v>43888</v>
      </c>
      <c r="L342" s="31">
        <f t="shared" si="143"/>
        <v>82.795867701166785</v>
      </c>
      <c r="M342" s="20" t="s">
        <v>855</v>
      </c>
      <c r="N342" s="20" t="s">
        <v>228</v>
      </c>
      <c r="O342" s="20" t="s">
        <v>228</v>
      </c>
      <c r="P342" s="32" t="s">
        <v>850</v>
      </c>
      <c r="Q342" s="20" t="s">
        <v>40</v>
      </c>
      <c r="R342" s="2">
        <f t="shared" si="144"/>
        <v>774090.99</v>
      </c>
      <c r="S342" s="2">
        <v>624236.93999999994</v>
      </c>
      <c r="T342" s="2">
        <v>149854.04999999999</v>
      </c>
      <c r="U342" s="2">
        <f t="shared" si="149"/>
        <v>142149.35</v>
      </c>
      <c r="V342" s="2">
        <v>105798.22</v>
      </c>
      <c r="W342" s="2">
        <v>36351.129999999997</v>
      </c>
      <c r="X342" s="2">
        <f t="shared" si="153"/>
        <v>0</v>
      </c>
      <c r="Y342" s="2"/>
      <c r="Z342" s="2"/>
      <c r="AA342" s="2">
        <f t="shared" si="146"/>
        <v>18698.82</v>
      </c>
      <c r="AB342" s="2">
        <v>14898.71</v>
      </c>
      <c r="AC342" s="2">
        <v>3800.11</v>
      </c>
      <c r="AD342" s="2">
        <f t="shared" si="147"/>
        <v>934939.15999999992</v>
      </c>
      <c r="AE342" s="2">
        <v>0</v>
      </c>
      <c r="AF342" s="2">
        <f t="shared" si="148"/>
        <v>934939.15999999992</v>
      </c>
      <c r="AG342" s="39" t="s">
        <v>628</v>
      </c>
      <c r="AH342" s="34" t="s">
        <v>1315</v>
      </c>
      <c r="AI342" s="35">
        <f>290168.64+158796.65+191537.98+13320.11+41319.41+35445.84</f>
        <v>730588.63</v>
      </c>
      <c r="AJ342" s="36">
        <f>9460.82+5699.03+7815.58+13530.31+28217.32+52704.62+2540.21+7879.82+6718.82</f>
        <v>134566.53</v>
      </c>
      <c r="AK342" s="28">
        <f t="shared" si="150"/>
        <v>43502.359999999986</v>
      </c>
      <c r="AL342" s="28">
        <f t="shared" si="151"/>
        <v>7582.820000000007</v>
      </c>
      <c r="AM342" s="29">
        <f t="shared" si="152"/>
        <v>0.94380200704829287</v>
      </c>
    </row>
    <row r="343" spans="1:39" ht="192" customHeight="1" x14ac:dyDescent="0.25">
      <c r="A343" s="10">
        <v>340</v>
      </c>
      <c r="B343" s="37">
        <v>111787</v>
      </c>
      <c r="C343" s="37">
        <v>169</v>
      </c>
      <c r="D343" s="20" t="s">
        <v>254</v>
      </c>
      <c r="E343" s="14" t="s">
        <v>1005</v>
      </c>
      <c r="F343" s="15" t="s">
        <v>1316</v>
      </c>
      <c r="G343" s="15" t="s">
        <v>1317</v>
      </c>
      <c r="H343" s="20" t="s">
        <v>132</v>
      </c>
      <c r="I343" s="112" t="s">
        <v>1318</v>
      </c>
      <c r="J343" s="30">
        <v>43278</v>
      </c>
      <c r="K343" s="30">
        <v>43765</v>
      </c>
      <c r="L343" s="31">
        <f t="shared" si="143"/>
        <v>82.304186085847633</v>
      </c>
      <c r="M343" s="20" t="s">
        <v>855</v>
      </c>
      <c r="N343" s="20" t="s">
        <v>228</v>
      </c>
      <c r="O343" s="20" t="s">
        <v>228</v>
      </c>
      <c r="P343" s="32" t="s">
        <v>850</v>
      </c>
      <c r="Q343" s="20" t="s">
        <v>40</v>
      </c>
      <c r="R343" s="2">
        <f t="shared" si="144"/>
        <v>822921.16999999993</v>
      </c>
      <c r="S343" s="2">
        <v>663614.22</v>
      </c>
      <c r="T343" s="2">
        <v>159306.95000000001</v>
      </c>
      <c r="U343" s="2">
        <f t="shared" si="149"/>
        <v>156935.12</v>
      </c>
      <c r="V343" s="2">
        <v>117108.4</v>
      </c>
      <c r="W343" s="2">
        <v>39826.720000000001</v>
      </c>
      <c r="X343" s="2">
        <f t="shared" si="153"/>
        <v>0</v>
      </c>
      <c r="Y343" s="2"/>
      <c r="Z343" s="2"/>
      <c r="AA343" s="2">
        <f t="shared" si="146"/>
        <v>19997.07</v>
      </c>
      <c r="AB343" s="2">
        <v>15933.11</v>
      </c>
      <c r="AC343" s="2">
        <v>4063.96</v>
      </c>
      <c r="AD343" s="2">
        <f t="shared" si="147"/>
        <v>999853.35999999987</v>
      </c>
      <c r="AE343" s="2"/>
      <c r="AF343" s="2">
        <f t="shared" si="148"/>
        <v>999853.35999999987</v>
      </c>
      <c r="AG343" s="24" t="s">
        <v>41</v>
      </c>
      <c r="AH343" s="34"/>
      <c r="AI343" s="35">
        <f>632729.75+99985.33+30378.24</f>
        <v>763093.32</v>
      </c>
      <c r="AJ343" s="36">
        <f>120664.73+24860.93</f>
        <v>145525.66</v>
      </c>
      <c r="AK343" s="28">
        <f t="shared" si="150"/>
        <v>59827.849999999977</v>
      </c>
      <c r="AL343" s="28">
        <f t="shared" si="151"/>
        <v>11409.459999999992</v>
      </c>
      <c r="AM343" s="29">
        <f t="shared" si="152"/>
        <v>0.92729820038534194</v>
      </c>
    </row>
    <row r="344" spans="1:39" ht="192" customHeight="1" x14ac:dyDescent="0.25">
      <c r="A344" s="10">
        <v>341</v>
      </c>
      <c r="B344" s="37">
        <v>113139</v>
      </c>
      <c r="C344" s="37">
        <v>387</v>
      </c>
      <c r="D344" s="20" t="s">
        <v>1289</v>
      </c>
      <c r="E344" s="14" t="s">
        <v>1290</v>
      </c>
      <c r="F344" s="15" t="s">
        <v>1319</v>
      </c>
      <c r="G344" s="15" t="s">
        <v>1320</v>
      </c>
      <c r="H344" s="20" t="s">
        <v>1321</v>
      </c>
      <c r="I344" s="112" t="s">
        <v>1322</v>
      </c>
      <c r="J344" s="30">
        <v>43273</v>
      </c>
      <c r="K344" s="30">
        <v>43821</v>
      </c>
      <c r="L344" s="31">
        <f t="shared" si="143"/>
        <v>82.304185877391092</v>
      </c>
      <c r="M344" s="20" t="s">
        <v>855</v>
      </c>
      <c r="N344" s="20" t="s">
        <v>228</v>
      </c>
      <c r="O344" s="20" t="s">
        <v>228</v>
      </c>
      <c r="P344" s="32" t="s">
        <v>850</v>
      </c>
      <c r="Q344" s="20" t="s">
        <v>40</v>
      </c>
      <c r="R344" s="2">
        <f t="shared" si="144"/>
        <v>3201407.49</v>
      </c>
      <c r="S344" s="2">
        <v>2581656.23</v>
      </c>
      <c r="T344" s="2">
        <v>619751.26</v>
      </c>
      <c r="U344" s="2">
        <f t="shared" si="149"/>
        <v>610524.19999999995</v>
      </c>
      <c r="V344" s="2">
        <v>455586.38</v>
      </c>
      <c r="W344" s="2">
        <v>154937.82</v>
      </c>
      <c r="X344" s="2">
        <f t="shared" si="153"/>
        <v>0</v>
      </c>
      <c r="Y344" s="2">
        <v>0</v>
      </c>
      <c r="Z344" s="2">
        <v>0</v>
      </c>
      <c r="AA344" s="2">
        <f t="shared" si="146"/>
        <v>77794.52</v>
      </c>
      <c r="AB344" s="2">
        <v>61984.53</v>
      </c>
      <c r="AC344" s="2">
        <v>15809.99</v>
      </c>
      <c r="AD344" s="2">
        <f t="shared" si="147"/>
        <v>3889726.2100000004</v>
      </c>
      <c r="AE344" s="2">
        <v>0</v>
      </c>
      <c r="AF344" s="2">
        <f t="shared" si="148"/>
        <v>3889726.2100000004</v>
      </c>
      <c r="AG344" s="39" t="s">
        <v>41</v>
      </c>
      <c r="AH344" s="148" t="s">
        <v>1323</v>
      </c>
      <c r="AI344" s="35">
        <f>2214779.71+463121.02-10623.72+221453.03</f>
        <v>2888730.0399999996</v>
      </c>
      <c r="AJ344" s="36">
        <f>422369.41+55414.99+30878.49+42232.21</f>
        <v>550895.1</v>
      </c>
      <c r="AK344" s="28">
        <f t="shared" si="150"/>
        <v>312677.45000000065</v>
      </c>
      <c r="AL344" s="28">
        <f t="shared" si="151"/>
        <v>59629.099999999977</v>
      </c>
      <c r="AM344" s="29">
        <f t="shared" si="152"/>
        <v>0.90233125555659877</v>
      </c>
    </row>
    <row r="345" spans="1:39" ht="192" customHeight="1" x14ac:dyDescent="0.25">
      <c r="A345" s="10">
        <v>342</v>
      </c>
      <c r="B345" s="37">
        <v>111603</v>
      </c>
      <c r="C345" s="37">
        <v>195</v>
      </c>
      <c r="D345" s="20" t="s">
        <v>254</v>
      </c>
      <c r="E345" s="14" t="s">
        <v>1005</v>
      </c>
      <c r="F345" s="146" t="s">
        <v>1324</v>
      </c>
      <c r="G345" s="146" t="s">
        <v>1325</v>
      </c>
      <c r="H345" s="20" t="s">
        <v>1326</v>
      </c>
      <c r="I345" s="112" t="s">
        <v>1863</v>
      </c>
      <c r="J345" s="30">
        <v>43283</v>
      </c>
      <c r="K345" s="30">
        <v>43832</v>
      </c>
      <c r="L345" s="31">
        <f t="shared" si="143"/>
        <v>82.551093571828332</v>
      </c>
      <c r="M345" s="20" t="s">
        <v>855</v>
      </c>
      <c r="N345" s="20" t="s">
        <v>228</v>
      </c>
      <c r="O345" s="20" t="s">
        <v>228</v>
      </c>
      <c r="P345" s="32" t="s">
        <v>850</v>
      </c>
      <c r="Q345" s="20" t="s">
        <v>40</v>
      </c>
      <c r="R345" s="2">
        <f t="shared" si="144"/>
        <v>821971.83000000007</v>
      </c>
      <c r="S345" s="2">
        <v>662848.68000000005</v>
      </c>
      <c r="T345" s="2">
        <v>159123.15</v>
      </c>
      <c r="U345" s="2">
        <f t="shared" si="149"/>
        <v>153826.60999999999</v>
      </c>
      <c r="V345" s="2">
        <v>114640.81</v>
      </c>
      <c r="W345" s="2">
        <v>39185.800000000003</v>
      </c>
      <c r="X345" s="2">
        <f t="shared" si="153"/>
        <v>0</v>
      </c>
      <c r="Y345" s="2">
        <v>0</v>
      </c>
      <c r="Z345" s="2">
        <v>0</v>
      </c>
      <c r="AA345" s="2">
        <f t="shared" si="146"/>
        <v>19914.39</v>
      </c>
      <c r="AB345" s="2">
        <v>15867.18</v>
      </c>
      <c r="AC345" s="2">
        <v>4047.21</v>
      </c>
      <c r="AD345" s="2">
        <f t="shared" si="147"/>
        <v>995712.83000000007</v>
      </c>
      <c r="AE345" s="2">
        <v>0</v>
      </c>
      <c r="AF345" s="2">
        <f t="shared" si="148"/>
        <v>995712.83000000007</v>
      </c>
      <c r="AG345" s="39" t="s">
        <v>41</v>
      </c>
      <c r="AH345" s="34" t="s">
        <v>1327</v>
      </c>
      <c r="AI345" s="35">
        <f>466245.36+6853.06+84110.02+169507.04+37084.55</f>
        <v>763800.03</v>
      </c>
      <c r="AJ345" s="36">
        <f>84901.98+1306.91+50214.53+6975.06</f>
        <v>143398.47999999998</v>
      </c>
      <c r="AK345" s="28">
        <f t="shared" si="150"/>
        <v>58171.800000000047</v>
      </c>
      <c r="AL345" s="28">
        <f t="shared" si="151"/>
        <v>10428.130000000005</v>
      </c>
      <c r="AM345" s="29">
        <f t="shared" si="152"/>
        <v>0.92922896153265977</v>
      </c>
    </row>
    <row r="346" spans="1:39" ht="192" customHeight="1" x14ac:dyDescent="0.25">
      <c r="A346" s="10">
        <v>343</v>
      </c>
      <c r="B346" s="37">
        <v>113188</v>
      </c>
      <c r="C346" s="37">
        <v>246</v>
      </c>
      <c r="D346" s="20" t="s">
        <v>254</v>
      </c>
      <c r="E346" s="14" t="s">
        <v>1005</v>
      </c>
      <c r="F346" s="146" t="s">
        <v>1328</v>
      </c>
      <c r="G346" s="15" t="s">
        <v>1329</v>
      </c>
      <c r="H346" s="20" t="s">
        <v>132</v>
      </c>
      <c r="I346" s="112" t="s">
        <v>1330</v>
      </c>
      <c r="J346" s="30">
        <v>43284</v>
      </c>
      <c r="K346" s="30">
        <v>43711</v>
      </c>
      <c r="L346" s="31">
        <f t="shared" si="143"/>
        <v>82.304188575115816</v>
      </c>
      <c r="M346" s="20" t="s">
        <v>855</v>
      </c>
      <c r="N346" s="20" t="s">
        <v>228</v>
      </c>
      <c r="O346" s="20" t="s">
        <v>228</v>
      </c>
      <c r="P346" s="32" t="s">
        <v>850</v>
      </c>
      <c r="Q346" s="20" t="s">
        <v>40</v>
      </c>
      <c r="R346" s="2">
        <f t="shared" si="144"/>
        <v>745468.83000000007</v>
      </c>
      <c r="S346" s="2">
        <v>601155.66</v>
      </c>
      <c r="T346" s="2">
        <v>144313.17000000001</v>
      </c>
      <c r="U346" s="2">
        <f t="shared" si="149"/>
        <v>142164.54</v>
      </c>
      <c r="V346" s="2">
        <v>106086.28</v>
      </c>
      <c r="W346" s="2">
        <v>36078.26</v>
      </c>
      <c r="X346" s="2">
        <f t="shared" si="153"/>
        <v>0</v>
      </c>
      <c r="Y346" s="2">
        <v>0</v>
      </c>
      <c r="Z346" s="2">
        <v>0</v>
      </c>
      <c r="AA346" s="2">
        <f t="shared" si="146"/>
        <v>18114.98</v>
      </c>
      <c r="AB346" s="2">
        <v>14433.5</v>
      </c>
      <c r="AC346" s="2">
        <v>3681.48</v>
      </c>
      <c r="AD346" s="2">
        <f t="shared" si="147"/>
        <v>905748.35000000009</v>
      </c>
      <c r="AE346" s="2">
        <v>0</v>
      </c>
      <c r="AF346" s="2">
        <f t="shared" si="148"/>
        <v>905748.35000000009</v>
      </c>
      <c r="AG346" s="24" t="s">
        <v>41</v>
      </c>
      <c r="AH346" s="34" t="s">
        <v>35</v>
      </c>
      <c r="AI346" s="35">
        <f>664924.33+44153.06</f>
        <v>709077.3899999999</v>
      </c>
      <c r="AJ346" s="36">
        <f>126804.37+8420.22</f>
        <v>135224.59</v>
      </c>
      <c r="AK346" s="28">
        <f t="shared" si="150"/>
        <v>36391.440000000177</v>
      </c>
      <c r="AL346" s="28">
        <f t="shared" si="151"/>
        <v>6939.9500000000116</v>
      </c>
      <c r="AM346" s="29">
        <f t="shared" si="152"/>
        <v>0.95118315007214971</v>
      </c>
    </row>
    <row r="347" spans="1:39" ht="192" customHeight="1" x14ac:dyDescent="0.25">
      <c r="A347" s="10">
        <v>344</v>
      </c>
      <c r="B347" s="37">
        <v>126480</v>
      </c>
      <c r="C347" s="37">
        <v>495</v>
      </c>
      <c r="D347" s="15" t="s">
        <v>425</v>
      </c>
      <c r="E347" s="14" t="s">
        <v>426</v>
      </c>
      <c r="F347" s="15" t="s">
        <v>1331</v>
      </c>
      <c r="G347" s="15" t="s">
        <v>1332</v>
      </c>
      <c r="H347" s="20" t="s">
        <v>35</v>
      </c>
      <c r="I347" s="121" t="s">
        <v>1333</v>
      </c>
      <c r="J347" s="30">
        <v>43553</v>
      </c>
      <c r="K347" s="30">
        <v>43980</v>
      </c>
      <c r="L347" s="31">
        <f t="shared" si="143"/>
        <v>83.300002424250337</v>
      </c>
      <c r="M347" s="20">
        <v>6</v>
      </c>
      <c r="N347" s="12" t="s">
        <v>338</v>
      </c>
      <c r="O347" s="12" t="s">
        <v>338</v>
      </c>
      <c r="P347" s="20" t="s">
        <v>850</v>
      </c>
      <c r="Q347" s="20" t="s">
        <v>40</v>
      </c>
      <c r="R347" s="35">
        <f t="shared" si="144"/>
        <v>876896.26</v>
      </c>
      <c r="S347" s="89">
        <v>876896.26</v>
      </c>
      <c r="T347" s="38">
        <v>0</v>
      </c>
      <c r="U347" s="35">
        <f t="shared" si="149"/>
        <v>154746.38</v>
      </c>
      <c r="V347" s="89">
        <v>154746.38</v>
      </c>
      <c r="W347" s="38">
        <v>0</v>
      </c>
      <c r="X347" s="35">
        <f t="shared" si="153"/>
        <v>0</v>
      </c>
      <c r="Y347" s="38">
        <v>0</v>
      </c>
      <c r="Z347" s="38">
        <v>0</v>
      </c>
      <c r="AA347" s="2">
        <f t="shared" si="146"/>
        <v>21053.919999999998</v>
      </c>
      <c r="AB347" s="89">
        <v>21053.919999999998</v>
      </c>
      <c r="AC347" s="38">
        <v>0</v>
      </c>
      <c r="AD347" s="2">
        <f t="shared" si="147"/>
        <v>1052696.56</v>
      </c>
      <c r="AE347" s="42">
        <v>10640</v>
      </c>
      <c r="AF347" s="2">
        <f t="shared" si="148"/>
        <v>1063336.56</v>
      </c>
      <c r="AG347" s="39" t="s">
        <v>69</v>
      </c>
      <c r="AH347" s="39" t="s">
        <v>1850</v>
      </c>
      <c r="AI347" s="35">
        <f>166761.96+158245.54+90830.07+108290</f>
        <v>524127.57</v>
      </c>
      <c r="AJ347" s="36">
        <f>10899.16+43954.51+19110</f>
        <v>73963.67</v>
      </c>
      <c r="AK347" s="28">
        <f t="shared" si="150"/>
        <v>352768.69</v>
      </c>
      <c r="AL347" s="28">
        <f t="shared" si="151"/>
        <v>80782.710000000006</v>
      </c>
      <c r="AM347" s="29">
        <f t="shared" si="152"/>
        <v>0.59770761252876137</v>
      </c>
    </row>
    <row r="348" spans="1:39" ht="192" customHeight="1" x14ac:dyDescent="0.25">
      <c r="A348" s="10">
        <v>345</v>
      </c>
      <c r="B348" s="37">
        <v>109966</v>
      </c>
      <c r="C348" s="37">
        <v>368</v>
      </c>
      <c r="D348" s="20" t="s">
        <v>254</v>
      </c>
      <c r="E348" s="14" t="s">
        <v>1005</v>
      </c>
      <c r="F348" s="54" t="s">
        <v>1334</v>
      </c>
      <c r="G348" s="54" t="s">
        <v>1335</v>
      </c>
      <c r="H348" s="20" t="s">
        <v>132</v>
      </c>
      <c r="I348" s="112" t="s">
        <v>1336</v>
      </c>
      <c r="J348" s="30">
        <v>43284</v>
      </c>
      <c r="K348" s="30">
        <v>43772</v>
      </c>
      <c r="L348" s="31">
        <f t="shared" si="143"/>
        <v>82.304190385931335</v>
      </c>
      <c r="M348" s="20" t="s">
        <v>855</v>
      </c>
      <c r="N348" s="20" t="s">
        <v>641</v>
      </c>
      <c r="O348" s="20" t="s">
        <v>1337</v>
      </c>
      <c r="P348" s="32" t="s">
        <v>850</v>
      </c>
      <c r="Q348" s="20" t="s">
        <v>40</v>
      </c>
      <c r="R348" s="2">
        <f t="shared" si="144"/>
        <v>820713.65</v>
      </c>
      <c r="S348" s="2">
        <v>661834.04</v>
      </c>
      <c r="T348" s="2">
        <v>158879.60999999999</v>
      </c>
      <c r="U348" s="2">
        <f t="shared" si="149"/>
        <v>156514.07999999999</v>
      </c>
      <c r="V348" s="2">
        <v>116794.2</v>
      </c>
      <c r="W348" s="2">
        <v>39719.879999999997</v>
      </c>
      <c r="X348" s="2">
        <f t="shared" si="153"/>
        <v>0</v>
      </c>
      <c r="Y348" s="2">
        <v>0</v>
      </c>
      <c r="Z348" s="2">
        <v>0</v>
      </c>
      <c r="AA348" s="2">
        <f t="shared" si="146"/>
        <v>19943.43</v>
      </c>
      <c r="AB348" s="2">
        <v>15890.39</v>
      </c>
      <c r="AC348" s="2">
        <v>4053.04</v>
      </c>
      <c r="AD348" s="2">
        <f t="shared" si="147"/>
        <v>997171.16</v>
      </c>
      <c r="AE348" s="2">
        <v>0</v>
      </c>
      <c r="AF348" s="2">
        <f t="shared" si="148"/>
        <v>997171.16</v>
      </c>
      <c r="AG348" s="24" t="s">
        <v>41</v>
      </c>
      <c r="AH348" s="34" t="s">
        <v>35</v>
      </c>
      <c r="AI348" s="35">
        <f>451378.67-10182.02+208239.85+24003.15</f>
        <v>673439.65</v>
      </c>
      <c r="AJ348" s="36">
        <f>16734.59+7125.74+9148.44+12691.77+4258.59+17107.67+10182.02+39712.4+11467</f>
        <v>128428.22</v>
      </c>
      <c r="AK348" s="28">
        <f t="shared" si="150"/>
        <v>147274</v>
      </c>
      <c r="AL348" s="28">
        <f t="shared" si="151"/>
        <v>28085.859999999986</v>
      </c>
      <c r="AM348" s="29">
        <f t="shared" si="152"/>
        <v>0.82055373393631259</v>
      </c>
    </row>
    <row r="349" spans="1:39" ht="192" customHeight="1" x14ac:dyDescent="0.25">
      <c r="A349" s="10">
        <v>346</v>
      </c>
      <c r="B349" s="37">
        <v>112133</v>
      </c>
      <c r="C349" s="37">
        <v>149</v>
      </c>
      <c r="D349" s="20" t="s">
        <v>254</v>
      </c>
      <c r="E349" s="14" t="s">
        <v>1005</v>
      </c>
      <c r="F349" s="146" t="s">
        <v>1338</v>
      </c>
      <c r="G349" s="15" t="s">
        <v>1339</v>
      </c>
      <c r="H349" s="20" t="s">
        <v>1340</v>
      </c>
      <c r="I349" s="149" t="s">
        <v>1341</v>
      </c>
      <c r="J349" s="30">
        <v>43286</v>
      </c>
      <c r="K349" s="30">
        <v>43774</v>
      </c>
      <c r="L349" s="31">
        <f t="shared" si="143"/>
        <v>82.304192989201169</v>
      </c>
      <c r="M349" s="20" t="s">
        <v>855</v>
      </c>
      <c r="N349" s="20" t="s">
        <v>1342</v>
      </c>
      <c r="O349" s="20" t="s">
        <v>582</v>
      </c>
      <c r="P349" s="32" t="s">
        <v>850</v>
      </c>
      <c r="Q349" s="20" t="s">
        <v>40</v>
      </c>
      <c r="R349" s="2">
        <v>615782.40000000002</v>
      </c>
      <c r="S349" s="2">
        <v>496574.82</v>
      </c>
      <c r="T349" s="2">
        <v>119207.58</v>
      </c>
      <c r="U349" s="2">
        <f t="shared" si="149"/>
        <v>117432.69</v>
      </c>
      <c r="V349" s="2">
        <v>87630.81</v>
      </c>
      <c r="W349" s="2">
        <v>29801.88</v>
      </c>
      <c r="X349" s="2">
        <f t="shared" si="153"/>
        <v>0</v>
      </c>
      <c r="Y349" s="2"/>
      <c r="Z349" s="2"/>
      <c r="AA349" s="2">
        <f t="shared" si="146"/>
        <v>14963.56</v>
      </c>
      <c r="AB349" s="2">
        <v>11922.59</v>
      </c>
      <c r="AC349" s="2">
        <v>3040.97</v>
      </c>
      <c r="AD349" s="2">
        <f t="shared" si="147"/>
        <v>748178.65000000014</v>
      </c>
      <c r="AE349" s="2"/>
      <c r="AF349" s="2">
        <f t="shared" si="148"/>
        <v>748178.65000000014</v>
      </c>
      <c r="AG349" s="24" t="s">
        <v>41</v>
      </c>
      <c r="AH349" s="34" t="s">
        <v>35</v>
      </c>
      <c r="AI349" s="35">
        <f>439950.77+42401.19+33880.06+36167.03</f>
        <v>552399.05000000005</v>
      </c>
      <c r="AJ349" s="36">
        <f>71119.8+19653.29+7674.97+6897.24</f>
        <v>105345.3</v>
      </c>
      <c r="AK349" s="28">
        <f t="shared" si="150"/>
        <v>63383.349999999977</v>
      </c>
      <c r="AL349" s="28">
        <f t="shared" si="151"/>
        <v>12087.39</v>
      </c>
      <c r="AM349" s="29">
        <f t="shared" si="152"/>
        <v>0.89706859111270476</v>
      </c>
    </row>
    <row r="350" spans="1:39" ht="192" customHeight="1" x14ac:dyDescent="0.25">
      <c r="A350" s="10">
        <v>347</v>
      </c>
      <c r="B350" s="37">
        <v>112698</v>
      </c>
      <c r="C350" s="37">
        <v>231</v>
      </c>
      <c r="D350" s="20" t="s">
        <v>254</v>
      </c>
      <c r="E350" s="14" t="s">
        <v>1005</v>
      </c>
      <c r="F350" s="146" t="s">
        <v>1343</v>
      </c>
      <c r="G350" s="15" t="s">
        <v>1344</v>
      </c>
      <c r="H350" s="20" t="s">
        <v>1345</v>
      </c>
      <c r="I350" s="149" t="s">
        <v>1346</v>
      </c>
      <c r="J350" s="30">
        <v>43273</v>
      </c>
      <c r="K350" s="30">
        <v>43730</v>
      </c>
      <c r="L350" s="31">
        <f t="shared" si="143"/>
        <v>82.525665803949437</v>
      </c>
      <c r="M350" s="20" t="s">
        <v>855</v>
      </c>
      <c r="N350" s="20" t="s">
        <v>228</v>
      </c>
      <c r="O350" s="20" t="s">
        <v>228</v>
      </c>
      <c r="P350" s="32" t="s">
        <v>850</v>
      </c>
      <c r="Q350" s="20" t="s">
        <v>40</v>
      </c>
      <c r="R350" s="2">
        <f t="shared" ref="R350:R413" si="154">S350+T350</f>
        <v>814877.24</v>
      </c>
      <c r="S350" s="2">
        <v>657127.51</v>
      </c>
      <c r="T350" s="2">
        <v>157749.73000000001</v>
      </c>
      <c r="U350" s="2">
        <f t="shared" si="149"/>
        <v>134548.1</v>
      </c>
      <c r="V350" s="2">
        <v>100402.7</v>
      </c>
      <c r="W350" s="2">
        <v>34145.4</v>
      </c>
      <c r="X350" s="2">
        <f t="shared" si="153"/>
        <v>20853.009999999998</v>
      </c>
      <c r="Y350" s="2">
        <v>15560.97</v>
      </c>
      <c r="Z350" s="2">
        <v>5292.04</v>
      </c>
      <c r="AA350" s="2">
        <f t="shared" si="146"/>
        <v>17144.45</v>
      </c>
      <c r="AB350" s="2">
        <v>13660.23</v>
      </c>
      <c r="AC350" s="2">
        <v>3484.22</v>
      </c>
      <c r="AD350" s="2">
        <f t="shared" si="147"/>
        <v>987422.79999999993</v>
      </c>
      <c r="AE350" s="2"/>
      <c r="AF350" s="2">
        <f t="shared" si="148"/>
        <v>987422.79999999993</v>
      </c>
      <c r="AG350" s="24" t="s">
        <v>41</v>
      </c>
      <c r="AH350" s="34" t="s">
        <v>1347</v>
      </c>
      <c r="AI350" s="35">
        <f>85822.98+78186.5+192062.93</f>
        <v>356072.41</v>
      </c>
      <c r="AJ350" s="36">
        <f>14910.56+48890.63</f>
        <v>63801.189999999995</v>
      </c>
      <c r="AK350" s="28">
        <f t="shared" si="150"/>
        <v>458804.83</v>
      </c>
      <c r="AL350" s="28">
        <f t="shared" si="151"/>
        <v>70746.91</v>
      </c>
      <c r="AM350" s="29">
        <f t="shared" si="152"/>
        <v>0.43696448068668597</v>
      </c>
    </row>
    <row r="351" spans="1:39" ht="192" customHeight="1" x14ac:dyDescent="0.25">
      <c r="A351" s="10">
        <v>348</v>
      </c>
      <c r="B351" s="37">
        <v>112427</v>
      </c>
      <c r="C351" s="37">
        <v>367</v>
      </c>
      <c r="D351" s="20" t="s">
        <v>254</v>
      </c>
      <c r="E351" s="14" t="s">
        <v>1005</v>
      </c>
      <c r="F351" s="146" t="s">
        <v>1348</v>
      </c>
      <c r="G351" s="15" t="s">
        <v>1349</v>
      </c>
      <c r="H351" s="20" t="s">
        <v>1350</v>
      </c>
      <c r="I351" s="112" t="s">
        <v>1351</v>
      </c>
      <c r="J351" s="30">
        <v>43290</v>
      </c>
      <c r="K351" s="30">
        <v>43778</v>
      </c>
      <c r="L351" s="31">
        <f t="shared" si="143"/>
        <v>82.304189883139372</v>
      </c>
      <c r="M351" s="20" t="s">
        <v>855</v>
      </c>
      <c r="N351" s="20" t="s">
        <v>228</v>
      </c>
      <c r="O351" s="20" t="s">
        <v>228</v>
      </c>
      <c r="P351" s="32" t="s">
        <v>850</v>
      </c>
      <c r="Q351" s="20" t="s">
        <v>40</v>
      </c>
      <c r="R351" s="2">
        <f t="shared" si="154"/>
        <v>785233.14</v>
      </c>
      <c r="S351" s="2">
        <v>633222.11</v>
      </c>
      <c r="T351" s="2">
        <v>152011.03</v>
      </c>
      <c r="U351" s="2">
        <f t="shared" si="149"/>
        <v>149747.75</v>
      </c>
      <c r="V351" s="2">
        <v>111745.03</v>
      </c>
      <c r="W351" s="2">
        <v>38002.720000000001</v>
      </c>
      <c r="X351" s="2">
        <f t="shared" si="153"/>
        <v>0</v>
      </c>
      <c r="Y351" s="2">
        <v>0</v>
      </c>
      <c r="Z351" s="2">
        <v>0</v>
      </c>
      <c r="AA351" s="2">
        <f t="shared" si="146"/>
        <v>19081.28</v>
      </c>
      <c r="AB351" s="2">
        <v>15203.43</v>
      </c>
      <c r="AC351" s="2">
        <v>3877.85</v>
      </c>
      <c r="AD351" s="2">
        <f t="shared" si="147"/>
        <v>954062.17</v>
      </c>
      <c r="AE351" s="2">
        <v>0</v>
      </c>
      <c r="AF351" s="2">
        <f t="shared" si="148"/>
        <v>954062.17</v>
      </c>
      <c r="AG351" s="24" t="s">
        <v>41</v>
      </c>
      <c r="AH351" s="34" t="s">
        <v>35</v>
      </c>
      <c r="AI351" s="35">
        <f>412777.32-11185.38+153298.14+162053.15</f>
        <v>716943.2300000001</v>
      </c>
      <c r="AJ351" s="36">
        <f>16617.93+10285.59+15452.81+18167.9+11690.43+33605.62+30904.31</f>
        <v>136724.59</v>
      </c>
      <c r="AK351" s="28">
        <f t="shared" si="150"/>
        <v>68289.909999999916</v>
      </c>
      <c r="AL351" s="28">
        <f t="shared" si="151"/>
        <v>13023.160000000003</v>
      </c>
      <c r="AM351" s="29">
        <f t="shared" si="152"/>
        <v>0.91303231292555997</v>
      </c>
    </row>
    <row r="352" spans="1:39" ht="192" customHeight="1" x14ac:dyDescent="0.25">
      <c r="A352" s="10">
        <v>349</v>
      </c>
      <c r="B352" s="37">
        <v>112409</v>
      </c>
      <c r="C352" s="37">
        <v>150</v>
      </c>
      <c r="D352" s="20" t="s">
        <v>254</v>
      </c>
      <c r="E352" s="14" t="s">
        <v>1005</v>
      </c>
      <c r="F352" s="146" t="s">
        <v>1352</v>
      </c>
      <c r="G352" s="15" t="s">
        <v>1353</v>
      </c>
      <c r="H352" s="20" t="s">
        <v>173</v>
      </c>
      <c r="I352" s="112" t="s">
        <v>1354</v>
      </c>
      <c r="J352" s="30">
        <v>43291</v>
      </c>
      <c r="K352" s="30">
        <v>43779</v>
      </c>
      <c r="L352" s="31">
        <f t="shared" si="143"/>
        <v>82.304188969946821</v>
      </c>
      <c r="M352" s="20" t="s">
        <v>855</v>
      </c>
      <c r="N352" s="20" t="s">
        <v>665</v>
      </c>
      <c r="O352" s="20" t="s">
        <v>661</v>
      </c>
      <c r="P352" s="32" t="s">
        <v>850</v>
      </c>
      <c r="Q352" s="20" t="s">
        <v>40</v>
      </c>
      <c r="R352" s="2">
        <f t="shared" si="154"/>
        <v>780523.20000000007</v>
      </c>
      <c r="S352" s="2">
        <v>629423.91</v>
      </c>
      <c r="T352" s="2">
        <v>151099.29</v>
      </c>
      <c r="U352" s="2">
        <f t="shared" si="149"/>
        <v>148849.57</v>
      </c>
      <c r="V352" s="2">
        <v>111074.8</v>
      </c>
      <c r="W352" s="2">
        <v>37774.769999999997</v>
      </c>
      <c r="X352" s="2">
        <f t="shared" si="153"/>
        <v>0</v>
      </c>
      <c r="Y352" s="2"/>
      <c r="Z352" s="2"/>
      <c r="AA352" s="2">
        <f t="shared" si="146"/>
        <v>18966.810000000001</v>
      </c>
      <c r="AB352" s="2">
        <v>15112.25</v>
      </c>
      <c r="AC352" s="2">
        <v>3854.56</v>
      </c>
      <c r="AD352" s="2">
        <f t="shared" si="147"/>
        <v>948339.58000000007</v>
      </c>
      <c r="AE352" s="2">
        <v>0</v>
      </c>
      <c r="AF352" s="2">
        <f t="shared" si="148"/>
        <v>948339.58000000007</v>
      </c>
      <c r="AG352" s="24" t="s">
        <v>41</v>
      </c>
      <c r="AH352" s="34" t="s">
        <v>35</v>
      </c>
      <c r="AI352" s="35">
        <f>479629.25+84387.23+5356.46</f>
        <v>569372.93999999994</v>
      </c>
      <c r="AJ352" s="36">
        <f>73382.49+16093.07+19106.61</f>
        <v>108582.17</v>
      </c>
      <c r="AK352" s="28">
        <f t="shared" si="150"/>
        <v>211150.26000000013</v>
      </c>
      <c r="AL352" s="28">
        <f t="shared" si="151"/>
        <v>40267.400000000009</v>
      </c>
      <c r="AM352" s="29">
        <f t="shared" si="152"/>
        <v>0.72947599763850701</v>
      </c>
    </row>
    <row r="353" spans="1:39" ht="192" customHeight="1" x14ac:dyDescent="0.25">
      <c r="A353" s="10">
        <v>350</v>
      </c>
      <c r="B353" s="37">
        <v>112861</v>
      </c>
      <c r="C353" s="37">
        <v>324</v>
      </c>
      <c r="D353" s="20" t="s">
        <v>254</v>
      </c>
      <c r="E353" s="14" t="s">
        <v>1005</v>
      </c>
      <c r="F353" s="146" t="s">
        <v>1355</v>
      </c>
      <c r="G353" s="15" t="s">
        <v>1356</v>
      </c>
      <c r="H353" s="20" t="s">
        <v>173</v>
      </c>
      <c r="I353" s="55" t="s">
        <v>1357</v>
      </c>
      <c r="J353" s="30">
        <v>43290</v>
      </c>
      <c r="K353" s="30">
        <v>43778</v>
      </c>
      <c r="L353" s="31">
        <f t="shared" ref="L353:L416" si="155">R353/AD353*100</f>
        <v>82.304190691615503</v>
      </c>
      <c r="M353" s="20" t="s">
        <v>855</v>
      </c>
      <c r="N353" s="20" t="s">
        <v>229</v>
      </c>
      <c r="O353" s="20" t="s">
        <v>229</v>
      </c>
      <c r="P353" s="32" t="s">
        <v>850</v>
      </c>
      <c r="Q353" s="20" t="s">
        <v>40</v>
      </c>
      <c r="R353" s="2">
        <f t="shared" si="154"/>
        <v>649951.84000000008</v>
      </c>
      <c r="S353" s="2">
        <v>524129.52</v>
      </c>
      <c r="T353" s="2">
        <v>125822.32</v>
      </c>
      <c r="U353" s="2">
        <f t="shared" si="149"/>
        <v>123949</v>
      </c>
      <c r="V353" s="2">
        <v>92493.43</v>
      </c>
      <c r="W353" s="2">
        <v>31455.57</v>
      </c>
      <c r="X353" s="2">
        <f t="shared" si="153"/>
        <v>0</v>
      </c>
      <c r="Y353" s="2"/>
      <c r="Z353" s="2"/>
      <c r="AA353" s="2">
        <f t="shared" ref="AA353:AA416" si="156">AB353+AC353</f>
        <v>15793.869999999999</v>
      </c>
      <c r="AB353" s="2">
        <v>12584.14</v>
      </c>
      <c r="AC353" s="2">
        <v>3209.73</v>
      </c>
      <c r="AD353" s="2">
        <f t="shared" ref="AD353:AD416" si="157">R353+U353+X353+AA353</f>
        <v>789694.71000000008</v>
      </c>
      <c r="AE353" s="2">
        <v>0</v>
      </c>
      <c r="AF353" s="2">
        <f t="shared" ref="AF353:AF416" si="158">AD353+AE353</f>
        <v>789694.71000000008</v>
      </c>
      <c r="AG353" s="24" t="s">
        <v>41</v>
      </c>
      <c r="AH353" s="34" t="s">
        <v>1358</v>
      </c>
      <c r="AI353" s="35">
        <f>78969.47+33506.04+30781.72+5848.53+60387.9+38197.37+82803.77+168161.44-11081.22</f>
        <v>487575.02</v>
      </c>
      <c r="AJ353" s="36">
        <f>6389.76+5870.23+1115.34+11516.25+7284.43+15791.09+32069.22+12946.63</f>
        <v>92982.950000000012</v>
      </c>
      <c r="AK353" s="28">
        <f t="shared" si="150"/>
        <v>162376.82000000007</v>
      </c>
      <c r="AL353" s="28">
        <f t="shared" si="151"/>
        <v>30966.049999999988</v>
      </c>
      <c r="AM353" s="29">
        <f t="shared" si="152"/>
        <v>0.75017099728496794</v>
      </c>
    </row>
    <row r="354" spans="1:39" ht="192" customHeight="1" x14ac:dyDescent="0.25">
      <c r="A354" s="10">
        <v>351</v>
      </c>
      <c r="B354" s="37">
        <v>110709</v>
      </c>
      <c r="C354" s="37">
        <v>313</v>
      </c>
      <c r="D354" s="20" t="s">
        <v>254</v>
      </c>
      <c r="E354" s="14" t="s">
        <v>1005</v>
      </c>
      <c r="F354" s="146" t="s">
        <v>1359</v>
      </c>
      <c r="G354" s="15" t="s">
        <v>1360</v>
      </c>
      <c r="H354" s="20" t="s">
        <v>173</v>
      </c>
      <c r="I354" s="55" t="s">
        <v>1361</v>
      </c>
      <c r="J354" s="30">
        <v>43291</v>
      </c>
      <c r="K354" s="30">
        <v>43779</v>
      </c>
      <c r="L354" s="31">
        <f t="shared" si="155"/>
        <v>82.304183081659716</v>
      </c>
      <c r="M354" s="20" t="s">
        <v>855</v>
      </c>
      <c r="N354" s="20" t="s">
        <v>229</v>
      </c>
      <c r="O354" s="20" t="s">
        <v>229</v>
      </c>
      <c r="P354" s="32" t="s">
        <v>850</v>
      </c>
      <c r="Q354" s="20" t="s">
        <v>40</v>
      </c>
      <c r="R354" s="2">
        <f t="shared" si="154"/>
        <v>821857.62999999989</v>
      </c>
      <c r="S354" s="2">
        <v>662756.56999999995</v>
      </c>
      <c r="T354" s="2">
        <v>159101.06</v>
      </c>
      <c r="U354" s="2">
        <f t="shared" si="149"/>
        <v>156732.34</v>
      </c>
      <c r="V354" s="2">
        <v>116957.1</v>
      </c>
      <c r="W354" s="2">
        <v>39775.24</v>
      </c>
      <c r="X354" s="2">
        <f t="shared" si="153"/>
        <v>0</v>
      </c>
      <c r="Y354" s="2"/>
      <c r="Z354" s="2"/>
      <c r="AA354" s="2">
        <f t="shared" si="156"/>
        <v>19971.22</v>
      </c>
      <c r="AB354" s="2">
        <v>15912.5</v>
      </c>
      <c r="AC354" s="2">
        <v>4058.72</v>
      </c>
      <c r="AD354" s="2">
        <f t="shared" si="157"/>
        <v>998561.18999999983</v>
      </c>
      <c r="AE354" s="2">
        <v>576</v>
      </c>
      <c r="AF354" s="2">
        <f t="shared" si="158"/>
        <v>999137.18999999983</v>
      </c>
      <c r="AG354" s="24" t="s">
        <v>41</v>
      </c>
      <c r="AH354" s="34" t="s">
        <v>35</v>
      </c>
      <c r="AI354" s="35">
        <f>489541.18+150804.97+87205.35</f>
        <v>727551.5</v>
      </c>
      <c r="AJ354" s="36">
        <f>93357.95+28759.24+16630.53</f>
        <v>138747.72</v>
      </c>
      <c r="AK354" s="28">
        <f t="shared" si="150"/>
        <v>94306.129999999888</v>
      </c>
      <c r="AL354" s="28">
        <f t="shared" si="151"/>
        <v>17984.619999999995</v>
      </c>
      <c r="AM354" s="29">
        <f t="shared" si="152"/>
        <v>0.88525247371615945</v>
      </c>
    </row>
    <row r="355" spans="1:39" ht="192" customHeight="1" x14ac:dyDescent="0.25">
      <c r="A355" s="10">
        <v>352</v>
      </c>
      <c r="B355" s="37">
        <v>113039</v>
      </c>
      <c r="C355" s="37">
        <v>200</v>
      </c>
      <c r="D355" s="20" t="s">
        <v>254</v>
      </c>
      <c r="E355" s="14" t="s">
        <v>1005</v>
      </c>
      <c r="F355" s="146" t="s">
        <v>1362</v>
      </c>
      <c r="G355" s="150" t="s">
        <v>1363</v>
      </c>
      <c r="H355" s="20" t="s">
        <v>173</v>
      </c>
      <c r="I355" s="112" t="s">
        <v>1364</v>
      </c>
      <c r="J355" s="30">
        <v>43291</v>
      </c>
      <c r="K355" s="30">
        <v>43779</v>
      </c>
      <c r="L355" s="31">
        <f t="shared" si="155"/>
        <v>82.30418382046426</v>
      </c>
      <c r="M355" s="20" t="s">
        <v>855</v>
      </c>
      <c r="N355" s="20" t="s">
        <v>463</v>
      </c>
      <c r="O355" s="20" t="s">
        <v>1365</v>
      </c>
      <c r="P355" s="32" t="s">
        <v>850</v>
      </c>
      <c r="Q355" s="20" t="s">
        <v>40</v>
      </c>
      <c r="R355" s="2">
        <f t="shared" si="154"/>
        <v>812437.94000000006</v>
      </c>
      <c r="S355" s="2">
        <v>655160.41</v>
      </c>
      <c r="T355" s="2">
        <v>157277.53</v>
      </c>
      <c r="U355" s="2">
        <f t="shared" si="149"/>
        <v>154935.91999999998</v>
      </c>
      <c r="V355" s="2">
        <v>115616.54</v>
      </c>
      <c r="W355" s="2">
        <v>39319.379999999997</v>
      </c>
      <c r="X355" s="2">
        <f t="shared" si="153"/>
        <v>0</v>
      </c>
      <c r="Y355" s="2">
        <v>0</v>
      </c>
      <c r="Z355" s="2">
        <v>0</v>
      </c>
      <c r="AA355" s="2">
        <f t="shared" si="156"/>
        <v>19742.349999999999</v>
      </c>
      <c r="AB355" s="2">
        <v>15730.16</v>
      </c>
      <c r="AC355" s="2">
        <v>4012.19</v>
      </c>
      <c r="AD355" s="2">
        <f t="shared" si="157"/>
        <v>987116.21000000008</v>
      </c>
      <c r="AE355" s="2">
        <v>0</v>
      </c>
      <c r="AF355" s="2">
        <f t="shared" si="158"/>
        <v>987116.21000000008</v>
      </c>
      <c r="AG355" s="24" t="s">
        <v>41</v>
      </c>
      <c r="AH355" s="34" t="s">
        <v>1366</v>
      </c>
      <c r="AI355" s="35">
        <f>98711.62+82894.54-376.83+73798.02+80976.74+185141.28+260525.68-19533.72</f>
        <v>762137.33000000007</v>
      </c>
      <c r="AJ355" s="36">
        <f>15808.4+376.83+15333.49+13734.08+35307.36+49683.52+15099.61</f>
        <v>145343.28999999998</v>
      </c>
      <c r="AK355" s="28">
        <f t="shared" si="150"/>
        <v>50300.609999999986</v>
      </c>
      <c r="AL355" s="28">
        <f t="shared" si="151"/>
        <v>9592.6300000000047</v>
      </c>
      <c r="AM355" s="29">
        <f t="shared" si="152"/>
        <v>0.93808682789974085</v>
      </c>
    </row>
    <row r="356" spans="1:39" ht="192" customHeight="1" x14ac:dyDescent="0.25">
      <c r="A356" s="10">
        <v>353</v>
      </c>
      <c r="B356" s="37">
        <v>113125</v>
      </c>
      <c r="C356" s="37">
        <v>230</v>
      </c>
      <c r="D356" s="20" t="s">
        <v>254</v>
      </c>
      <c r="E356" s="14" t="s">
        <v>1005</v>
      </c>
      <c r="F356" s="146" t="s">
        <v>1367</v>
      </c>
      <c r="G356" s="15" t="s">
        <v>1368</v>
      </c>
      <c r="H356" s="20" t="s">
        <v>173</v>
      </c>
      <c r="I356" s="20" t="s">
        <v>1369</v>
      </c>
      <c r="J356" s="30">
        <v>43291</v>
      </c>
      <c r="K356" s="30">
        <v>43718</v>
      </c>
      <c r="L356" s="31">
        <f t="shared" si="155"/>
        <v>82.304188716846156</v>
      </c>
      <c r="M356" s="20" t="s">
        <v>855</v>
      </c>
      <c r="N356" s="20" t="s">
        <v>228</v>
      </c>
      <c r="O356" s="20" t="s">
        <v>228</v>
      </c>
      <c r="P356" s="32" t="s">
        <v>850</v>
      </c>
      <c r="Q356" s="20" t="s">
        <v>40</v>
      </c>
      <c r="R356" s="2">
        <f t="shared" si="154"/>
        <v>736342.77</v>
      </c>
      <c r="S356" s="2">
        <v>593796.28</v>
      </c>
      <c r="T356" s="2">
        <v>142546.49</v>
      </c>
      <c r="U356" s="2">
        <f t="shared" si="149"/>
        <v>140424.16999999998</v>
      </c>
      <c r="V356" s="2">
        <v>104787.58</v>
      </c>
      <c r="W356" s="2">
        <v>35636.589999999997</v>
      </c>
      <c r="X356" s="2">
        <f t="shared" si="153"/>
        <v>0</v>
      </c>
      <c r="Y356" s="2"/>
      <c r="Z356" s="2"/>
      <c r="AA356" s="2">
        <f t="shared" si="156"/>
        <v>17893.2</v>
      </c>
      <c r="AB356" s="2">
        <v>14256.8</v>
      </c>
      <c r="AC356" s="2">
        <v>3636.4</v>
      </c>
      <c r="AD356" s="2">
        <f t="shared" si="157"/>
        <v>894660.1399999999</v>
      </c>
      <c r="AE356" s="2">
        <v>0</v>
      </c>
      <c r="AF356" s="2">
        <f t="shared" si="158"/>
        <v>894660.1399999999</v>
      </c>
      <c r="AG356" s="24" t="s">
        <v>41</v>
      </c>
      <c r="AH356" s="34" t="s">
        <v>132</v>
      </c>
      <c r="AI356" s="35">
        <f>431197.76+67607.74</f>
        <v>498805.5</v>
      </c>
      <c r="AJ356" s="36">
        <f>81263.8+12893.14</f>
        <v>94156.94</v>
      </c>
      <c r="AK356" s="28">
        <f t="shared" si="150"/>
        <v>237537.27000000002</v>
      </c>
      <c r="AL356" s="28">
        <f t="shared" si="151"/>
        <v>46267.229999999981</v>
      </c>
      <c r="AM356" s="29">
        <f t="shared" si="152"/>
        <v>0.67740938095990266</v>
      </c>
    </row>
    <row r="357" spans="1:39" ht="192" customHeight="1" x14ac:dyDescent="0.25">
      <c r="A357" s="10">
        <v>354</v>
      </c>
      <c r="B357" s="37">
        <v>112435</v>
      </c>
      <c r="C357" s="37">
        <v>323</v>
      </c>
      <c r="D357" s="20" t="s">
        <v>254</v>
      </c>
      <c r="E357" s="14" t="s">
        <v>1005</v>
      </c>
      <c r="F357" s="146" t="s">
        <v>1370</v>
      </c>
      <c r="G357" s="15" t="s">
        <v>1371</v>
      </c>
      <c r="H357" s="20" t="s">
        <v>1372</v>
      </c>
      <c r="I357" s="112" t="s">
        <v>1373</v>
      </c>
      <c r="J357" s="30">
        <v>43292</v>
      </c>
      <c r="K357" s="30">
        <v>43780</v>
      </c>
      <c r="L357" s="31">
        <f t="shared" si="155"/>
        <v>82.304182891954625</v>
      </c>
      <c r="M357" s="20" t="s">
        <v>855</v>
      </c>
      <c r="N357" s="20" t="s">
        <v>365</v>
      </c>
      <c r="O357" s="20" t="s">
        <v>365</v>
      </c>
      <c r="P357" s="32" t="s">
        <v>850</v>
      </c>
      <c r="Q357" s="20" t="s">
        <v>40</v>
      </c>
      <c r="R357" s="2">
        <f t="shared" si="154"/>
        <v>815316.89</v>
      </c>
      <c r="S357" s="2">
        <v>657481.98</v>
      </c>
      <c r="T357" s="2">
        <v>157834.91</v>
      </c>
      <c r="U357" s="2">
        <f t="shared" si="149"/>
        <v>155484.97999999998</v>
      </c>
      <c r="V357" s="2">
        <v>116026.31</v>
      </c>
      <c r="W357" s="2">
        <v>39458.67</v>
      </c>
      <c r="X357" s="2">
        <f t="shared" si="153"/>
        <v>0</v>
      </c>
      <c r="Y357" s="2"/>
      <c r="Z357" s="2"/>
      <c r="AA357" s="2">
        <f t="shared" si="156"/>
        <v>19812.29</v>
      </c>
      <c r="AB357" s="2">
        <v>15785.9</v>
      </c>
      <c r="AC357" s="2">
        <v>4026.39</v>
      </c>
      <c r="AD357" s="2">
        <f t="shared" si="157"/>
        <v>990614.16</v>
      </c>
      <c r="AE357" s="2"/>
      <c r="AF357" s="2">
        <f t="shared" si="158"/>
        <v>990614.16</v>
      </c>
      <c r="AG357" s="24" t="s">
        <v>41</v>
      </c>
      <c r="AH357" s="34" t="s">
        <v>1374</v>
      </c>
      <c r="AI357" s="35">
        <f>694001.82-8054.22</f>
        <v>685947.6</v>
      </c>
      <c r="AJ357" s="36">
        <f>15703.63+42154.87+5183.15+19792.72+39704.75+8274.46</f>
        <v>130813.57999999999</v>
      </c>
      <c r="AK357" s="28">
        <f t="shared" si="150"/>
        <v>129369.29000000004</v>
      </c>
      <c r="AL357" s="28">
        <f t="shared" si="151"/>
        <v>24671.399999999994</v>
      </c>
      <c r="AM357" s="29">
        <f t="shared" si="152"/>
        <v>0.84132637065816207</v>
      </c>
    </row>
    <row r="358" spans="1:39" ht="192" customHeight="1" x14ac:dyDescent="0.25">
      <c r="A358" s="10">
        <v>355</v>
      </c>
      <c r="B358" s="37">
        <v>110839</v>
      </c>
      <c r="C358" s="37">
        <v>306</v>
      </c>
      <c r="D358" s="20" t="s">
        <v>254</v>
      </c>
      <c r="E358" s="14" t="s">
        <v>1005</v>
      </c>
      <c r="F358" s="146" t="s">
        <v>1375</v>
      </c>
      <c r="G358" s="15" t="s">
        <v>1376</v>
      </c>
      <c r="H358" s="20" t="s">
        <v>1377</v>
      </c>
      <c r="I358" s="15" t="s">
        <v>1378</v>
      </c>
      <c r="J358" s="30">
        <v>43292</v>
      </c>
      <c r="K358" s="30">
        <v>43993</v>
      </c>
      <c r="L358" s="31">
        <f t="shared" si="155"/>
        <v>82.304186604752402</v>
      </c>
      <c r="M358" s="20" t="s">
        <v>855</v>
      </c>
      <c r="N358" s="20" t="s">
        <v>1379</v>
      </c>
      <c r="O358" s="20" t="s">
        <v>1379</v>
      </c>
      <c r="P358" s="32" t="s">
        <v>850</v>
      </c>
      <c r="Q358" s="20" t="s">
        <v>40</v>
      </c>
      <c r="R358" s="2">
        <f t="shared" si="154"/>
        <v>800537.35</v>
      </c>
      <c r="S358" s="2">
        <v>645563.62</v>
      </c>
      <c r="T358" s="2">
        <v>154973.73000000001</v>
      </c>
      <c r="U358" s="2">
        <f t="shared" si="149"/>
        <v>152666.38</v>
      </c>
      <c r="V358" s="2">
        <v>113922.98</v>
      </c>
      <c r="W358" s="2">
        <v>38743.4</v>
      </c>
      <c r="X358" s="2">
        <f t="shared" si="153"/>
        <v>0</v>
      </c>
      <c r="Y358" s="2"/>
      <c r="Z358" s="2"/>
      <c r="AA358" s="2">
        <f t="shared" si="156"/>
        <v>19453.169999999998</v>
      </c>
      <c r="AB358" s="2">
        <v>15499.74</v>
      </c>
      <c r="AC358" s="2">
        <v>3953.43</v>
      </c>
      <c r="AD358" s="2">
        <f t="shared" si="157"/>
        <v>972656.9</v>
      </c>
      <c r="AE358" s="2"/>
      <c r="AF358" s="2">
        <f t="shared" si="158"/>
        <v>972656.9</v>
      </c>
      <c r="AG358" s="39" t="s">
        <v>69</v>
      </c>
      <c r="AH358" s="34" t="s">
        <v>1380</v>
      </c>
      <c r="AI358" s="35">
        <v>655019.55000000005</v>
      </c>
      <c r="AJ358" s="36">
        <v>124915.36000000002</v>
      </c>
      <c r="AK358" s="28">
        <f t="shared" si="150"/>
        <v>145517.79999999993</v>
      </c>
      <c r="AL358" s="28">
        <f t="shared" si="151"/>
        <v>27751.01999999999</v>
      </c>
      <c r="AM358" s="29">
        <f t="shared" si="152"/>
        <v>0.81822484609868618</v>
      </c>
    </row>
    <row r="359" spans="1:39" ht="192" customHeight="1" x14ac:dyDescent="0.25">
      <c r="A359" s="10">
        <v>356</v>
      </c>
      <c r="B359" s="37">
        <v>115895</v>
      </c>
      <c r="C359" s="37">
        <v>389</v>
      </c>
      <c r="D359" s="124" t="s">
        <v>254</v>
      </c>
      <c r="E359" s="14" t="s">
        <v>1015</v>
      </c>
      <c r="F359" s="146" t="s">
        <v>1381</v>
      </c>
      <c r="G359" s="15" t="s">
        <v>1382</v>
      </c>
      <c r="H359" s="20" t="s">
        <v>1383</v>
      </c>
      <c r="I359" s="112" t="s">
        <v>1384</v>
      </c>
      <c r="J359" s="30">
        <v>43293</v>
      </c>
      <c r="K359" s="30">
        <v>44451</v>
      </c>
      <c r="L359" s="31">
        <f t="shared" si="155"/>
        <v>83.983864548494978</v>
      </c>
      <c r="M359" s="20" t="s">
        <v>855</v>
      </c>
      <c r="N359" s="20" t="s">
        <v>228</v>
      </c>
      <c r="O359" s="20" t="s">
        <v>228</v>
      </c>
      <c r="P359" s="32" t="s">
        <v>260</v>
      </c>
      <c r="Q359" s="20" t="s">
        <v>40</v>
      </c>
      <c r="R359" s="2">
        <f t="shared" si="154"/>
        <v>2511117.5499999998</v>
      </c>
      <c r="S359" s="2">
        <v>2024997.51</v>
      </c>
      <c r="T359" s="2">
        <v>486120.04</v>
      </c>
      <c r="U359" s="2">
        <f t="shared" si="149"/>
        <v>0</v>
      </c>
      <c r="V359" s="2"/>
      <c r="W359" s="2"/>
      <c r="X359" s="2">
        <f t="shared" si="153"/>
        <v>478882.44999999995</v>
      </c>
      <c r="Y359" s="2">
        <v>357352.47</v>
      </c>
      <c r="Z359" s="2">
        <v>121529.98</v>
      </c>
      <c r="AA359" s="2">
        <f t="shared" si="156"/>
        <v>0</v>
      </c>
      <c r="AB359" s="2">
        <v>0</v>
      </c>
      <c r="AC359" s="2">
        <v>0</v>
      </c>
      <c r="AD359" s="2">
        <f t="shared" si="157"/>
        <v>2990000</v>
      </c>
      <c r="AE359" s="2">
        <v>0</v>
      </c>
      <c r="AF359" s="2">
        <f t="shared" si="158"/>
        <v>2990000</v>
      </c>
      <c r="AG359" s="39" t="s">
        <v>69</v>
      </c>
      <c r="AH359" s="34" t="s">
        <v>1385</v>
      </c>
      <c r="AI359" s="35">
        <v>1101841.06</v>
      </c>
      <c r="AJ359" s="36">
        <v>0</v>
      </c>
      <c r="AK359" s="28">
        <f t="shared" si="150"/>
        <v>1409276.4899999998</v>
      </c>
      <c r="AL359" s="28">
        <f t="shared" si="151"/>
        <v>0</v>
      </c>
      <c r="AM359" s="29">
        <f t="shared" si="152"/>
        <v>0.43878513771687039</v>
      </c>
    </row>
    <row r="360" spans="1:39" ht="192" customHeight="1" x14ac:dyDescent="0.25">
      <c r="A360" s="10">
        <v>357</v>
      </c>
      <c r="B360" s="37">
        <v>111830</v>
      </c>
      <c r="C360" s="37">
        <v>377</v>
      </c>
      <c r="D360" s="20" t="s">
        <v>1289</v>
      </c>
      <c r="E360" s="14" t="s">
        <v>1290</v>
      </c>
      <c r="F360" s="146" t="s">
        <v>1386</v>
      </c>
      <c r="G360" s="15" t="s">
        <v>76</v>
      </c>
      <c r="H360" s="20" t="s">
        <v>1387</v>
      </c>
      <c r="I360" s="112" t="s">
        <v>1388</v>
      </c>
      <c r="J360" s="30">
        <v>43297</v>
      </c>
      <c r="K360" s="30">
        <v>43906</v>
      </c>
      <c r="L360" s="31">
        <f t="shared" si="155"/>
        <v>83.143853842955224</v>
      </c>
      <c r="M360" s="20" t="s">
        <v>855</v>
      </c>
      <c r="N360" s="20" t="s">
        <v>228</v>
      </c>
      <c r="O360" s="20" t="s">
        <v>228</v>
      </c>
      <c r="P360" s="32" t="s">
        <v>260</v>
      </c>
      <c r="Q360" s="20" t="s">
        <v>40</v>
      </c>
      <c r="R360" s="2">
        <f t="shared" si="154"/>
        <v>5525318.4299999997</v>
      </c>
      <c r="S360" s="2">
        <v>4455687.8899999997</v>
      </c>
      <c r="T360" s="2">
        <v>1069630.54</v>
      </c>
      <c r="U360" s="2">
        <f t="shared" si="149"/>
        <v>987264.11999999988</v>
      </c>
      <c r="V360" s="2">
        <v>733359.19</v>
      </c>
      <c r="W360" s="2">
        <v>253904.93</v>
      </c>
      <c r="X360" s="2">
        <f t="shared" si="153"/>
        <v>0</v>
      </c>
      <c r="Y360" s="2">
        <v>0</v>
      </c>
      <c r="Z360" s="2">
        <v>0</v>
      </c>
      <c r="AA360" s="2">
        <f t="shared" si="156"/>
        <v>132909.78</v>
      </c>
      <c r="AB360" s="2">
        <v>105898.92</v>
      </c>
      <c r="AC360" s="2">
        <v>27010.86</v>
      </c>
      <c r="AD360" s="2">
        <f t="shared" si="157"/>
        <v>6645492.3300000001</v>
      </c>
      <c r="AE360" s="2">
        <v>0</v>
      </c>
      <c r="AF360" s="2">
        <f t="shared" si="158"/>
        <v>6645492.3300000001</v>
      </c>
      <c r="AG360" s="39" t="s">
        <v>41</v>
      </c>
      <c r="AH360" s="34" t="s">
        <v>1389</v>
      </c>
      <c r="AI360" s="35">
        <f>3247378.8+347741.72+347940.4+186782.93+441541.97</f>
        <v>4571385.8199999994</v>
      </c>
      <c r="AJ360" s="36">
        <f>500325.22+54496.04+108259.54+83640.09</f>
        <v>746720.89</v>
      </c>
      <c r="AK360" s="28">
        <f t="shared" si="150"/>
        <v>953932.61000000034</v>
      </c>
      <c r="AL360" s="28">
        <f t="shared" si="151"/>
        <v>240543.22999999986</v>
      </c>
      <c r="AM360" s="29">
        <f t="shared" si="152"/>
        <v>0.82735246446239652</v>
      </c>
    </row>
    <row r="361" spans="1:39" ht="192" customHeight="1" x14ac:dyDescent="0.25">
      <c r="A361" s="10">
        <v>358</v>
      </c>
      <c r="B361" s="37">
        <v>126528</v>
      </c>
      <c r="C361" s="37">
        <v>496</v>
      </c>
      <c r="D361" s="15" t="s">
        <v>425</v>
      </c>
      <c r="E361" s="14" t="s">
        <v>426</v>
      </c>
      <c r="F361" s="40" t="s">
        <v>1390</v>
      </c>
      <c r="G361" s="15" t="s">
        <v>1391</v>
      </c>
      <c r="H361" s="20" t="s">
        <v>1392</v>
      </c>
      <c r="I361" s="121" t="s">
        <v>1393</v>
      </c>
      <c r="J361" s="30">
        <v>43552</v>
      </c>
      <c r="K361" s="30">
        <v>44283</v>
      </c>
      <c r="L361" s="31">
        <f t="shared" si="155"/>
        <v>83.538686217523377</v>
      </c>
      <c r="M361" s="20" t="s">
        <v>1394</v>
      </c>
      <c r="N361" s="20" t="s">
        <v>1395</v>
      </c>
      <c r="O361" s="20" t="s">
        <v>1395</v>
      </c>
      <c r="P361" s="20" t="s">
        <v>850</v>
      </c>
      <c r="Q361" s="20" t="s">
        <v>40</v>
      </c>
      <c r="R361" s="35">
        <f t="shared" si="154"/>
        <v>1949308.98</v>
      </c>
      <c r="S361" s="89">
        <v>1949308.98</v>
      </c>
      <c r="T361" s="38">
        <v>0</v>
      </c>
      <c r="U361" s="35">
        <f t="shared" si="149"/>
        <v>337443.27</v>
      </c>
      <c r="V361" s="89">
        <v>337443.27</v>
      </c>
      <c r="W361" s="38">
        <v>0</v>
      </c>
      <c r="X361" s="35">
        <f t="shared" si="153"/>
        <v>6552.42</v>
      </c>
      <c r="Y361" s="89">
        <v>6552.42</v>
      </c>
      <c r="Z361" s="38">
        <v>0</v>
      </c>
      <c r="AA361" s="2">
        <f t="shared" si="156"/>
        <v>40116.009999999995</v>
      </c>
      <c r="AB361" s="89">
        <f>23632.16+16483.85</f>
        <v>40116.009999999995</v>
      </c>
      <c r="AC361" s="38">
        <v>0</v>
      </c>
      <c r="AD361" s="2">
        <f t="shared" si="157"/>
        <v>2333420.6799999997</v>
      </c>
      <c r="AE361" s="39">
        <v>0</v>
      </c>
      <c r="AF361" s="2">
        <f t="shared" si="158"/>
        <v>2333420.6799999997</v>
      </c>
      <c r="AG361" s="39" t="s">
        <v>69</v>
      </c>
      <c r="AH361" s="39" t="s">
        <v>35</v>
      </c>
      <c r="AI361" s="35">
        <f>233342.06+142903.27+287264.67+155702.74+149142</f>
        <v>968354.74</v>
      </c>
      <c r="AJ361" s="36">
        <f>24798.23+49768.47+27050.33+25861.13</f>
        <v>127478.16</v>
      </c>
      <c r="AK361" s="28">
        <f t="shared" si="150"/>
        <v>980954.24</v>
      </c>
      <c r="AL361" s="28">
        <f t="shared" si="151"/>
        <v>209965.11000000002</v>
      </c>
      <c r="AM361" s="29">
        <f t="shared" si="152"/>
        <v>0.49676821372874402</v>
      </c>
    </row>
    <row r="362" spans="1:39" ht="192" customHeight="1" x14ac:dyDescent="0.25">
      <c r="A362" s="10">
        <v>359</v>
      </c>
      <c r="B362" s="37">
        <v>109927</v>
      </c>
      <c r="C362" s="37">
        <v>334</v>
      </c>
      <c r="D362" s="20" t="s">
        <v>254</v>
      </c>
      <c r="E362" s="14" t="s">
        <v>1005</v>
      </c>
      <c r="F362" s="146" t="s">
        <v>1396</v>
      </c>
      <c r="G362" s="15" t="s">
        <v>1397</v>
      </c>
      <c r="H362" s="20" t="s">
        <v>46</v>
      </c>
      <c r="I362" s="112" t="s">
        <v>1398</v>
      </c>
      <c r="J362" s="30">
        <v>43297</v>
      </c>
      <c r="K362" s="30">
        <v>43785</v>
      </c>
      <c r="L362" s="31">
        <f t="shared" si="155"/>
        <v>82.304185890830638</v>
      </c>
      <c r="M362" s="20" t="s">
        <v>855</v>
      </c>
      <c r="N362" s="20" t="s">
        <v>228</v>
      </c>
      <c r="O362" s="20" t="s">
        <v>228</v>
      </c>
      <c r="P362" s="32" t="s">
        <v>260</v>
      </c>
      <c r="Q362" s="20" t="s">
        <v>40</v>
      </c>
      <c r="R362" s="2">
        <f t="shared" si="154"/>
        <v>793991.64999999991</v>
      </c>
      <c r="S362" s="2">
        <v>640285.07999999996</v>
      </c>
      <c r="T362" s="2">
        <v>153706.57</v>
      </c>
      <c r="U362" s="2">
        <f t="shared" si="149"/>
        <v>151418.12</v>
      </c>
      <c r="V362" s="2">
        <v>112991.49</v>
      </c>
      <c r="W362" s="2">
        <v>38426.629999999997</v>
      </c>
      <c r="X362" s="2">
        <f t="shared" si="153"/>
        <v>0</v>
      </c>
      <c r="Y362" s="2"/>
      <c r="Z362" s="2"/>
      <c r="AA362" s="2">
        <f t="shared" si="156"/>
        <v>19294.080000000002</v>
      </c>
      <c r="AB362" s="2">
        <v>15373</v>
      </c>
      <c r="AC362" s="2">
        <v>3921.08</v>
      </c>
      <c r="AD362" s="2">
        <f t="shared" si="157"/>
        <v>964703.84999999986</v>
      </c>
      <c r="AE362" s="2">
        <v>0</v>
      </c>
      <c r="AF362" s="2">
        <f t="shared" si="158"/>
        <v>964703.84999999986</v>
      </c>
      <c r="AG362" s="24" t="s">
        <v>41</v>
      </c>
      <c r="AH362" s="34" t="s">
        <v>1399</v>
      </c>
      <c r="AI362" s="35">
        <f>402453.38+117377.22+258590.23+5842.52</f>
        <v>784263.35</v>
      </c>
      <c r="AJ362" s="36">
        <f>14469.9+11972.92+31909.61+40781.81+49314.41+1114.21</f>
        <v>149562.85999999999</v>
      </c>
      <c r="AK362" s="28">
        <f t="shared" si="150"/>
        <v>9728.2999999999302</v>
      </c>
      <c r="AL362" s="28">
        <f t="shared" si="151"/>
        <v>1855.2600000000093</v>
      </c>
      <c r="AM362" s="29">
        <f t="shared" si="152"/>
        <v>0.98774760414671881</v>
      </c>
    </row>
    <row r="363" spans="1:39" ht="129" customHeight="1" x14ac:dyDescent="0.25">
      <c r="A363" s="10">
        <v>360</v>
      </c>
      <c r="B363" s="37">
        <v>111446</v>
      </c>
      <c r="C363" s="37">
        <v>161</v>
      </c>
      <c r="D363" s="20" t="s">
        <v>254</v>
      </c>
      <c r="E363" s="14" t="s">
        <v>1005</v>
      </c>
      <c r="F363" s="146" t="s">
        <v>1400</v>
      </c>
      <c r="G363" s="15" t="s">
        <v>1401</v>
      </c>
      <c r="H363" s="20" t="s">
        <v>46</v>
      </c>
      <c r="I363" s="112" t="s">
        <v>1402</v>
      </c>
      <c r="J363" s="30">
        <v>43297</v>
      </c>
      <c r="K363" s="30">
        <v>43785</v>
      </c>
      <c r="L363" s="31">
        <f t="shared" si="155"/>
        <v>82.304180439174772</v>
      </c>
      <c r="M363" s="20" t="s">
        <v>855</v>
      </c>
      <c r="N363" s="20" t="s">
        <v>228</v>
      </c>
      <c r="O363" s="20" t="s">
        <v>228</v>
      </c>
      <c r="P363" s="32" t="s">
        <v>850</v>
      </c>
      <c r="Q363" s="20" t="s">
        <v>40</v>
      </c>
      <c r="R363" s="2">
        <f t="shared" si="154"/>
        <v>820476.63</v>
      </c>
      <c r="S363" s="2">
        <v>661642.92000000004</v>
      </c>
      <c r="T363" s="2">
        <v>158833.71</v>
      </c>
      <c r="U363" s="2">
        <f t="shared" si="149"/>
        <v>156469</v>
      </c>
      <c r="V363" s="2">
        <v>116760.53</v>
      </c>
      <c r="W363" s="2">
        <v>39708.47</v>
      </c>
      <c r="X363" s="2">
        <f t="shared" si="153"/>
        <v>0</v>
      </c>
      <c r="Y363" s="2"/>
      <c r="Z363" s="2"/>
      <c r="AA363" s="2">
        <f t="shared" si="156"/>
        <v>19937.669999999998</v>
      </c>
      <c r="AB363" s="2">
        <v>15885.81</v>
      </c>
      <c r="AC363" s="2">
        <v>4051.86</v>
      </c>
      <c r="AD363" s="2">
        <f t="shared" si="157"/>
        <v>996883.3</v>
      </c>
      <c r="AE363" s="2"/>
      <c r="AF363" s="2">
        <f t="shared" si="158"/>
        <v>996883.3</v>
      </c>
      <c r="AG363" s="24" t="s">
        <v>41</v>
      </c>
      <c r="AH363" s="34" t="s">
        <v>46</v>
      </c>
      <c r="AI363" s="35">
        <f>172463.58+91295.09-2619.6+99688.33+6676.64+99688.33+83929.71+100258.16+75790.79</f>
        <v>727171.03</v>
      </c>
      <c r="AJ363" s="36">
        <f>13878.6+17410.43+18511.49+20284.35+16005.79+38130.79+14453.69</f>
        <v>138675.14000000001</v>
      </c>
      <c r="AK363" s="28">
        <f t="shared" si="150"/>
        <v>93305.599999999977</v>
      </c>
      <c r="AL363" s="28">
        <f t="shared" si="151"/>
        <v>17793.859999999986</v>
      </c>
      <c r="AM363" s="29">
        <f t="shared" si="152"/>
        <v>0.88627878407700655</v>
      </c>
    </row>
    <row r="364" spans="1:39" ht="154.5" customHeight="1" x14ac:dyDescent="0.25">
      <c r="A364" s="10">
        <v>361</v>
      </c>
      <c r="B364" s="37">
        <v>111890</v>
      </c>
      <c r="C364" s="37">
        <v>249</v>
      </c>
      <c r="D364" s="20" t="s">
        <v>254</v>
      </c>
      <c r="E364" s="14" t="s">
        <v>1005</v>
      </c>
      <c r="F364" s="146" t="s">
        <v>1403</v>
      </c>
      <c r="G364" s="15" t="s">
        <v>1404</v>
      </c>
      <c r="H364" s="20" t="s">
        <v>1405</v>
      </c>
      <c r="I364" s="16" t="s">
        <v>1864</v>
      </c>
      <c r="J364" s="30">
        <v>43301</v>
      </c>
      <c r="K364" s="30">
        <v>43789</v>
      </c>
      <c r="L364" s="31">
        <f t="shared" si="155"/>
        <v>82.304184196855573</v>
      </c>
      <c r="M364" s="20" t="s">
        <v>855</v>
      </c>
      <c r="N364" s="20" t="s">
        <v>565</v>
      </c>
      <c r="O364" s="20" t="s">
        <v>565</v>
      </c>
      <c r="P364" s="32" t="s">
        <v>850</v>
      </c>
      <c r="Q364" s="20" t="s">
        <v>40</v>
      </c>
      <c r="R364" s="2">
        <f t="shared" si="154"/>
        <v>729395.17</v>
      </c>
      <c r="S364" s="2">
        <v>588193.66</v>
      </c>
      <c r="T364" s="2">
        <v>141201.51</v>
      </c>
      <c r="U364" s="2">
        <f t="shared" si="149"/>
        <v>139099.28</v>
      </c>
      <c r="V364" s="2">
        <v>103798.89</v>
      </c>
      <c r="W364" s="2">
        <v>35300.39</v>
      </c>
      <c r="X364" s="2">
        <f t="shared" si="153"/>
        <v>0</v>
      </c>
      <c r="Y364" s="2"/>
      <c r="Z364" s="2"/>
      <c r="AA364" s="2">
        <f t="shared" si="156"/>
        <v>17724.370000000003</v>
      </c>
      <c r="AB364" s="2">
        <v>14122.29</v>
      </c>
      <c r="AC364" s="2">
        <v>3602.08</v>
      </c>
      <c r="AD364" s="2">
        <f t="shared" si="157"/>
        <v>886218.82000000007</v>
      </c>
      <c r="AE364" s="2">
        <v>0</v>
      </c>
      <c r="AF364" s="2">
        <f t="shared" si="158"/>
        <v>886218.82000000007</v>
      </c>
      <c r="AG364" s="24" t="s">
        <v>41</v>
      </c>
      <c r="AH364" s="34" t="s">
        <v>1406</v>
      </c>
      <c r="AI364" s="35">
        <f>416218.9+121145.8+152202.09-7471.8-36155.33</f>
        <v>645939.66</v>
      </c>
      <c r="AJ364" s="36">
        <f>14022.63+14374.66+9282.27+24787.75+23442.2+29025.69+8248.64</f>
        <v>123183.84</v>
      </c>
      <c r="AK364" s="28">
        <f t="shared" si="150"/>
        <v>83455.510000000009</v>
      </c>
      <c r="AL364" s="28">
        <f t="shared" si="151"/>
        <v>15915.440000000002</v>
      </c>
      <c r="AM364" s="29">
        <f t="shared" si="152"/>
        <v>0.88558258481475827</v>
      </c>
    </row>
    <row r="365" spans="1:39" ht="192" customHeight="1" x14ac:dyDescent="0.25">
      <c r="A365" s="10">
        <v>362</v>
      </c>
      <c r="B365" s="37">
        <v>126511</v>
      </c>
      <c r="C365" s="37">
        <v>499</v>
      </c>
      <c r="D365" s="15" t="s">
        <v>425</v>
      </c>
      <c r="E365" s="14" t="s">
        <v>426</v>
      </c>
      <c r="F365" s="15" t="s">
        <v>1407</v>
      </c>
      <c r="G365" s="15" t="s">
        <v>1408</v>
      </c>
      <c r="H365" s="20" t="s">
        <v>35</v>
      </c>
      <c r="I365" s="55" t="s">
        <v>1409</v>
      </c>
      <c r="J365" s="30">
        <v>43535</v>
      </c>
      <c r="K365" s="30">
        <v>44266</v>
      </c>
      <c r="L365" s="31">
        <f t="shared" si="155"/>
        <v>83.300000000000011</v>
      </c>
      <c r="M365" s="20" t="s">
        <v>1410</v>
      </c>
      <c r="N365" s="20" t="s">
        <v>1411</v>
      </c>
      <c r="O365" s="20" t="s">
        <v>1411</v>
      </c>
      <c r="P365" s="20" t="s">
        <v>850</v>
      </c>
      <c r="Q365" s="20" t="s">
        <v>40</v>
      </c>
      <c r="R365" s="35">
        <f t="shared" si="154"/>
        <v>2060383.85</v>
      </c>
      <c r="S365" s="2">
        <v>2060383.85</v>
      </c>
      <c r="T365" s="2">
        <v>0</v>
      </c>
      <c r="U365" s="35">
        <f t="shared" si="149"/>
        <v>363597.15</v>
      </c>
      <c r="V365" s="2">
        <v>363597.15</v>
      </c>
      <c r="W365" s="2">
        <v>0</v>
      </c>
      <c r="X365" s="35">
        <f t="shared" si="153"/>
        <v>0</v>
      </c>
      <c r="Y365" s="2">
        <v>0</v>
      </c>
      <c r="Z365" s="2">
        <v>0</v>
      </c>
      <c r="AA365" s="2">
        <f t="shared" si="156"/>
        <v>49469</v>
      </c>
      <c r="AB365" s="2">
        <v>49469</v>
      </c>
      <c r="AC365" s="2">
        <v>0</v>
      </c>
      <c r="AD365" s="2">
        <f t="shared" si="157"/>
        <v>2473450</v>
      </c>
      <c r="AE365" s="2">
        <v>0</v>
      </c>
      <c r="AF365" s="2">
        <f t="shared" si="158"/>
        <v>2473450</v>
      </c>
      <c r="AG365" s="39" t="s">
        <v>69</v>
      </c>
      <c r="AH365" s="34" t="s">
        <v>35</v>
      </c>
      <c r="AI365" s="35">
        <f>223418.82+247345-25227.12+247345+167983.62</f>
        <v>860865.32</v>
      </c>
      <c r="AJ365" s="36">
        <f>23926.18+54697.96+29644.16</f>
        <v>108268.3</v>
      </c>
      <c r="AK365" s="28">
        <f t="shared" si="150"/>
        <v>1199518.5300000003</v>
      </c>
      <c r="AL365" s="28">
        <f t="shared" si="151"/>
        <v>255328.85000000003</v>
      </c>
      <c r="AM365" s="29">
        <f t="shared" si="152"/>
        <v>0.41781793232362985</v>
      </c>
    </row>
    <row r="366" spans="1:39" ht="192" customHeight="1" x14ac:dyDescent="0.25">
      <c r="A366" s="10">
        <v>363</v>
      </c>
      <c r="B366" s="37">
        <v>113123</v>
      </c>
      <c r="C366" s="37">
        <v>217</v>
      </c>
      <c r="D366" s="20" t="s">
        <v>254</v>
      </c>
      <c r="E366" s="14" t="s">
        <v>1005</v>
      </c>
      <c r="F366" s="15" t="s">
        <v>1412</v>
      </c>
      <c r="G366" s="15" t="s">
        <v>1413</v>
      </c>
      <c r="H366" s="20" t="s">
        <v>132</v>
      </c>
      <c r="I366" s="112" t="s">
        <v>1414</v>
      </c>
      <c r="J366" s="30">
        <v>43312</v>
      </c>
      <c r="K366" s="30">
        <v>44043</v>
      </c>
      <c r="L366" s="31">
        <f t="shared" si="155"/>
        <v>82.304192016045192</v>
      </c>
      <c r="M366" s="20" t="s">
        <v>855</v>
      </c>
      <c r="N366" s="20" t="s">
        <v>229</v>
      </c>
      <c r="O366" s="20" t="s">
        <v>229</v>
      </c>
      <c r="P366" s="32" t="s">
        <v>850</v>
      </c>
      <c r="Q366" s="20" t="s">
        <v>40</v>
      </c>
      <c r="R366" s="2">
        <f t="shared" si="154"/>
        <v>500543.24</v>
      </c>
      <c r="S366" s="2">
        <v>403644.51</v>
      </c>
      <c r="T366" s="2">
        <v>96898.73</v>
      </c>
      <c r="U366" s="2">
        <f t="shared" si="149"/>
        <v>95456.03</v>
      </c>
      <c r="V366" s="2">
        <v>71231.39</v>
      </c>
      <c r="W366" s="2">
        <v>24224.639999999999</v>
      </c>
      <c r="X366" s="2">
        <f t="shared" si="153"/>
        <v>0</v>
      </c>
      <c r="Y366" s="2">
        <v>0</v>
      </c>
      <c r="Z366" s="2">
        <v>0</v>
      </c>
      <c r="AA366" s="2">
        <f t="shared" si="156"/>
        <v>12163.24</v>
      </c>
      <c r="AB366" s="2">
        <v>9691.31</v>
      </c>
      <c r="AC366" s="2">
        <v>2471.9299999999998</v>
      </c>
      <c r="AD366" s="2">
        <f t="shared" si="157"/>
        <v>608162.51</v>
      </c>
      <c r="AE366" s="2"/>
      <c r="AF366" s="2">
        <f t="shared" si="158"/>
        <v>608162.51</v>
      </c>
      <c r="AG366" s="39" t="s">
        <v>69</v>
      </c>
      <c r="AH366" s="34" t="s">
        <v>1415</v>
      </c>
      <c r="AI366" s="35">
        <f>290762.69+44490.67+37570.73+60763.37</f>
        <v>433587.45999999996</v>
      </c>
      <c r="AJ366" s="36">
        <f>7748.65+9425.87-0.12+10127.9+16559.69+16272.7+10964.7</f>
        <v>71099.39</v>
      </c>
      <c r="AK366" s="28">
        <f t="shared" si="150"/>
        <v>66955.780000000028</v>
      </c>
      <c r="AL366" s="28">
        <f t="shared" si="151"/>
        <v>24356.639999999999</v>
      </c>
      <c r="AM366" s="29">
        <f t="shared" si="152"/>
        <v>0.86623377432886717</v>
      </c>
    </row>
    <row r="367" spans="1:39" ht="192" customHeight="1" x14ac:dyDescent="0.25">
      <c r="A367" s="10">
        <v>364</v>
      </c>
      <c r="B367" s="37">
        <v>112769</v>
      </c>
      <c r="C367" s="37">
        <v>154</v>
      </c>
      <c r="D367" s="20" t="s">
        <v>254</v>
      </c>
      <c r="E367" s="14" t="s">
        <v>1005</v>
      </c>
      <c r="F367" s="15" t="s">
        <v>1416</v>
      </c>
      <c r="G367" s="15" t="s">
        <v>1417</v>
      </c>
      <c r="H367" s="20" t="s">
        <v>1418</v>
      </c>
      <c r="I367" s="112" t="s">
        <v>1419</v>
      </c>
      <c r="J367" s="30">
        <v>43312</v>
      </c>
      <c r="K367" s="30">
        <v>43799</v>
      </c>
      <c r="L367" s="31">
        <f t="shared" si="155"/>
        <v>82.304193908401487</v>
      </c>
      <c r="M367" s="20" t="s">
        <v>855</v>
      </c>
      <c r="N367" s="20" t="s">
        <v>229</v>
      </c>
      <c r="O367" s="20" t="s">
        <v>229</v>
      </c>
      <c r="P367" s="32" t="s">
        <v>850</v>
      </c>
      <c r="Q367" s="20" t="s">
        <v>40</v>
      </c>
      <c r="R367" s="2">
        <f t="shared" si="154"/>
        <v>810553.29</v>
      </c>
      <c r="S367" s="2">
        <v>653640.61</v>
      </c>
      <c r="T367" s="2">
        <v>156912.68</v>
      </c>
      <c r="U367" s="2">
        <f t="shared" si="149"/>
        <v>154576.41999999998</v>
      </c>
      <c r="V367" s="2">
        <v>115348.29</v>
      </c>
      <c r="W367" s="2">
        <v>39228.129999999997</v>
      </c>
      <c r="X367" s="2">
        <f t="shared" si="153"/>
        <v>0</v>
      </c>
      <c r="Y367" s="2"/>
      <c r="Z367" s="2"/>
      <c r="AA367" s="2">
        <f t="shared" si="156"/>
        <v>19696.52</v>
      </c>
      <c r="AB367" s="2">
        <v>15693.62</v>
      </c>
      <c r="AC367" s="2">
        <v>4002.9</v>
      </c>
      <c r="AD367" s="2">
        <f t="shared" si="157"/>
        <v>984826.23</v>
      </c>
      <c r="AE367" s="2"/>
      <c r="AF367" s="2">
        <f t="shared" si="158"/>
        <v>984826.23</v>
      </c>
      <c r="AG367" s="24" t="s">
        <v>41</v>
      </c>
      <c r="AH367" s="34" t="s">
        <v>35</v>
      </c>
      <c r="AI367" s="35">
        <f>505319.03+215529.97-3637.72</f>
        <v>717211.28</v>
      </c>
      <c r="AJ367" s="36">
        <f>15061.09+3.81+17176.67+17183.59+29510.05+41102.63+16737.76</f>
        <v>136775.6</v>
      </c>
      <c r="AK367" s="28">
        <f t="shared" si="150"/>
        <v>93342.010000000009</v>
      </c>
      <c r="AL367" s="28">
        <f t="shared" si="151"/>
        <v>17800.819999999978</v>
      </c>
      <c r="AM367" s="29">
        <f t="shared" si="152"/>
        <v>0.88484161232631597</v>
      </c>
    </row>
    <row r="368" spans="1:39" ht="192" customHeight="1" x14ac:dyDescent="0.25">
      <c r="A368" s="10">
        <v>365</v>
      </c>
      <c r="B368" s="37">
        <v>118824</v>
      </c>
      <c r="C368" s="37">
        <v>451</v>
      </c>
      <c r="D368" s="20" t="s">
        <v>1282</v>
      </c>
      <c r="E368" s="14" t="s">
        <v>1283</v>
      </c>
      <c r="F368" s="67" t="s">
        <v>1420</v>
      </c>
      <c r="G368" s="20" t="s">
        <v>1421</v>
      </c>
      <c r="H368" s="20" t="s">
        <v>1422</v>
      </c>
      <c r="I368" s="15" t="s">
        <v>1423</v>
      </c>
      <c r="J368" s="30">
        <v>43311</v>
      </c>
      <c r="K368" s="30">
        <v>44042</v>
      </c>
      <c r="L368" s="31">
        <f t="shared" si="155"/>
        <v>83.245540797683972</v>
      </c>
      <c r="M368" s="20" t="s">
        <v>855</v>
      </c>
      <c r="N368" s="20" t="s">
        <v>229</v>
      </c>
      <c r="O368" s="20" t="s">
        <v>229</v>
      </c>
      <c r="P368" s="32" t="s">
        <v>260</v>
      </c>
      <c r="Q368" s="20" t="s">
        <v>40</v>
      </c>
      <c r="R368" s="2">
        <f t="shared" si="154"/>
        <v>3071406.8699999992</v>
      </c>
      <c r="S368" s="2">
        <v>2476821.9799999991</v>
      </c>
      <c r="T368" s="2">
        <v>594584.89000000013</v>
      </c>
      <c r="U368" s="2">
        <f t="shared" si="149"/>
        <v>254554.26</v>
      </c>
      <c r="V368" s="2">
        <v>189953.91</v>
      </c>
      <c r="W368" s="2">
        <v>64600.35</v>
      </c>
      <c r="X368" s="2">
        <f t="shared" si="153"/>
        <v>331178.17999999993</v>
      </c>
      <c r="Y368" s="2">
        <v>247132.34487485181</v>
      </c>
      <c r="Z368" s="2">
        <v>84045.835125148122</v>
      </c>
      <c r="AA368" s="2">
        <f t="shared" si="156"/>
        <v>32435.940000000006</v>
      </c>
      <c r="AB368" s="2">
        <v>25844.1115279326</v>
      </c>
      <c r="AC368" s="2">
        <v>6591.8284720674046</v>
      </c>
      <c r="AD368" s="2">
        <f t="shared" si="157"/>
        <v>3689575.2499999986</v>
      </c>
      <c r="AE368" s="2"/>
      <c r="AF368" s="2">
        <f t="shared" si="158"/>
        <v>3689575.2499999986</v>
      </c>
      <c r="AG368" s="39" t="s">
        <v>69</v>
      </c>
      <c r="AH368" s="34" t="s">
        <v>1424</v>
      </c>
      <c r="AI368" s="35">
        <f>1525625.11+35665.38+461250.33+93312.31+190744.71</f>
        <v>2306597.84</v>
      </c>
      <c r="AJ368" s="36">
        <f>127973.9+32924.82+17795.12</f>
        <v>178693.84</v>
      </c>
      <c r="AK368" s="28">
        <f t="shared" si="150"/>
        <v>764809.02999999933</v>
      </c>
      <c r="AL368" s="28">
        <f t="shared" si="151"/>
        <v>75860.420000000013</v>
      </c>
      <c r="AM368" s="29">
        <f t="shared" si="152"/>
        <v>0.75099064944137484</v>
      </c>
    </row>
    <row r="369" spans="1:39" ht="192" customHeight="1" x14ac:dyDescent="0.25">
      <c r="A369" s="10">
        <v>366</v>
      </c>
      <c r="B369" s="37">
        <v>113009</v>
      </c>
      <c r="C369" s="37">
        <v>296</v>
      </c>
      <c r="D369" s="20" t="s">
        <v>254</v>
      </c>
      <c r="E369" s="14" t="s">
        <v>1005</v>
      </c>
      <c r="F369" s="15" t="s">
        <v>1425</v>
      </c>
      <c r="G369" s="15" t="s">
        <v>1426</v>
      </c>
      <c r="H369" s="20" t="s">
        <v>1427</v>
      </c>
      <c r="I369" s="112" t="s">
        <v>1428</v>
      </c>
      <c r="J369" s="30">
        <v>43318</v>
      </c>
      <c r="K369" s="30">
        <v>43775</v>
      </c>
      <c r="L369" s="31">
        <f t="shared" si="155"/>
        <v>82.304184738955826</v>
      </c>
      <c r="M369" s="20" t="s">
        <v>855</v>
      </c>
      <c r="N369" s="20" t="s">
        <v>1429</v>
      </c>
      <c r="O369" s="20" t="s">
        <v>1430</v>
      </c>
      <c r="P369" s="32" t="s">
        <v>850</v>
      </c>
      <c r="Q369" s="20" t="s">
        <v>40</v>
      </c>
      <c r="R369" s="2">
        <f t="shared" si="154"/>
        <v>819749.67999999993</v>
      </c>
      <c r="S369" s="2">
        <v>661056.71</v>
      </c>
      <c r="T369" s="2">
        <v>158692.97</v>
      </c>
      <c r="U369" s="2">
        <f t="shared" si="149"/>
        <v>156330.31</v>
      </c>
      <c r="V369" s="2">
        <v>116657.06</v>
      </c>
      <c r="W369" s="2">
        <v>39673.25</v>
      </c>
      <c r="X369" s="2">
        <f t="shared" si="153"/>
        <v>0</v>
      </c>
      <c r="Y369" s="2"/>
      <c r="Z369" s="2"/>
      <c r="AA369" s="2">
        <f t="shared" si="156"/>
        <v>19920.010000000002</v>
      </c>
      <c r="AB369" s="2">
        <v>15871.7</v>
      </c>
      <c r="AC369" s="2">
        <v>4048.31</v>
      </c>
      <c r="AD369" s="2">
        <f t="shared" si="157"/>
        <v>996000</v>
      </c>
      <c r="AE369" s="2"/>
      <c r="AF369" s="2">
        <f t="shared" si="158"/>
        <v>996000</v>
      </c>
      <c r="AG369" s="24" t="s">
        <v>41</v>
      </c>
      <c r="AH369" s="34" t="s">
        <v>1431</v>
      </c>
      <c r="AI369" s="35">
        <f>11711.89+112463.33+73006.84+70941.22+395259.82+67590.34</f>
        <v>730973.44000000006</v>
      </c>
      <c r="AJ369" s="36">
        <f>2233.51+2453.09+13922.77+13528.85+75378+31884.01</f>
        <v>139400.23000000001</v>
      </c>
      <c r="AK369" s="28">
        <f t="shared" si="150"/>
        <v>88776.239999999874</v>
      </c>
      <c r="AL369" s="28">
        <f t="shared" si="151"/>
        <v>16930.079999999987</v>
      </c>
      <c r="AM369" s="29">
        <f t="shared" si="152"/>
        <v>0.89170323311379651</v>
      </c>
    </row>
    <row r="370" spans="1:39" ht="192" customHeight="1" x14ac:dyDescent="0.25">
      <c r="A370" s="10">
        <v>367</v>
      </c>
      <c r="B370" s="37">
        <v>112982</v>
      </c>
      <c r="C370" s="37">
        <v>297</v>
      </c>
      <c r="D370" s="20" t="s">
        <v>254</v>
      </c>
      <c r="E370" s="14" t="s">
        <v>1005</v>
      </c>
      <c r="F370" s="146" t="s">
        <v>1432</v>
      </c>
      <c r="G370" s="15" t="s">
        <v>1433</v>
      </c>
      <c r="H370" s="20" t="s">
        <v>1434</v>
      </c>
      <c r="I370" s="112" t="s">
        <v>1435</v>
      </c>
      <c r="J370" s="30">
        <v>43318</v>
      </c>
      <c r="K370" s="30">
        <v>43683</v>
      </c>
      <c r="L370" s="31">
        <f t="shared" si="155"/>
        <v>82.304142421748935</v>
      </c>
      <c r="M370" s="20" t="s">
        <v>855</v>
      </c>
      <c r="N370" s="20" t="s">
        <v>571</v>
      </c>
      <c r="O370" s="20" t="s">
        <v>1436</v>
      </c>
      <c r="P370" s="32" t="s">
        <v>850</v>
      </c>
      <c r="Q370" s="20" t="s">
        <v>40</v>
      </c>
      <c r="R370" s="2">
        <f t="shared" si="154"/>
        <v>819220.94</v>
      </c>
      <c r="S370" s="2">
        <f>660630.63-0.29</f>
        <v>660630.34</v>
      </c>
      <c r="T370" s="2">
        <f>158590.68-0.08</f>
        <v>158590.6</v>
      </c>
      <c r="U370" s="2">
        <f t="shared" ref="U370:U401" si="159">V370+W370</f>
        <v>156229.57</v>
      </c>
      <c r="V370" s="2">
        <f>116581.9-0.05</f>
        <v>116581.84999999999</v>
      </c>
      <c r="W370" s="2">
        <f>39647.73-0.01</f>
        <v>39647.72</v>
      </c>
      <c r="X370" s="2">
        <f t="shared" si="153"/>
        <v>0</v>
      </c>
      <c r="Y370" s="2"/>
      <c r="Z370" s="2"/>
      <c r="AA370" s="2">
        <f t="shared" si="156"/>
        <v>19907.580000000002</v>
      </c>
      <c r="AB370" s="2">
        <f>15861.49+0.34</f>
        <v>15861.83</v>
      </c>
      <c r="AC370" s="2">
        <f>4045.66+0.09</f>
        <v>4045.75</v>
      </c>
      <c r="AD370" s="2">
        <f t="shared" si="157"/>
        <v>995358.09</v>
      </c>
      <c r="AE370" s="2"/>
      <c r="AF370" s="2">
        <f t="shared" si="158"/>
        <v>995358.09</v>
      </c>
      <c r="AG370" s="24" t="s">
        <v>41</v>
      </c>
      <c r="AH370" s="34"/>
      <c r="AI370" s="35">
        <f>764833.39+7900.03</f>
        <v>772733.42</v>
      </c>
      <c r="AJ370" s="36">
        <f>145857.5+1506.57</f>
        <v>147364.07</v>
      </c>
      <c r="AK370" s="28">
        <f t="shared" si="150"/>
        <v>46487.519999999902</v>
      </c>
      <c r="AL370" s="28">
        <f t="shared" si="151"/>
        <v>8865.5</v>
      </c>
      <c r="AM370" s="29">
        <f t="shared" si="152"/>
        <v>0.94325398957697548</v>
      </c>
    </row>
    <row r="371" spans="1:39" ht="192" customHeight="1" x14ac:dyDescent="0.25">
      <c r="A371" s="10">
        <v>368</v>
      </c>
      <c r="B371" s="37">
        <v>110476</v>
      </c>
      <c r="C371" s="37">
        <v>203</v>
      </c>
      <c r="D371" s="20" t="s">
        <v>254</v>
      </c>
      <c r="E371" s="14" t="s">
        <v>1005</v>
      </c>
      <c r="F371" s="146" t="s">
        <v>1437</v>
      </c>
      <c r="G371" s="15" t="s">
        <v>1438</v>
      </c>
      <c r="H371" s="20" t="s">
        <v>1439</v>
      </c>
      <c r="I371" s="112" t="s">
        <v>1440</v>
      </c>
      <c r="J371" s="30">
        <v>43321</v>
      </c>
      <c r="K371" s="30">
        <v>43808</v>
      </c>
      <c r="L371" s="31">
        <f t="shared" si="155"/>
        <v>82.304185104915661</v>
      </c>
      <c r="M371" s="20" t="s">
        <v>855</v>
      </c>
      <c r="N371" s="20" t="s">
        <v>117</v>
      </c>
      <c r="O371" s="20" t="s">
        <v>117</v>
      </c>
      <c r="P371" s="32" t="s">
        <v>850</v>
      </c>
      <c r="Q371" s="20" t="s">
        <v>40</v>
      </c>
      <c r="R371" s="2">
        <f t="shared" si="154"/>
        <v>792472.48</v>
      </c>
      <c r="S371" s="2">
        <v>639060</v>
      </c>
      <c r="T371" s="2">
        <v>153412.48000000001</v>
      </c>
      <c r="U371" s="2">
        <f t="shared" si="159"/>
        <v>151128.4</v>
      </c>
      <c r="V371" s="2">
        <v>112775.26</v>
      </c>
      <c r="W371" s="2">
        <v>38353.14</v>
      </c>
      <c r="X371" s="2">
        <f t="shared" si="153"/>
        <v>0</v>
      </c>
      <c r="Y371" s="2">
        <v>0</v>
      </c>
      <c r="Z371" s="2">
        <v>0</v>
      </c>
      <c r="AA371" s="2">
        <f t="shared" si="156"/>
        <v>19257.18</v>
      </c>
      <c r="AB371" s="2">
        <v>15343.63</v>
      </c>
      <c r="AC371" s="2">
        <v>3913.55</v>
      </c>
      <c r="AD371" s="2">
        <f t="shared" si="157"/>
        <v>962858.06</v>
      </c>
      <c r="AE371" s="2"/>
      <c r="AF371" s="2">
        <f t="shared" si="158"/>
        <v>962858.06</v>
      </c>
      <c r="AG371" s="24" t="s">
        <v>41</v>
      </c>
      <c r="AH371" s="34" t="s">
        <v>1441</v>
      </c>
      <c r="AI371" s="35">
        <f>428320.62+93776.01+55027.39+139592.25</f>
        <v>716716.27</v>
      </c>
      <c r="AJ371" s="36">
        <f>81204.25+10493.99+44983.15</f>
        <v>136681.39000000001</v>
      </c>
      <c r="AK371" s="28">
        <f t="shared" si="150"/>
        <v>75756.209999999963</v>
      </c>
      <c r="AL371" s="28">
        <f t="shared" si="151"/>
        <v>14447.00999999998</v>
      </c>
      <c r="AM371" s="29">
        <f t="shared" si="152"/>
        <v>0.90440524824281598</v>
      </c>
    </row>
    <row r="372" spans="1:39" ht="192" customHeight="1" x14ac:dyDescent="0.25">
      <c r="A372" s="10">
        <v>369</v>
      </c>
      <c r="B372" s="37">
        <v>111413</v>
      </c>
      <c r="C372" s="37">
        <v>245</v>
      </c>
      <c r="D372" s="20" t="s">
        <v>254</v>
      </c>
      <c r="E372" s="14" t="s">
        <v>1005</v>
      </c>
      <c r="F372" s="146" t="s">
        <v>1442</v>
      </c>
      <c r="G372" s="15" t="s">
        <v>1443</v>
      </c>
      <c r="H372" s="20" t="s">
        <v>1444</v>
      </c>
      <c r="I372" s="112" t="s">
        <v>1445</v>
      </c>
      <c r="J372" s="30">
        <v>43325</v>
      </c>
      <c r="K372" s="30">
        <v>43812</v>
      </c>
      <c r="L372" s="31">
        <f t="shared" si="155"/>
        <v>82.510189524515496</v>
      </c>
      <c r="M372" s="20" t="s">
        <v>855</v>
      </c>
      <c r="N372" s="20" t="s">
        <v>228</v>
      </c>
      <c r="O372" s="20" t="s">
        <v>228</v>
      </c>
      <c r="P372" s="32" t="s">
        <v>850</v>
      </c>
      <c r="Q372" s="20" t="s">
        <v>40</v>
      </c>
      <c r="R372" s="2">
        <f t="shared" si="154"/>
        <v>805149.57</v>
      </c>
      <c r="S372" s="2">
        <v>649282.97</v>
      </c>
      <c r="T372" s="2">
        <v>155866.6</v>
      </c>
      <c r="U372" s="2">
        <f t="shared" si="159"/>
        <v>134378</v>
      </c>
      <c r="V372" s="2">
        <v>100275.78</v>
      </c>
      <c r="W372" s="2">
        <v>34102.22</v>
      </c>
      <c r="X372" s="2">
        <f t="shared" si="153"/>
        <v>19168</v>
      </c>
      <c r="Y372" s="2">
        <v>14303.59</v>
      </c>
      <c r="Z372" s="2">
        <v>4864.41</v>
      </c>
      <c r="AA372" s="2">
        <f t="shared" si="156"/>
        <v>17122.78</v>
      </c>
      <c r="AB372" s="2">
        <v>13642.95</v>
      </c>
      <c r="AC372" s="2">
        <v>3479.83</v>
      </c>
      <c r="AD372" s="2">
        <f t="shared" si="157"/>
        <v>975818.35</v>
      </c>
      <c r="AE372" s="2">
        <v>0</v>
      </c>
      <c r="AF372" s="2">
        <f t="shared" si="158"/>
        <v>975818.35</v>
      </c>
      <c r="AG372" s="24" t="s">
        <v>41</v>
      </c>
      <c r="AH372" s="34" t="s">
        <v>46</v>
      </c>
      <c r="AI372" s="35">
        <f>85600-10278.92+91440.93+64880.29+85600+67989.89+122279.98+103700.71+78599.18+1013.75+8269.89</f>
        <v>699095.70000000007</v>
      </c>
      <c r="AJ372" s="36">
        <f>10278.92+5199.07+27998.08+12966.01+23319.38+19776.21+14989.25+14467.31</f>
        <v>128994.23000000001</v>
      </c>
      <c r="AK372" s="28">
        <f t="shared" si="150"/>
        <v>106053.86999999988</v>
      </c>
      <c r="AL372" s="28">
        <f t="shared" si="151"/>
        <v>5383.7699999999895</v>
      </c>
      <c r="AM372" s="29">
        <f t="shared" si="152"/>
        <v>0.86828053575188535</v>
      </c>
    </row>
    <row r="373" spans="1:39" ht="192" customHeight="1" x14ac:dyDescent="0.25">
      <c r="A373" s="10">
        <v>370</v>
      </c>
      <c r="B373" s="37">
        <v>112299</v>
      </c>
      <c r="C373" s="37">
        <v>370</v>
      </c>
      <c r="D373" s="20" t="s">
        <v>1289</v>
      </c>
      <c r="E373" s="14" t="s">
        <v>1290</v>
      </c>
      <c r="F373" s="146" t="s">
        <v>1446</v>
      </c>
      <c r="G373" s="15" t="s">
        <v>1447</v>
      </c>
      <c r="H373" s="20" t="s">
        <v>35</v>
      </c>
      <c r="I373" s="146" t="s">
        <v>1448</v>
      </c>
      <c r="J373" s="30">
        <v>43322</v>
      </c>
      <c r="K373" s="30">
        <v>43961</v>
      </c>
      <c r="L373" s="31">
        <f t="shared" si="155"/>
        <v>82.304185787048553</v>
      </c>
      <c r="M373" s="20" t="s">
        <v>855</v>
      </c>
      <c r="N373" s="20" t="s">
        <v>228</v>
      </c>
      <c r="O373" s="20" t="s">
        <v>228</v>
      </c>
      <c r="P373" s="32" t="s">
        <v>850</v>
      </c>
      <c r="Q373" s="20" t="s">
        <v>40</v>
      </c>
      <c r="R373" s="2">
        <f t="shared" si="154"/>
        <v>5950616.5500000007</v>
      </c>
      <c r="S373" s="2">
        <v>4798653.8600000003</v>
      </c>
      <c r="T373" s="2">
        <v>1151962.69</v>
      </c>
      <c r="U373" s="2">
        <f t="shared" si="159"/>
        <v>1134811.93</v>
      </c>
      <c r="V373" s="2">
        <v>846821.24</v>
      </c>
      <c r="W373" s="2">
        <v>287990.69</v>
      </c>
      <c r="X373" s="2">
        <f t="shared" si="153"/>
        <v>0</v>
      </c>
      <c r="Y373" s="2">
        <v>0</v>
      </c>
      <c r="Z373" s="2">
        <v>0</v>
      </c>
      <c r="AA373" s="2">
        <f t="shared" si="156"/>
        <v>144600.58000000002</v>
      </c>
      <c r="AB373" s="2">
        <v>115213.72</v>
      </c>
      <c r="AC373" s="2">
        <v>29386.86</v>
      </c>
      <c r="AD373" s="2">
        <f t="shared" si="157"/>
        <v>7230029.0600000005</v>
      </c>
      <c r="AE373" s="2">
        <v>125283.56</v>
      </c>
      <c r="AF373" s="2">
        <f t="shared" si="158"/>
        <v>7355312.6200000001</v>
      </c>
      <c r="AG373" s="39" t="s">
        <v>69</v>
      </c>
      <c r="AH373" s="34" t="s">
        <v>1449</v>
      </c>
      <c r="AI373" s="35">
        <f>2989084.5+138744.31+504052.17+175482.8+697385.83+985436.75</f>
        <v>5490186.3599999994</v>
      </c>
      <c r="AJ373" s="36">
        <f>432152.92+26459.23+96125.26+71707.5+132994.92+240620.64</f>
        <v>1000060.47</v>
      </c>
      <c r="AK373" s="28">
        <f t="shared" si="150"/>
        <v>460430.19000000134</v>
      </c>
      <c r="AL373" s="28">
        <f t="shared" si="151"/>
        <v>134751.45999999996</v>
      </c>
      <c r="AM373" s="29">
        <f t="shared" si="152"/>
        <v>0.92262479255195817</v>
      </c>
    </row>
    <row r="374" spans="1:39" ht="192" customHeight="1" x14ac:dyDescent="0.25">
      <c r="A374" s="10">
        <v>371</v>
      </c>
      <c r="B374" s="37">
        <v>112241</v>
      </c>
      <c r="C374" s="37">
        <v>291</v>
      </c>
      <c r="D374" s="20" t="s">
        <v>254</v>
      </c>
      <c r="E374" s="14" t="s">
        <v>1005</v>
      </c>
      <c r="F374" s="146" t="s">
        <v>1450</v>
      </c>
      <c r="G374" s="15" t="s">
        <v>1451</v>
      </c>
      <c r="H374" s="20" t="s">
        <v>1452</v>
      </c>
      <c r="I374" s="112" t="s">
        <v>1453</v>
      </c>
      <c r="J374" s="30">
        <v>43332</v>
      </c>
      <c r="K374" s="30">
        <v>43819</v>
      </c>
      <c r="L374" s="31">
        <f t="shared" si="155"/>
        <v>82.583882850083839</v>
      </c>
      <c r="M374" s="32" t="s">
        <v>259</v>
      </c>
      <c r="N374" s="20" t="s">
        <v>1342</v>
      </c>
      <c r="O374" s="20" t="s">
        <v>582</v>
      </c>
      <c r="P374" s="32" t="s">
        <v>850</v>
      </c>
      <c r="Q374" s="62" t="s">
        <v>40</v>
      </c>
      <c r="R374" s="2">
        <f t="shared" si="154"/>
        <v>824427.28</v>
      </c>
      <c r="S374" s="2">
        <v>664828.78</v>
      </c>
      <c r="T374" s="2">
        <v>159598.5</v>
      </c>
      <c r="U374" s="2">
        <f t="shared" si="159"/>
        <v>130597.97</v>
      </c>
      <c r="V374" s="2">
        <v>97455.03</v>
      </c>
      <c r="W374" s="2">
        <v>33142.94</v>
      </c>
      <c r="X374" s="2">
        <f t="shared" si="153"/>
        <v>26624.399999999998</v>
      </c>
      <c r="Y374" s="2">
        <v>19867.71</v>
      </c>
      <c r="Z374" s="2">
        <v>6756.69</v>
      </c>
      <c r="AA374" s="2">
        <f t="shared" si="156"/>
        <v>16641.12</v>
      </c>
      <c r="AB374" s="2">
        <v>13259.17</v>
      </c>
      <c r="AC374" s="2">
        <v>3381.95</v>
      </c>
      <c r="AD374" s="2">
        <f t="shared" si="157"/>
        <v>998290.77</v>
      </c>
      <c r="AE374" s="2"/>
      <c r="AF374" s="2">
        <f t="shared" si="158"/>
        <v>998290.77</v>
      </c>
      <c r="AG374" s="39" t="s">
        <v>41</v>
      </c>
      <c r="AH374" s="34"/>
      <c r="AI374" s="35">
        <v>750146.63999999978</v>
      </c>
      <c r="AJ374" s="36">
        <v>119349.39000000001</v>
      </c>
      <c r="AK374" s="28">
        <f t="shared" si="150"/>
        <v>74280.640000000247</v>
      </c>
      <c r="AL374" s="28">
        <f t="shared" si="151"/>
        <v>11248.579999999987</v>
      </c>
      <c r="AM374" s="29">
        <f t="shared" si="152"/>
        <v>0.90990031285718709</v>
      </c>
    </row>
    <row r="375" spans="1:39" ht="192" customHeight="1" x14ac:dyDescent="0.25">
      <c r="A375" s="10">
        <v>372</v>
      </c>
      <c r="B375" s="37">
        <v>111881</v>
      </c>
      <c r="C375" s="37">
        <v>222</v>
      </c>
      <c r="D375" s="20" t="s">
        <v>254</v>
      </c>
      <c r="E375" s="14" t="s">
        <v>1005</v>
      </c>
      <c r="F375" s="97" t="s">
        <v>1454</v>
      </c>
      <c r="G375" s="62" t="s">
        <v>1455</v>
      </c>
      <c r="H375" s="20" t="s">
        <v>683</v>
      </c>
      <c r="I375" s="16" t="s">
        <v>1456</v>
      </c>
      <c r="J375" s="30">
        <v>43332</v>
      </c>
      <c r="K375" s="30">
        <v>43819</v>
      </c>
      <c r="L375" s="31">
        <f t="shared" si="155"/>
        <v>82.304193109047048</v>
      </c>
      <c r="M375" s="32" t="s">
        <v>259</v>
      </c>
      <c r="N375" s="20" t="s">
        <v>228</v>
      </c>
      <c r="O375" s="20" t="s">
        <v>228</v>
      </c>
      <c r="P375" s="32" t="s">
        <v>850</v>
      </c>
      <c r="Q375" s="20" t="s">
        <v>40</v>
      </c>
      <c r="R375" s="2">
        <f t="shared" si="154"/>
        <v>817219.92999999993</v>
      </c>
      <c r="S375" s="2">
        <v>659016.73</v>
      </c>
      <c r="T375" s="2">
        <v>158203.20000000001</v>
      </c>
      <c r="U375" s="2">
        <f t="shared" si="159"/>
        <v>155847.79</v>
      </c>
      <c r="V375" s="2">
        <v>116297.02</v>
      </c>
      <c r="W375" s="2">
        <v>39550.769999999997</v>
      </c>
      <c r="X375" s="2">
        <f t="shared" si="153"/>
        <v>19858.52</v>
      </c>
      <c r="Y375" s="2">
        <v>15822.64</v>
      </c>
      <c r="Z375" s="2">
        <v>4035.88</v>
      </c>
      <c r="AA375" s="2">
        <f t="shared" si="156"/>
        <v>0</v>
      </c>
      <c r="AB375" s="2">
        <v>0</v>
      </c>
      <c r="AC375" s="2">
        <v>0</v>
      </c>
      <c r="AD375" s="2">
        <f t="shared" si="157"/>
        <v>992926.24</v>
      </c>
      <c r="AE375" s="2"/>
      <c r="AF375" s="2">
        <f t="shared" si="158"/>
        <v>992926.24</v>
      </c>
      <c r="AG375" s="39" t="s">
        <v>41</v>
      </c>
      <c r="AH375" s="34" t="s">
        <v>1457</v>
      </c>
      <c r="AI375" s="35">
        <f>99292.62-14519.17+90653.42-15093.22+94237.53+80664.42-14592.29+91109.94+330680.29</f>
        <v>742433.54</v>
      </c>
      <c r="AJ375" s="36">
        <f>14519.17+15093.22+15383.12+14592.29+81997.93</f>
        <v>141585.72999999998</v>
      </c>
      <c r="AK375" s="28">
        <f t="shared" si="150"/>
        <v>74786.389999999898</v>
      </c>
      <c r="AL375" s="28">
        <f t="shared" si="151"/>
        <v>14262.060000000027</v>
      </c>
      <c r="AM375" s="29">
        <f t="shared" si="152"/>
        <v>0.90848682557215665</v>
      </c>
    </row>
    <row r="376" spans="1:39" ht="192" customHeight="1" x14ac:dyDescent="0.25">
      <c r="A376" s="10">
        <v>373</v>
      </c>
      <c r="B376" s="37">
        <v>111434</v>
      </c>
      <c r="C376" s="37">
        <v>141</v>
      </c>
      <c r="D376" s="20" t="s">
        <v>254</v>
      </c>
      <c r="E376" s="14" t="s">
        <v>1005</v>
      </c>
      <c r="F376" s="146" t="s">
        <v>1458</v>
      </c>
      <c r="G376" s="15" t="s">
        <v>1459</v>
      </c>
      <c r="H376" s="20" t="s">
        <v>1460</v>
      </c>
      <c r="I376" s="112" t="s">
        <v>1461</v>
      </c>
      <c r="J376" s="30">
        <v>43332</v>
      </c>
      <c r="K376" s="30">
        <v>43881</v>
      </c>
      <c r="L376" s="31">
        <f t="shared" si="155"/>
        <v>82.30418537074344</v>
      </c>
      <c r="M376" s="20" t="s">
        <v>855</v>
      </c>
      <c r="N376" s="20" t="s">
        <v>229</v>
      </c>
      <c r="O376" s="20" t="s">
        <v>229</v>
      </c>
      <c r="P376" s="32" t="s">
        <v>850</v>
      </c>
      <c r="Q376" s="62" t="s">
        <v>40</v>
      </c>
      <c r="R376" s="2">
        <f t="shared" si="154"/>
        <v>822576.44</v>
      </c>
      <c r="S376" s="2">
        <v>663336.19999999995</v>
      </c>
      <c r="T376" s="2">
        <v>159240.24</v>
      </c>
      <c r="U376" s="2">
        <f t="shared" si="159"/>
        <v>156869.40000000002</v>
      </c>
      <c r="V376" s="2">
        <v>117059.35</v>
      </c>
      <c r="W376" s="2">
        <v>39810.050000000003</v>
      </c>
      <c r="X376" s="2">
        <f t="shared" si="153"/>
        <v>19988.68</v>
      </c>
      <c r="Y376" s="2">
        <v>15926.46</v>
      </c>
      <c r="Z376" s="2">
        <v>4062.22</v>
      </c>
      <c r="AA376" s="2">
        <f t="shared" si="156"/>
        <v>0</v>
      </c>
      <c r="AB376" s="2">
        <v>0</v>
      </c>
      <c r="AC376" s="2">
        <v>0</v>
      </c>
      <c r="AD376" s="2">
        <f t="shared" si="157"/>
        <v>999434.52</v>
      </c>
      <c r="AE376" s="2"/>
      <c r="AF376" s="2">
        <f t="shared" si="158"/>
        <v>999434.52</v>
      </c>
      <c r="AG376" s="39" t="s">
        <v>628</v>
      </c>
      <c r="AH376" s="34" t="s">
        <v>1462</v>
      </c>
      <c r="AI376" s="35">
        <f>49971.72+83543.84+96913+21111.43+81377.76+128016.73+84993.07+90341.92+71327.12</f>
        <v>707596.59000000008</v>
      </c>
      <c r="AJ376" s="36">
        <f>24884.17+21127.4+22831.19+16208.59+25868.4+24022.36</f>
        <v>134942.10999999999</v>
      </c>
      <c r="AK376" s="28">
        <f t="shared" si="150"/>
        <v>114979.84999999986</v>
      </c>
      <c r="AL376" s="28">
        <f t="shared" si="151"/>
        <v>21927.290000000037</v>
      </c>
      <c r="AM376" s="29">
        <f t="shared" si="152"/>
        <v>0.86021985993180172</v>
      </c>
    </row>
    <row r="377" spans="1:39" ht="192" customHeight="1" thickBot="1" x14ac:dyDescent="0.3">
      <c r="A377" s="10">
        <v>374</v>
      </c>
      <c r="B377" s="37">
        <v>112374</v>
      </c>
      <c r="C377" s="37">
        <v>142</v>
      </c>
      <c r="D377" s="20" t="s">
        <v>254</v>
      </c>
      <c r="E377" s="14" t="s">
        <v>1005</v>
      </c>
      <c r="F377" s="146" t="s">
        <v>1463</v>
      </c>
      <c r="G377" s="15" t="s">
        <v>1464</v>
      </c>
      <c r="H377" s="20" t="s">
        <v>173</v>
      </c>
      <c r="I377" s="112" t="s">
        <v>1465</v>
      </c>
      <c r="J377" s="30">
        <v>43333</v>
      </c>
      <c r="K377" s="30">
        <v>43911</v>
      </c>
      <c r="L377" s="31">
        <f t="shared" si="155"/>
        <v>82.304182898535288</v>
      </c>
      <c r="M377" s="20" t="s">
        <v>855</v>
      </c>
      <c r="N377" s="20" t="s">
        <v>229</v>
      </c>
      <c r="O377" s="20" t="s">
        <v>229</v>
      </c>
      <c r="P377" s="32" t="s">
        <v>850</v>
      </c>
      <c r="Q377" s="20" t="s">
        <v>40</v>
      </c>
      <c r="R377" s="2">
        <f t="shared" si="154"/>
        <v>776266.51</v>
      </c>
      <c r="S377" s="2">
        <v>625991.30000000005</v>
      </c>
      <c r="T377" s="2">
        <v>150275.21</v>
      </c>
      <c r="U377" s="2">
        <f t="shared" si="159"/>
        <v>148037.87</v>
      </c>
      <c r="V377" s="2">
        <v>110469.08</v>
      </c>
      <c r="W377" s="2">
        <v>37568.79</v>
      </c>
      <c r="X377" s="2">
        <f t="shared" si="153"/>
        <v>0</v>
      </c>
      <c r="Y377" s="2"/>
      <c r="Z377" s="2"/>
      <c r="AA377" s="2">
        <f t="shared" si="156"/>
        <v>18863.37</v>
      </c>
      <c r="AB377" s="2">
        <v>15029.81</v>
      </c>
      <c r="AC377" s="2">
        <v>3833.56</v>
      </c>
      <c r="AD377" s="151">
        <f t="shared" si="157"/>
        <v>943167.75</v>
      </c>
      <c r="AE377" s="2">
        <v>0</v>
      </c>
      <c r="AF377" s="2">
        <f t="shared" si="158"/>
        <v>943167.75</v>
      </c>
      <c r="AG377" s="39" t="s">
        <v>41</v>
      </c>
      <c r="AH377" s="34" t="s">
        <v>1466</v>
      </c>
      <c r="AI377" s="35">
        <f>94316.78+88365.15+32352.46+93883.38+44276.08+94316.78+78710.2+34471.03+94204.16</f>
        <v>654896.02</v>
      </c>
      <c r="AJ377" s="36">
        <f>21755.69+19252.4+433.4+25914.37+15010.43+24560.42+17965.2</f>
        <v>124891.91</v>
      </c>
      <c r="AK377" s="28">
        <f t="shared" si="150"/>
        <v>121370.48999999999</v>
      </c>
      <c r="AL377" s="28">
        <f t="shared" si="151"/>
        <v>23145.959999999992</v>
      </c>
      <c r="AM377" s="29">
        <f t="shared" si="152"/>
        <v>0.84364842687854713</v>
      </c>
    </row>
    <row r="378" spans="1:39" ht="192" customHeight="1" thickTop="1" x14ac:dyDescent="0.25">
      <c r="A378" s="10">
        <v>375</v>
      </c>
      <c r="B378" s="37">
        <v>111379</v>
      </c>
      <c r="C378" s="37">
        <v>228</v>
      </c>
      <c r="D378" s="20" t="s">
        <v>254</v>
      </c>
      <c r="E378" s="14" t="s">
        <v>1005</v>
      </c>
      <c r="F378" s="54" t="s">
        <v>1467</v>
      </c>
      <c r="G378" s="53" t="s">
        <v>1468</v>
      </c>
      <c r="H378" s="20" t="s">
        <v>1469</v>
      </c>
      <c r="I378" s="112" t="s">
        <v>1470</v>
      </c>
      <c r="J378" s="30">
        <v>43333</v>
      </c>
      <c r="K378" s="30">
        <v>43820</v>
      </c>
      <c r="L378" s="31">
        <f t="shared" si="155"/>
        <v>82.304192034439112</v>
      </c>
      <c r="M378" s="20" t="s">
        <v>855</v>
      </c>
      <c r="N378" s="20" t="s">
        <v>229</v>
      </c>
      <c r="O378" s="20" t="s">
        <v>229</v>
      </c>
      <c r="P378" s="32" t="s">
        <v>850</v>
      </c>
      <c r="Q378" s="20" t="s">
        <v>40</v>
      </c>
      <c r="R378" s="2">
        <f t="shared" si="154"/>
        <v>811155.73</v>
      </c>
      <c r="S378" s="2">
        <v>654126.39</v>
      </c>
      <c r="T378" s="2">
        <v>157029.34</v>
      </c>
      <c r="U378" s="2">
        <f t="shared" si="159"/>
        <v>154691.31</v>
      </c>
      <c r="V378" s="2">
        <v>115434</v>
      </c>
      <c r="W378" s="2">
        <v>39257.31</v>
      </c>
      <c r="X378" s="2">
        <f t="shared" si="153"/>
        <v>19711.18</v>
      </c>
      <c r="Y378" s="2">
        <v>15705.37</v>
      </c>
      <c r="Z378" s="2">
        <v>4005.81</v>
      </c>
      <c r="AA378" s="2">
        <f t="shared" si="156"/>
        <v>0</v>
      </c>
      <c r="AB378" s="2">
        <v>0</v>
      </c>
      <c r="AC378" s="2">
        <v>0</v>
      </c>
      <c r="AD378" s="2">
        <f t="shared" si="157"/>
        <v>985558.22000000009</v>
      </c>
      <c r="AE378" s="2"/>
      <c r="AF378" s="2">
        <f t="shared" si="158"/>
        <v>985558.22000000009</v>
      </c>
      <c r="AG378" s="39" t="s">
        <v>41</v>
      </c>
      <c r="AH378" s="34" t="s">
        <v>1471</v>
      </c>
      <c r="AI378" s="35">
        <f>91009.38-9270.26+57880.76-12678.05+33855.88+91009.38+115144.49+303539.89+74137.89</f>
        <v>744629.36</v>
      </c>
      <c r="AJ378" s="36">
        <f>9270.26+12678.05+8716.65+21958.63+75242.46+14138.42</f>
        <v>142004.47</v>
      </c>
      <c r="AK378" s="28">
        <f t="shared" si="150"/>
        <v>66526.37</v>
      </c>
      <c r="AL378" s="28">
        <f t="shared" si="151"/>
        <v>12686.839999999997</v>
      </c>
      <c r="AM378" s="29">
        <f t="shared" si="152"/>
        <v>0.91798569924421292</v>
      </c>
    </row>
    <row r="379" spans="1:39" ht="192" customHeight="1" x14ac:dyDescent="0.25">
      <c r="A379" s="10">
        <v>376</v>
      </c>
      <c r="B379" s="37">
        <v>112711</v>
      </c>
      <c r="C379" s="37">
        <v>209</v>
      </c>
      <c r="D379" s="152" t="s">
        <v>254</v>
      </c>
      <c r="E379" s="14" t="s">
        <v>1005</v>
      </c>
      <c r="F379" s="146" t="s">
        <v>1472</v>
      </c>
      <c r="G379" s="15" t="s">
        <v>1473</v>
      </c>
      <c r="H379" s="152" t="s">
        <v>1474</v>
      </c>
      <c r="I379" s="16" t="s">
        <v>1475</v>
      </c>
      <c r="J379" s="30">
        <v>43335</v>
      </c>
      <c r="K379" s="30">
        <v>43822</v>
      </c>
      <c r="L379" s="31">
        <f t="shared" si="155"/>
        <v>82.640124999999998</v>
      </c>
      <c r="M379" s="20" t="s">
        <v>855</v>
      </c>
      <c r="N379" s="20" t="s">
        <v>229</v>
      </c>
      <c r="O379" s="20" t="s">
        <v>229</v>
      </c>
      <c r="P379" s="32" t="s">
        <v>850</v>
      </c>
      <c r="Q379" s="20" t="s">
        <v>40</v>
      </c>
      <c r="R379" s="2">
        <f t="shared" si="154"/>
        <v>826401.25</v>
      </c>
      <c r="S379" s="2">
        <v>666420.59</v>
      </c>
      <c r="T379" s="2">
        <v>159980.66</v>
      </c>
      <c r="U379" s="2">
        <f t="shared" si="159"/>
        <v>153598.75</v>
      </c>
      <c r="V379" s="2">
        <v>114416.53</v>
      </c>
      <c r="W379" s="2">
        <v>39182.22</v>
      </c>
      <c r="X379" s="2">
        <f t="shared" si="153"/>
        <v>20000</v>
      </c>
      <c r="Y379" s="2">
        <v>15935.46</v>
      </c>
      <c r="Z379" s="2">
        <v>4064.54</v>
      </c>
      <c r="AA379" s="2">
        <f t="shared" si="156"/>
        <v>0</v>
      </c>
      <c r="AB379" s="2">
        <v>0</v>
      </c>
      <c r="AC379" s="2">
        <v>0</v>
      </c>
      <c r="AD379" s="2">
        <f t="shared" si="157"/>
        <v>1000000</v>
      </c>
      <c r="AE379" s="2"/>
      <c r="AF379" s="2">
        <f t="shared" si="158"/>
        <v>1000000</v>
      </c>
      <c r="AG379" s="39" t="s">
        <v>41</v>
      </c>
      <c r="AH379" s="34" t="s">
        <v>683</v>
      </c>
      <c r="AI379" s="35">
        <f>98952.8+38728.19+96005.78+68225.96+103165.27+4938.26+145762.12+161102.5+9031.2+61138.02</f>
        <v>787050.1</v>
      </c>
      <c r="AJ379" s="36">
        <f>24992.94+30773.35+1365.53+941.74+26883.3+29808.77+1722.28+29615.87</f>
        <v>146103.78</v>
      </c>
      <c r="AK379" s="28">
        <f t="shared" si="150"/>
        <v>39351.150000000023</v>
      </c>
      <c r="AL379" s="28">
        <f t="shared" si="151"/>
        <v>7494.9700000000012</v>
      </c>
      <c r="AM379" s="29">
        <f t="shared" si="152"/>
        <v>0.95238251394222839</v>
      </c>
    </row>
    <row r="380" spans="1:39" ht="192" customHeight="1" x14ac:dyDescent="0.25">
      <c r="A380" s="10">
        <v>377</v>
      </c>
      <c r="B380" s="37">
        <v>112827</v>
      </c>
      <c r="C380" s="37">
        <v>305</v>
      </c>
      <c r="D380" s="20" t="s">
        <v>254</v>
      </c>
      <c r="E380" s="14" t="s">
        <v>1005</v>
      </c>
      <c r="F380" s="146" t="s">
        <v>1476</v>
      </c>
      <c r="G380" s="146" t="s">
        <v>1477</v>
      </c>
      <c r="H380" s="20" t="s">
        <v>1478</v>
      </c>
      <c r="I380" s="112" t="s">
        <v>1479</v>
      </c>
      <c r="J380" s="30">
        <v>43325</v>
      </c>
      <c r="K380" s="30">
        <v>43812</v>
      </c>
      <c r="L380" s="31">
        <f t="shared" si="155"/>
        <v>82.304185909112974</v>
      </c>
      <c r="M380" s="20" t="s">
        <v>855</v>
      </c>
      <c r="N380" s="20" t="s">
        <v>203</v>
      </c>
      <c r="O380" s="20" t="s">
        <v>1480</v>
      </c>
      <c r="P380" s="32" t="s">
        <v>850</v>
      </c>
      <c r="Q380" s="20" t="s">
        <v>40</v>
      </c>
      <c r="R380" s="2">
        <f t="shared" si="154"/>
        <v>819344.36</v>
      </c>
      <c r="S380" s="2">
        <v>660729.87</v>
      </c>
      <c r="T380" s="2">
        <v>158614.49</v>
      </c>
      <c r="U380" s="2">
        <f t="shared" si="159"/>
        <v>156253</v>
      </c>
      <c r="V380" s="2">
        <v>116599.38</v>
      </c>
      <c r="W380" s="2">
        <v>39653.620000000003</v>
      </c>
      <c r="X380" s="2">
        <f t="shared" si="153"/>
        <v>0</v>
      </c>
      <c r="Y380" s="2"/>
      <c r="Z380" s="2"/>
      <c r="AA380" s="2">
        <f t="shared" si="156"/>
        <v>19910.16</v>
      </c>
      <c r="AB380" s="2">
        <v>15863.84</v>
      </c>
      <c r="AC380" s="2">
        <v>4046.32</v>
      </c>
      <c r="AD380" s="2">
        <f t="shared" si="157"/>
        <v>995507.52</v>
      </c>
      <c r="AE380" s="2"/>
      <c r="AF380" s="2">
        <f t="shared" si="158"/>
        <v>995507.52</v>
      </c>
      <c r="AG380" s="24" t="s">
        <v>41</v>
      </c>
      <c r="AH380" s="34" t="s">
        <v>1481</v>
      </c>
      <c r="AI380" s="35">
        <f>165274.95+38664.92+10408+235707.44+78966.94+38496.07-3710.24</f>
        <v>563808.07999999996</v>
      </c>
      <c r="AJ380" s="36">
        <f>22672.13+60694.84+16616.38+7341.42</f>
        <v>107324.77</v>
      </c>
      <c r="AK380" s="28">
        <f t="shared" si="150"/>
        <v>255536.28000000003</v>
      </c>
      <c r="AL380" s="28">
        <f t="shared" si="151"/>
        <v>48928.229999999996</v>
      </c>
      <c r="AM380" s="29">
        <f t="shared" si="152"/>
        <v>0.68812102398556818</v>
      </c>
    </row>
    <row r="381" spans="1:39" ht="192" customHeight="1" x14ac:dyDescent="0.25">
      <c r="A381" s="10">
        <v>378</v>
      </c>
      <c r="B381" s="37">
        <v>112220</v>
      </c>
      <c r="C381" s="37">
        <v>239</v>
      </c>
      <c r="D381" s="152" t="s">
        <v>254</v>
      </c>
      <c r="E381" s="14" t="s">
        <v>1005</v>
      </c>
      <c r="F381" s="15" t="s">
        <v>1482</v>
      </c>
      <c r="G381" s="15" t="s">
        <v>1483</v>
      </c>
      <c r="H381" s="20" t="s">
        <v>1484</v>
      </c>
      <c r="I381" s="112" t="s">
        <v>1485</v>
      </c>
      <c r="J381" s="30">
        <v>43346</v>
      </c>
      <c r="K381" s="30">
        <v>43772</v>
      </c>
      <c r="L381" s="31">
        <f t="shared" si="155"/>
        <v>82.53761528755669</v>
      </c>
      <c r="M381" s="20" t="s">
        <v>855</v>
      </c>
      <c r="N381" s="20" t="s">
        <v>338</v>
      </c>
      <c r="O381" s="20" t="s">
        <v>1486</v>
      </c>
      <c r="P381" s="32" t="s">
        <v>850</v>
      </c>
      <c r="Q381" s="20" t="s">
        <v>40</v>
      </c>
      <c r="R381" s="2">
        <f t="shared" si="154"/>
        <v>770988.47</v>
      </c>
      <c r="S381" s="2">
        <v>621735</v>
      </c>
      <c r="T381" s="2">
        <v>149253.47</v>
      </c>
      <c r="U381" s="2">
        <f t="shared" si="159"/>
        <v>126240.19</v>
      </c>
      <c r="V381" s="2">
        <v>94203.17</v>
      </c>
      <c r="W381" s="2">
        <v>32037.02</v>
      </c>
      <c r="X381" s="2">
        <f t="shared" si="153"/>
        <v>20791.07</v>
      </c>
      <c r="Y381" s="2">
        <v>15514.77</v>
      </c>
      <c r="Z381" s="2">
        <v>5276.3</v>
      </c>
      <c r="AA381" s="2">
        <f t="shared" si="156"/>
        <v>16085.85</v>
      </c>
      <c r="AB381" s="2">
        <v>12816.75</v>
      </c>
      <c r="AC381" s="2">
        <v>3269.1</v>
      </c>
      <c r="AD381" s="2">
        <f t="shared" si="157"/>
        <v>934105.57999999984</v>
      </c>
      <c r="AE381" s="2"/>
      <c r="AF381" s="2">
        <f t="shared" si="158"/>
        <v>934105.57999999984</v>
      </c>
      <c r="AG381" s="24" t="s">
        <v>41</v>
      </c>
      <c r="AH381" s="34" t="s">
        <v>46</v>
      </c>
      <c r="AI381" s="35">
        <f>539565.25+96369.35+53688.91+16794.02</f>
        <v>706417.53</v>
      </c>
      <c r="AJ381" s="36">
        <f>81386.87+28616.84+7174.44</f>
        <v>117178.15</v>
      </c>
      <c r="AK381" s="28">
        <f t="shared" si="150"/>
        <v>64570.939999999944</v>
      </c>
      <c r="AL381" s="28">
        <f t="shared" si="151"/>
        <v>9062.0400000000081</v>
      </c>
      <c r="AM381" s="29">
        <f t="shared" si="152"/>
        <v>0.91624914961439052</v>
      </c>
    </row>
    <row r="382" spans="1:39" ht="192" customHeight="1" x14ac:dyDescent="0.25">
      <c r="A382" s="10">
        <v>379</v>
      </c>
      <c r="B382" s="37">
        <v>111775</v>
      </c>
      <c r="C382" s="37">
        <v>364</v>
      </c>
      <c r="D382" s="152" t="s">
        <v>254</v>
      </c>
      <c r="E382" s="14" t="s">
        <v>1005</v>
      </c>
      <c r="F382" s="54" t="s">
        <v>1487</v>
      </c>
      <c r="G382" s="136" t="s">
        <v>1488</v>
      </c>
      <c r="H382" s="20" t="s">
        <v>1489</v>
      </c>
      <c r="I382" s="112" t="s">
        <v>1490</v>
      </c>
      <c r="J382" s="30">
        <v>43346</v>
      </c>
      <c r="K382" s="30">
        <v>43833</v>
      </c>
      <c r="L382" s="31">
        <f t="shared" si="155"/>
        <v>82.30418188922819</v>
      </c>
      <c r="M382" s="20" t="s">
        <v>855</v>
      </c>
      <c r="N382" s="20" t="s">
        <v>338</v>
      </c>
      <c r="O382" s="20" t="s">
        <v>1162</v>
      </c>
      <c r="P382" s="32" t="s">
        <v>850</v>
      </c>
      <c r="Q382" s="20" t="s">
        <v>40</v>
      </c>
      <c r="R382" s="2">
        <f t="shared" si="154"/>
        <v>779789.21</v>
      </c>
      <c r="S382" s="2">
        <v>628832.06999999995</v>
      </c>
      <c r="T382" s="2">
        <v>150957.14000000001</v>
      </c>
      <c r="U382" s="2">
        <f t="shared" si="159"/>
        <v>148709.68</v>
      </c>
      <c r="V382" s="2">
        <v>110970.39</v>
      </c>
      <c r="W382" s="2">
        <v>37739.29</v>
      </c>
      <c r="X382" s="2">
        <f t="shared" si="153"/>
        <v>0</v>
      </c>
      <c r="Y382" s="2"/>
      <c r="Z382" s="2"/>
      <c r="AA382" s="2">
        <f t="shared" si="156"/>
        <v>18948.97</v>
      </c>
      <c r="AB382" s="2">
        <v>15098.01</v>
      </c>
      <c r="AC382" s="2">
        <v>3850.96</v>
      </c>
      <c r="AD382" s="2">
        <f t="shared" si="157"/>
        <v>947447.85999999987</v>
      </c>
      <c r="AE382" s="2">
        <v>0</v>
      </c>
      <c r="AF382" s="2">
        <f t="shared" si="158"/>
        <v>947447.85999999987</v>
      </c>
      <c r="AG382" s="39" t="s">
        <v>41</v>
      </c>
      <c r="AH382" s="34" t="s">
        <v>46</v>
      </c>
      <c r="AI382" s="35">
        <f>94744.78+10125.98+94121.04-10122.56+91207.91+17880.02+109270.79+147206.72+63316.18</f>
        <v>617750.8600000001</v>
      </c>
      <c r="AJ382" s="36">
        <f>7252.41+12628.02+15463.44+21478.12+20838.49+28073.09+12074.68</f>
        <v>117808.25</v>
      </c>
      <c r="AK382" s="28">
        <f t="shared" si="150"/>
        <v>162038.34999999986</v>
      </c>
      <c r="AL382" s="28">
        <f t="shared" si="151"/>
        <v>30901.429999999993</v>
      </c>
      <c r="AM382" s="29">
        <f t="shared" si="152"/>
        <v>0.79220236966346347</v>
      </c>
    </row>
    <row r="383" spans="1:39" ht="192" customHeight="1" x14ac:dyDescent="0.25">
      <c r="A383" s="10">
        <v>380</v>
      </c>
      <c r="B383" s="37">
        <v>112027</v>
      </c>
      <c r="C383" s="37">
        <v>290</v>
      </c>
      <c r="D383" s="152" t="s">
        <v>254</v>
      </c>
      <c r="E383" s="14" t="s">
        <v>1005</v>
      </c>
      <c r="F383" s="4" t="s">
        <v>1491</v>
      </c>
      <c r="G383" s="88" t="s">
        <v>1492</v>
      </c>
      <c r="H383" s="87" t="s">
        <v>173</v>
      </c>
      <c r="I383" s="112" t="s">
        <v>1493</v>
      </c>
      <c r="J383" s="30">
        <v>43346</v>
      </c>
      <c r="K383" s="30">
        <v>43833</v>
      </c>
      <c r="L383" s="31">
        <f t="shared" si="155"/>
        <v>82.30418483269878</v>
      </c>
      <c r="M383" s="20" t="s">
        <v>855</v>
      </c>
      <c r="N383" s="20" t="s">
        <v>229</v>
      </c>
      <c r="O383" s="20" t="s">
        <v>229</v>
      </c>
      <c r="P383" s="32" t="s">
        <v>850</v>
      </c>
      <c r="Q383" s="20" t="s">
        <v>40</v>
      </c>
      <c r="R383" s="2">
        <f t="shared" si="154"/>
        <v>765927.6</v>
      </c>
      <c r="S383" s="2">
        <v>617653.87</v>
      </c>
      <c r="T383" s="2">
        <v>148273.73000000001</v>
      </c>
      <c r="U383" s="2">
        <f t="shared" si="159"/>
        <v>146066.19</v>
      </c>
      <c r="V383" s="2">
        <v>108997.75999999999</v>
      </c>
      <c r="W383" s="2">
        <v>37068.43</v>
      </c>
      <c r="X383" s="2">
        <f t="shared" si="153"/>
        <v>0</v>
      </c>
      <c r="Y383" s="2"/>
      <c r="Z383" s="2"/>
      <c r="AA383" s="2">
        <f t="shared" si="156"/>
        <v>18612.11</v>
      </c>
      <c r="AB383" s="2">
        <v>14829.62</v>
      </c>
      <c r="AC383" s="2">
        <v>3782.49</v>
      </c>
      <c r="AD383" s="2">
        <f t="shared" si="157"/>
        <v>930605.9</v>
      </c>
      <c r="AE383" s="2"/>
      <c r="AF383" s="2">
        <f t="shared" si="158"/>
        <v>930605.9</v>
      </c>
      <c r="AG383" s="39" t="s">
        <v>41</v>
      </c>
      <c r="AH383" s="34" t="s">
        <v>1494</v>
      </c>
      <c r="AI383" s="35">
        <f>459559.75+93000+163179.08+18037.22</f>
        <v>733776.04999999993</v>
      </c>
      <c r="AJ383" s="36">
        <f>87640.32+31119.04+21175.37</f>
        <v>139934.73000000001</v>
      </c>
      <c r="AK383" s="28">
        <f t="shared" si="150"/>
        <v>32151.550000000047</v>
      </c>
      <c r="AL383" s="28">
        <f t="shared" si="151"/>
        <v>6131.4599999999919</v>
      </c>
      <c r="AM383" s="29">
        <f t="shared" si="152"/>
        <v>0.95802272956347301</v>
      </c>
    </row>
    <row r="384" spans="1:39" ht="144.75" customHeight="1" x14ac:dyDescent="0.25">
      <c r="A384" s="10">
        <v>381</v>
      </c>
      <c r="B384" s="37">
        <v>112733</v>
      </c>
      <c r="C384" s="37">
        <v>146</v>
      </c>
      <c r="D384" s="152" t="s">
        <v>254</v>
      </c>
      <c r="E384" s="14" t="s">
        <v>1005</v>
      </c>
      <c r="F384" s="146" t="s">
        <v>1495</v>
      </c>
      <c r="G384" s="15" t="s">
        <v>1496</v>
      </c>
      <c r="H384" s="20" t="s">
        <v>1497</v>
      </c>
      <c r="I384" s="112" t="s">
        <v>1498</v>
      </c>
      <c r="J384" s="30">
        <v>43349</v>
      </c>
      <c r="K384" s="30">
        <v>43836</v>
      </c>
      <c r="L384" s="31">
        <f t="shared" si="155"/>
        <v>82.53318349196968</v>
      </c>
      <c r="M384" s="20" t="s">
        <v>855</v>
      </c>
      <c r="N384" s="20" t="s">
        <v>229</v>
      </c>
      <c r="O384" s="20" t="s">
        <v>229</v>
      </c>
      <c r="P384" s="32" t="s">
        <v>850</v>
      </c>
      <c r="Q384" s="20" t="s">
        <v>40</v>
      </c>
      <c r="R384" s="2">
        <f t="shared" si="154"/>
        <v>819750.19</v>
      </c>
      <c r="S384" s="2">
        <v>661057.13</v>
      </c>
      <c r="T384" s="2">
        <v>158693.06</v>
      </c>
      <c r="U384" s="2">
        <f t="shared" si="159"/>
        <v>134642.41999999998</v>
      </c>
      <c r="V384" s="2">
        <v>100473.09</v>
      </c>
      <c r="W384" s="2">
        <v>34169.33</v>
      </c>
      <c r="X384" s="2">
        <f t="shared" si="153"/>
        <v>21688.010000000002</v>
      </c>
      <c r="Y384" s="2">
        <v>16184.04</v>
      </c>
      <c r="Z384" s="2">
        <v>5503.97</v>
      </c>
      <c r="AA384" s="2">
        <f t="shared" si="156"/>
        <v>17156.47</v>
      </c>
      <c r="AB384" s="2">
        <v>13669.8</v>
      </c>
      <c r="AC384" s="2">
        <v>3486.67</v>
      </c>
      <c r="AD384" s="2">
        <f t="shared" si="157"/>
        <v>993237.08999999985</v>
      </c>
      <c r="AE384" s="2"/>
      <c r="AF384" s="2">
        <f t="shared" si="158"/>
        <v>993237.08999999985</v>
      </c>
      <c r="AG384" s="39" t="s">
        <v>41</v>
      </c>
      <c r="AH384" s="34" t="s">
        <v>46</v>
      </c>
      <c r="AI384" s="35">
        <f>85782.36-3113.23+78199.1+6754.09+75351.32+67788.76+80934.28+47367.75+243835.23+7975.27+6575.1</f>
        <v>697450.03</v>
      </c>
      <c r="AJ384" s="36">
        <f>12524.47+12068.37+12962.55+11810.14+16080.76+46500.56+1520.93</f>
        <v>113467.78</v>
      </c>
      <c r="AK384" s="28">
        <f t="shared" si="150"/>
        <v>122300.15999999992</v>
      </c>
      <c r="AL384" s="28">
        <f t="shared" si="151"/>
        <v>21174.639999999985</v>
      </c>
      <c r="AM384" s="29">
        <f t="shared" si="152"/>
        <v>0.85080801262150374</v>
      </c>
    </row>
    <row r="385" spans="1:39" ht="146.25" customHeight="1" x14ac:dyDescent="0.25">
      <c r="A385" s="10">
        <v>382</v>
      </c>
      <c r="B385" s="37">
        <v>111432</v>
      </c>
      <c r="C385" s="37">
        <v>277</v>
      </c>
      <c r="D385" s="152" t="s">
        <v>254</v>
      </c>
      <c r="E385" s="14" t="s">
        <v>1005</v>
      </c>
      <c r="F385" s="63" t="s">
        <v>1499</v>
      </c>
      <c r="G385" s="15" t="s">
        <v>1500</v>
      </c>
      <c r="H385" s="20" t="s">
        <v>1501</v>
      </c>
      <c r="I385" s="16" t="s">
        <v>1502</v>
      </c>
      <c r="J385" s="30">
        <v>43349</v>
      </c>
      <c r="K385" s="30">
        <v>43836</v>
      </c>
      <c r="L385" s="31">
        <f t="shared" si="155"/>
        <v>82.304186591731991</v>
      </c>
      <c r="M385" s="20" t="s">
        <v>855</v>
      </c>
      <c r="N385" s="20" t="s">
        <v>229</v>
      </c>
      <c r="O385" s="20" t="s">
        <v>229</v>
      </c>
      <c r="P385" s="32" t="s">
        <v>850</v>
      </c>
      <c r="Q385" s="20" t="s">
        <v>40</v>
      </c>
      <c r="R385" s="2">
        <f t="shared" si="154"/>
        <v>811369.98</v>
      </c>
      <c r="S385" s="2">
        <v>654299.23</v>
      </c>
      <c r="T385" s="2">
        <v>157070.75</v>
      </c>
      <c r="U385" s="2">
        <f t="shared" si="159"/>
        <v>154732.24</v>
      </c>
      <c r="V385" s="2">
        <v>115464.54</v>
      </c>
      <c r="W385" s="2">
        <v>39267.699999999997</v>
      </c>
      <c r="X385" s="2">
        <f t="shared" si="153"/>
        <v>0</v>
      </c>
      <c r="Y385" s="2"/>
      <c r="Z385" s="2"/>
      <c r="AA385" s="2">
        <f t="shared" si="156"/>
        <v>19716.38</v>
      </c>
      <c r="AB385" s="2">
        <v>15709.45</v>
      </c>
      <c r="AC385" s="2">
        <v>4006.93</v>
      </c>
      <c r="AD385" s="2">
        <f t="shared" si="157"/>
        <v>985818.6</v>
      </c>
      <c r="AE385" s="2">
        <v>0</v>
      </c>
      <c r="AF385" s="2">
        <f t="shared" si="158"/>
        <v>985818.6</v>
      </c>
      <c r="AG385" s="39" t="s">
        <v>41</v>
      </c>
      <c r="AH385" s="34" t="s">
        <v>1503</v>
      </c>
      <c r="AI385" s="35">
        <f>98500+28477.95+215174.75+92328.2+224990.6+149766.49-5027.14-10718.19</f>
        <v>793492.66</v>
      </c>
      <c r="AJ385" s="36">
        <f>23037.95+41034.92+43208.62+30634.3+13407.25</f>
        <v>151323.03999999998</v>
      </c>
      <c r="AK385" s="28">
        <f t="shared" si="150"/>
        <v>17877.319999999949</v>
      </c>
      <c r="AL385" s="28">
        <f t="shared" si="151"/>
        <v>3409.2000000000116</v>
      </c>
      <c r="AM385" s="29">
        <f t="shared" si="152"/>
        <v>0.97796650055995427</v>
      </c>
    </row>
    <row r="386" spans="1:39" ht="192" customHeight="1" x14ac:dyDescent="0.25">
      <c r="A386" s="10">
        <v>383</v>
      </c>
      <c r="B386" s="37">
        <v>112592</v>
      </c>
      <c r="C386" s="37">
        <v>144</v>
      </c>
      <c r="D386" s="20" t="s">
        <v>254</v>
      </c>
      <c r="E386" s="14" t="s">
        <v>1005</v>
      </c>
      <c r="F386" s="63" t="s">
        <v>1504</v>
      </c>
      <c r="G386" s="15" t="s">
        <v>1505</v>
      </c>
      <c r="H386" s="20" t="s">
        <v>46</v>
      </c>
      <c r="I386" s="112" t="s">
        <v>1506</v>
      </c>
      <c r="J386" s="30">
        <v>43349</v>
      </c>
      <c r="K386" s="30">
        <v>43836</v>
      </c>
      <c r="L386" s="31">
        <f t="shared" si="155"/>
        <v>82.304195666897996</v>
      </c>
      <c r="M386" s="20" t="s">
        <v>855</v>
      </c>
      <c r="N386" s="20" t="s">
        <v>228</v>
      </c>
      <c r="O386" s="20" t="s">
        <v>228</v>
      </c>
      <c r="P386" s="32" t="s">
        <v>850</v>
      </c>
      <c r="Q386" s="62" t="s">
        <v>40</v>
      </c>
      <c r="R386" s="2">
        <f t="shared" si="154"/>
        <v>809057.98</v>
      </c>
      <c r="S386" s="2">
        <v>652434.75</v>
      </c>
      <c r="T386" s="2">
        <v>156623.23000000001</v>
      </c>
      <c r="U386" s="2">
        <f t="shared" si="159"/>
        <v>154291.24</v>
      </c>
      <c r="V386" s="2">
        <v>115135.49</v>
      </c>
      <c r="W386" s="2">
        <v>39155.75</v>
      </c>
      <c r="X386" s="2">
        <f t="shared" si="153"/>
        <v>0</v>
      </c>
      <c r="Y386" s="2"/>
      <c r="Z386" s="2"/>
      <c r="AA386" s="2">
        <f t="shared" si="156"/>
        <v>19660.18</v>
      </c>
      <c r="AB386" s="2">
        <v>15664.68</v>
      </c>
      <c r="AC386" s="2">
        <v>3995.5</v>
      </c>
      <c r="AD386" s="2">
        <f t="shared" si="157"/>
        <v>983009.4</v>
      </c>
      <c r="AE386" s="2">
        <v>0</v>
      </c>
      <c r="AF386" s="2">
        <f t="shared" si="158"/>
        <v>983009.4</v>
      </c>
      <c r="AG386" s="39" t="s">
        <v>41</v>
      </c>
      <c r="AH386" s="34" t="s">
        <v>46</v>
      </c>
      <c r="AI386" s="35">
        <f>409932.52+98300+186513.93+69525</f>
        <v>764271.45</v>
      </c>
      <c r="AJ386" s="36">
        <f>78176.15+54315.44+13258.71</f>
        <v>145750.29999999999</v>
      </c>
      <c r="AK386" s="28">
        <f t="shared" si="150"/>
        <v>44786.530000000028</v>
      </c>
      <c r="AL386" s="28">
        <f t="shared" si="151"/>
        <v>8540.9400000000023</v>
      </c>
      <c r="AM386" s="29">
        <f t="shared" si="152"/>
        <v>0.94464360885483134</v>
      </c>
    </row>
    <row r="387" spans="1:39" ht="192" customHeight="1" x14ac:dyDescent="0.25">
      <c r="A387" s="10">
        <v>384</v>
      </c>
      <c r="B387" s="37">
        <v>111141</v>
      </c>
      <c r="C387" s="37">
        <v>312</v>
      </c>
      <c r="D387" s="20" t="s">
        <v>254</v>
      </c>
      <c r="E387" s="14" t="s">
        <v>1005</v>
      </c>
      <c r="F387" s="63" t="s">
        <v>1507</v>
      </c>
      <c r="G387" s="15" t="s">
        <v>1508</v>
      </c>
      <c r="H387" s="20" t="s">
        <v>1509</v>
      </c>
      <c r="I387" s="112" t="s">
        <v>1510</v>
      </c>
      <c r="J387" s="30">
        <v>43349</v>
      </c>
      <c r="K387" s="30">
        <v>43836</v>
      </c>
      <c r="L387" s="31">
        <f t="shared" si="155"/>
        <v>82.8034002708998</v>
      </c>
      <c r="M387" s="20" t="s">
        <v>855</v>
      </c>
      <c r="N387" s="20" t="s">
        <v>228</v>
      </c>
      <c r="O387" s="20" t="s">
        <v>228</v>
      </c>
      <c r="P387" s="32" t="s">
        <v>850</v>
      </c>
      <c r="Q387" s="62" t="s">
        <v>40</v>
      </c>
      <c r="R387" s="2">
        <f t="shared" si="154"/>
        <v>826298.46000000008</v>
      </c>
      <c r="S387" s="2">
        <v>666337.68000000005</v>
      </c>
      <c r="T387" s="2">
        <v>159960.78</v>
      </c>
      <c r="U387" s="2">
        <f t="shared" si="159"/>
        <v>151647.47000000003</v>
      </c>
      <c r="V387" s="2">
        <v>112862.79000000001</v>
      </c>
      <c r="W387" s="2">
        <v>38784.680000000008</v>
      </c>
      <c r="X387" s="2">
        <f t="shared" si="153"/>
        <v>0</v>
      </c>
      <c r="Y387" s="2"/>
      <c r="Z387" s="2"/>
      <c r="AA387" s="2">
        <f t="shared" si="156"/>
        <v>19958.09</v>
      </c>
      <c r="AB387" s="2">
        <v>15902.08</v>
      </c>
      <c r="AC387" s="2">
        <v>4056.01</v>
      </c>
      <c r="AD387" s="2">
        <f t="shared" si="157"/>
        <v>997904.02000000014</v>
      </c>
      <c r="AE387" s="2">
        <v>0</v>
      </c>
      <c r="AF387" s="2">
        <f t="shared" si="158"/>
        <v>997904.02000000014</v>
      </c>
      <c r="AG387" s="39" t="s">
        <v>41</v>
      </c>
      <c r="AH387" s="34"/>
      <c r="AI387" s="35">
        <f>632254.35-10189.51+33087.89+85540.85+35748.72</f>
        <v>776442.29999999993</v>
      </c>
      <c r="AJ387" s="36">
        <f>11343.79+2719.14+19935.24+14501.99+9712.84+39877.8+10189.51+12230.9+14249.55+7931</f>
        <v>142691.75999999998</v>
      </c>
      <c r="AK387" s="28">
        <f t="shared" si="150"/>
        <v>49856.160000000149</v>
      </c>
      <c r="AL387" s="28">
        <f t="shared" si="151"/>
        <v>8955.7100000000501</v>
      </c>
      <c r="AM387" s="29">
        <f t="shared" si="152"/>
        <v>0.93966325436453058</v>
      </c>
    </row>
    <row r="388" spans="1:39" ht="192" customHeight="1" x14ac:dyDescent="0.25">
      <c r="A388" s="10">
        <v>385</v>
      </c>
      <c r="B388" s="37">
        <v>110676</v>
      </c>
      <c r="C388" s="37">
        <v>129</v>
      </c>
      <c r="D388" s="20" t="s">
        <v>254</v>
      </c>
      <c r="E388" s="14" t="s">
        <v>1005</v>
      </c>
      <c r="F388" s="15" t="s">
        <v>1511</v>
      </c>
      <c r="G388" s="15" t="s">
        <v>1512</v>
      </c>
      <c r="H388" s="20"/>
      <c r="I388" s="112" t="s">
        <v>1513</v>
      </c>
      <c r="J388" s="30">
        <v>43350</v>
      </c>
      <c r="K388" s="30">
        <v>43715</v>
      </c>
      <c r="L388" s="31">
        <f t="shared" si="155"/>
        <v>82.304181371109394</v>
      </c>
      <c r="M388" s="20" t="s">
        <v>855</v>
      </c>
      <c r="N388" s="20" t="s">
        <v>228</v>
      </c>
      <c r="O388" s="20" t="s">
        <v>228</v>
      </c>
      <c r="P388" s="32" t="s">
        <v>850</v>
      </c>
      <c r="Q388" s="62" t="s">
        <v>40</v>
      </c>
      <c r="R388" s="2">
        <f t="shared" si="154"/>
        <v>815129.60000000009</v>
      </c>
      <c r="S388" s="2">
        <v>657331.03</v>
      </c>
      <c r="T388" s="2">
        <v>157798.57</v>
      </c>
      <c r="U388" s="2">
        <f t="shared" si="159"/>
        <v>155449.32</v>
      </c>
      <c r="V388" s="2">
        <v>115999.63</v>
      </c>
      <c r="W388" s="2">
        <v>39449.69</v>
      </c>
      <c r="X388" s="2">
        <f t="shared" si="153"/>
        <v>0</v>
      </c>
      <c r="Y388" s="2">
        <v>0</v>
      </c>
      <c r="Z388" s="2">
        <v>0</v>
      </c>
      <c r="AA388" s="2">
        <f t="shared" si="156"/>
        <v>19807.7</v>
      </c>
      <c r="AB388" s="2">
        <v>15782.23</v>
      </c>
      <c r="AC388" s="2">
        <v>4025.47</v>
      </c>
      <c r="AD388" s="2">
        <f t="shared" si="157"/>
        <v>990386.62000000011</v>
      </c>
      <c r="AE388" s="2">
        <v>0</v>
      </c>
      <c r="AF388" s="2">
        <f t="shared" si="158"/>
        <v>990386.62000000011</v>
      </c>
      <c r="AG388" s="24" t="s">
        <v>41</v>
      </c>
      <c r="AH388" s="34" t="s">
        <v>1514</v>
      </c>
      <c r="AI388" s="35">
        <f>743622.47+43643.44+7380.99</f>
        <v>794646.89999999991</v>
      </c>
      <c r="AJ388" s="36">
        <f>123314.06+26821.35+1407.6</f>
        <v>151543.01</v>
      </c>
      <c r="AK388" s="28">
        <f t="shared" si="150"/>
        <v>20482.700000000186</v>
      </c>
      <c r="AL388" s="28">
        <f t="shared" si="151"/>
        <v>3906.3099999999977</v>
      </c>
      <c r="AM388" s="29">
        <f t="shared" si="152"/>
        <v>0.97487184859928999</v>
      </c>
    </row>
    <row r="389" spans="1:39" ht="192" customHeight="1" x14ac:dyDescent="0.25">
      <c r="A389" s="10">
        <v>386</v>
      </c>
      <c r="B389" s="37">
        <v>111475</v>
      </c>
      <c r="C389" s="37">
        <v>168</v>
      </c>
      <c r="D389" s="20" t="s">
        <v>254</v>
      </c>
      <c r="E389" s="14" t="s">
        <v>1005</v>
      </c>
      <c r="F389" s="63" t="s">
        <v>1515</v>
      </c>
      <c r="G389" s="15" t="s">
        <v>1516</v>
      </c>
      <c r="H389" s="20"/>
      <c r="I389" s="112" t="s">
        <v>1517</v>
      </c>
      <c r="J389" s="30">
        <v>43353</v>
      </c>
      <c r="K389" s="30">
        <v>44022</v>
      </c>
      <c r="L389" s="31">
        <f t="shared" si="155"/>
        <v>82.304183420576962</v>
      </c>
      <c r="M389" s="20" t="s">
        <v>855</v>
      </c>
      <c r="N389" s="20" t="s">
        <v>228</v>
      </c>
      <c r="O389" s="20" t="s">
        <v>228</v>
      </c>
      <c r="P389" s="32" t="s">
        <v>850</v>
      </c>
      <c r="Q389" s="62" t="s">
        <v>40</v>
      </c>
      <c r="R389" s="2">
        <f t="shared" si="154"/>
        <v>771409.35000000009</v>
      </c>
      <c r="S389" s="2">
        <v>622074.41</v>
      </c>
      <c r="T389" s="2">
        <v>149334.94</v>
      </c>
      <c r="U389" s="2">
        <f t="shared" si="159"/>
        <v>147111.59</v>
      </c>
      <c r="V389" s="2">
        <v>109777.84</v>
      </c>
      <c r="W389" s="2">
        <v>37333.75</v>
      </c>
      <c r="X389" s="2">
        <f t="shared" si="153"/>
        <v>0</v>
      </c>
      <c r="Y389" s="2">
        <v>0</v>
      </c>
      <c r="Z389" s="2">
        <v>0</v>
      </c>
      <c r="AA389" s="2">
        <f t="shared" si="156"/>
        <v>18745.329999999998</v>
      </c>
      <c r="AB389" s="2">
        <v>14935.8</v>
      </c>
      <c r="AC389" s="2">
        <v>3809.53</v>
      </c>
      <c r="AD389" s="2">
        <f t="shared" si="157"/>
        <v>937266.27</v>
      </c>
      <c r="AE389" s="2">
        <v>0</v>
      </c>
      <c r="AF389" s="2">
        <f t="shared" si="158"/>
        <v>937266.27</v>
      </c>
      <c r="AG389" s="39" t="s">
        <v>69</v>
      </c>
      <c r="AH389" s="34" t="s">
        <v>1518</v>
      </c>
      <c r="AI389" s="35">
        <v>588678.78</v>
      </c>
      <c r="AJ389" s="36">
        <v>94389.89</v>
      </c>
      <c r="AK389" s="28">
        <f t="shared" ref="AK389:AK452" si="160">R389-AI389</f>
        <v>182730.57000000007</v>
      </c>
      <c r="AL389" s="28">
        <f t="shared" ref="AL389:AL452" si="161">U389-AJ389</f>
        <v>52721.7</v>
      </c>
      <c r="AM389" s="29">
        <f t="shared" ref="AM389:AM452" si="162">AI389/R389</f>
        <v>0.7631211366572106</v>
      </c>
    </row>
    <row r="390" spans="1:39" ht="192" customHeight="1" x14ac:dyDescent="0.25">
      <c r="A390" s="10">
        <v>387</v>
      </c>
      <c r="B390" s="19">
        <v>118813</v>
      </c>
      <c r="C390" s="19">
        <v>449</v>
      </c>
      <c r="D390" s="20" t="s">
        <v>1282</v>
      </c>
      <c r="E390" s="14" t="s">
        <v>1283</v>
      </c>
      <c r="F390" s="32" t="s">
        <v>1519</v>
      </c>
      <c r="G390" s="32" t="s">
        <v>1520</v>
      </c>
      <c r="H390" s="32" t="s">
        <v>257</v>
      </c>
      <c r="I390" s="153" t="s">
        <v>1521</v>
      </c>
      <c r="J390" s="30">
        <v>43350</v>
      </c>
      <c r="K390" s="30">
        <v>44172</v>
      </c>
      <c r="L390" s="31">
        <f t="shared" si="155"/>
        <v>83.983863931415527</v>
      </c>
      <c r="M390" s="20" t="s">
        <v>855</v>
      </c>
      <c r="N390" s="20" t="s">
        <v>228</v>
      </c>
      <c r="O390" s="20" t="s">
        <v>228</v>
      </c>
      <c r="P390" s="32" t="s">
        <v>260</v>
      </c>
      <c r="Q390" s="62" t="s">
        <v>40</v>
      </c>
      <c r="R390" s="2">
        <f t="shared" si="154"/>
        <v>4865899.05</v>
      </c>
      <c r="S390" s="2">
        <v>3923923.61</v>
      </c>
      <c r="T390" s="2">
        <v>941975.44</v>
      </c>
      <c r="U390" s="2">
        <f t="shared" si="159"/>
        <v>0</v>
      </c>
      <c r="V390" s="2">
        <v>0</v>
      </c>
      <c r="W390" s="2">
        <v>0</v>
      </c>
      <c r="X390" s="2">
        <f t="shared" si="153"/>
        <v>927950.8899999999</v>
      </c>
      <c r="Y390" s="2">
        <v>692457.08</v>
      </c>
      <c r="Z390" s="2">
        <v>235493.81</v>
      </c>
      <c r="AA390" s="2">
        <f t="shared" si="156"/>
        <v>0</v>
      </c>
      <c r="AB390" s="2">
        <v>0</v>
      </c>
      <c r="AC390" s="2">
        <v>0</v>
      </c>
      <c r="AD390" s="2">
        <f t="shared" si="157"/>
        <v>5793849.9399999995</v>
      </c>
      <c r="AE390" s="2">
        <v>0</v>
      </c>
      <c r="AF390" s="2">
        <f t="shared" si="158"/>
        <v>5793849.9399999995</v>
      </c>
      <c r="AG390" s="39" t="s">
        <v>69</v>
      </c>
      <c r="AH390" s="143" t="s">
        <v>1522</v>
      </c>
      <c r="AI390" s="35">
        <f>15282.4+285261.79</f>
        <v>300544.19</v>
      </c>
      <c r="AJ390" s="36">
        <v>0</v>
      </c>
      <c r="AK390" s="28">
        <f t="shared" si="160"/>
        <v>4565354.8599999994</v>
      </c>
      <c r="AL390" s="28">
        <f t="shared" si="161"/>
        <v>0</v>
      </c>
      <c r="AM390" s="29">
        <f t="shared" si="162"/>
        <v>6.176539770178751E-2</v>
      </c>
    </row>
    <row r="391" spans="1:39" ht="192" customHeight="1" x14ac:dyDescent="0.25">
      <c r="A391" s="10">
        <v>388</v>
      </c>
      <c r="B391" s="37">
        <v>126532</v>
      </c>
      <c r="C391" s="37">
        <v>500</v>
      </c>
      <c r="D391" s="15" t="s">
        <v>425</v>
      </c>
      <c r="E391" s="14" t="s">
        <v>426</v>
      </c>
      <c r="F391" s="15" t="s">
        <v>1523</v>
      </c>
      <c r="G391" s="20" t="s">
        <v>1524</v>
      </c>
      <c r="H391" s="20" t="s">
        <v>35</v>
      </c>
      <c r="I391" s="55" t="s">
        <v>1525</v>
      </c>
      <c r="J391" s="30">
        <v>43516</v>
      </c>
      <c r="K391" s="30">
        <v>44247</v>
      </c>
      <c r="L391" s="31">
        <f t="shared" si="155"/>
        <v>83.299999838210468</v>
      </c>
      <c r="M391" s="20" t="s">
        <v>1526</v>
      </c>
      <c r="N391" s="20" t="s">
        <v>1527</v>
      </c>
      <c r="O391" s="20" t="s">
        <v>1527</v>
      </c>
      <c r="P391" s="20" t="s">
        <v>850</v>
      </c>
      <c r="Q391" s="20" t="s">
        <v>40</v>
      </c>
      <c r="R391" s="35">
        <f t="shared" si="154"/>
        <v>2059465.88</v>
      </c>
      <c r="S391" s="2">
        <v>2059465.88</v>
      </c>
      <c r="T391" s="2">
        <v>0</v>
      </c>
      <c r="U391" s="35">
        <f t="shared" si="159"/>
        <v>363435.16</v>
      </c>
      <c r="V391" s="2">
        <v>363435.16</v>
      </c>
      <c r="W391" s="2">
        <v>0</v>
      </c>
      <c r="X391" s="35">
        <f t="shared" si="153"/>
        <v>0</v>
      </c>
      <c r="Y391" s="2">
        <v>0</v>
      </c>
      <c r="Z391" s="2">
        <v>0</v>
      </c>
      <c r="AA391" s="2">
        <f t="shared" si="156"/>
        <v>49446.96</v>
      </c>
      <c r="AB391" s="2">
        <v>49446.96</v>
      </c>
      <c r="AC391" s="2">
        <v>0</v>
      </c>
      <c r="AD391" s="2">
        <f t="shared" si="157"/>
        <v>2472348</v>
      </c>
      <c r="AE391" s="2">
        <v>0</v>
      </c>
      <c r="AF391" s="2">
        <f t="shared" si="158"/>
        <v>2472348</v>
      </c>
      <c r="AG391" s="39" t="s">
        <v>69</v>
      </c>
      <c r="AH391" s="34" t="s">
        <v>35</v>
      </c>
      <c r="AI391" s="35">
        <v>1040799.12</v>
      </c>
      <c r="AJ391" s="36">
        <v>140041.60000000001</v>
      </c>
      <c r="AK391" s="28">
        <f t="shared" si="160"/>
        <v>1018666.7599999999</v>
      </c>
      <c r="AL391" s="28">
        <f t="shared" si="161"/>
        <v>223393.55999999997</v>
      </c>
      <c r="AM391" s="29">
        <f t="shared" si="162"/>
        <v>0.50537332524295087</v>
      </c>
    </row>
    <row r="392" spans="1:39" ht="192" customHeight="1" x14ac:dyDescent="0.25">
      <c r="A392" s="10">
        <v>389</v>
      </c>
      <c r="B392" s="37">
        <v>112820</v>
      </c>
      <c r="C392" s="37">
        <v>158</v>
      </c>
      <c r="D392" s="20" t="s">
        <v>254</v>
      </c>
      <c r="E392" s="14" t="s">
        <v>1005</v>
      </c>
      <c r="F392" s="32" t="s">
        <v>1528</v>
      </c>
      <c r="G392" s="32" t="s">
        <v>1529</v>
      </c>
      <c r="H392" s="20" t="s">
        <v>46</v>
      </c>
      <c r="I392" s="112" t="s">
        <v>1530</v>
      </c>
      <c r="J392" s="30">
        <v>43361</v>
      </c>
      <c r="K392" s="30">
        <v>43848</v>
      </c>
      <c r="L392" s="31">
        <f t="shared" si="155"/>
        <v>82.304187792803134</v>
      </c>
      <c r="M392" s="20" t="s">
        <v>855</v>
      </c>
      <c r="N392" s="20" t="s">
        <v>386</v>
      </c>
      <c r="O392" s="20" t="s">
        <v>1531</v>
      </c>
      <c r="P392" s="32" t="s">
        <v>850</v>
      </c>
      <c r="Q392" s="62" t="s">
        <v>40</v>
      </c>
      <c r="R392" s="2">
        <f t="shared" si="154"/>
        <v>812316.49</v>
      </c>
      <c r="S392" s="2">
        <v>655062.44999999995</v>
      </c>
      <c r="T392" s="2">
        <v>157254.04</v>
      </c>
      <c r="U392" s="2">
        <f t="shared" si="159"/>
        <v>154912.73000000001</v>
      </c>
      <c r="V392" s="2">
        <v>115599.25</v>
      </c>
      <c r="W392" s="2">
        <v>39313.480000000003</v>
      </c>
      <c r="X392" s="2">
        <f t="shared" si="153"/>
        <v>0</v>
      </c>
      <c r="Y392" s="2"/>
      <c r="Z392" s="2"/>
      <c r="AA392" s="2">
        <f t="shared" si="156"/>
        <v>19739.38</v>
      </c>
      <c r="AB392" s="2">
        <v>15727.81</v>
      </c>
      <c r="AC392" s="2">
        <v>4011.57</v>
      </c>
      <c r="AD392" s="2">
        <f t="shared" si="157"/>
        <v>986968.6</v>
      </c>
      <c r="AE392" s="2"/>
      <c r="AF392" s="2">
        <f t="shared" si="158"/>
        <v>986968.6</v>
      </c>
      <c r="AG392" s="39" t="s">
        <v>41</v>
      </c>
      <c r="AH392" s="34"/>
      <c r="AI392" s="35">
        <f>385890.19+98696.6+156767.33+71161.76+44833.4</f>
        <v>757349.28</v>
      </c>
      <c r="AJ392" s="36">
        <f>73591.17+48718.2+13570.88+8549.93</f>
        <v>144430.18</v>
      </c>
      <c r="AK392" s="28">
        <f t="shared" si="160"/>
        <v>54967.209999999963</v>
      </c>
      <c r="AL392" s="28">
        <f t="shared" si="161"/>
        <v>10482.550000000017</v>
      </c>
      <c r="AM392" s="29">
        <f t="shared" si="162"/>
        <v>0.93233276601340453</v>
      </c>
    </row>
    <row r="393" spans="1:39" ht="192" customHeight="1" x14ac:dyDescent="0.25">
      <c r="A393" s="10">
        <v>390</v>
      </c>
      <c r="B393" s="37">
        <v>111916</v>
      </c>
      <c r="C393" s="37">
        <v>145</v>
      </c>
      <c r="D393" s="20" t="s">
        <v>254</v>
      </c>
      <c r="E393" s="14" t="s">
        <v>1005</v>
      </c>
      <c r="F393" s="32" t="s">
        <v>1532</v>
      </c>
      <c r="G393" s="32" t="s">
        <v>1533</v>
      </c>
      <c r="H393" s="20" t="s">
        <v>46</v>
      </c>
      <c r="I393" s="112" t="s">
        <v>1534</v>
      </c>
      <c r="J393" s="30">
        <v>43361</v>
      </c>
      <c r="K393" s="30">
        <v>43848</v>
      </c>
      <c r="L393" s="31">
        <f t="shared" si="155"/>
        <v>82.304185955094169</v>
      </c>
      <c r="M393" s="20" t="s">
        <v>855</v>
      </c>
      <c r="N393" s="20" t="s">
        <v>708</v>
      </c>
      <c r="O393" s="20" t="s">
        <v>708</v>
      </c>
      <c r="P393" s="32" t="s">
        <v>850</v>
      </c>
      <c r="Q393" s="62" t="s">
        <v>40</v>
      </c>
      <c r="R393" s="2">
        <f t="shared" si="154"/>
        <v>810699.03</v>
      </c>
      <c r="S393" s="2">
        <v>653758.11</v>
      </c>
      <c r="T393" s="2">
        <v>156940.92000000001</v>
      </c>
      <c r="U393" s="2">
        <f t="shared" si="159"/>
        <v>154604.29</v>
      </c>
      <c r="V393" s="2">
        <v>115369.07</v>
      </c>
      <c r="W393" s="2">
        <v>39235.22</v>
      </c>
      <c r="X393" s="2">
        <f t="shared" si="153"/>
        <v>0</v>
      </c>
      <c r="Y393" s="2"/>
      <c r="Z393" s="2"/>
      <c r="AA393" s="2">
        <f t="shared" si="156"/>
        <v>19700.080000000002</v>
      </c>
      <c r="AB393" s="2">
        <v>15696.51</v>
      </c>
      <c r="AC393" s="2">
        <v>4003.57</v>
      </c>
      <c r="AD393" s="2">
        <f t="shared" si="157"/>
        <v>985003.4</v>
      </c>
      <c r="AE393" s="2"/>
      <c r="AF393" s="2">
        <f t="shared" si="158"/>
        <v>985003.4</v>
      </c>
      <c r="AG393" s="39" t="s">
        <v>41</v>
      </c>
      <c r="AH393" s="34"/>
      <c r="AI393" s="35">
        <f>98000+15936.3+98000+14229.11+98000+184958.55+34915.59+218662.58+34786.69</f>
        <v>797488.81999999983</v>
      </c>
      <c r="AJ393" s="36">
        <f>21728.22+21402.65+35272.51+25347.65+41700.04+6633.99</f>
        <v>152085.06</v>
      </c>
      <c r="AK393" s="28">
        <f t="shared" si="160"/>
        <v>13210.210000000196</v>
      </c>
      <c r="AL393" s="28">
        <f t="shared" si="161"/>
        <v>2519.2300000000105</v>
      </c>
      <c r="AM393" s="29">
        <f t="shared" si="162"/>
        <v>0.98370516121130647</v>
      </c>
    </row>
    <row r="394" spans="1:39" ht="192" customHeight="1" x14ac:dyDescent="0.25">
      <c r="A394" s="10">
        <v>391</v>
      </c>
      <c r="B394" s="37">
        <v>116156</v>
      </c>
      <c r="C394" s="37">
        <v>392</v>
      </c>
      <c r="D394" s="20" t="s">
        <v>254</v>
      </c>
      <c r="E394" s="14" t="s">
        <v>1015</v>
      </c>
      <c r="F394" s="67" t="s">
        <v>1535</v>
      </c>
      <c r="G394" s="32" t="s">
        <v>257</v>
      </c>
      <c r="H394" s="20" t="s">
        <v>1536</v>
      </c>
      <c r="I394" s="15" t="s">
        <v>1537</v>
      </c>
      <c r="J394" s="30">
        <v>43356</v>
      </c>
      <c r="K394" s="30">
        <v>44012</v>
      </c>
      <c r="L394" s="31">
        <f t="shared" si="155"/>
        <v>83.98386240618575</v>
      </c>
      <c r="M394" s="20" t="s">
        <v>855</v>
      </c>
      <c r="N394" s="20" t="s">
        <v>228</v>
      </c>
      <c r="O394" s="20" t="s">
        <v>228</v>
      </c>
      <c r="P394" s="32" t="s">
        <v>260</v>
      </c>
      <c r="Q394" s="20" t="s">
        <v>40</v>
      </c>
      <c r="R394" s="2">
        <f t="shared" si="154"/>
        <v>2443303.91</v>
      </c>
      <c r="S394" s="2">
        <v>1970311.71</v>
      </c>
      <c r="T394" s="2">
        <v>472992.2</v>
      </c>
      <c r="U394" s="2">
        <f t="shared" si="159"/>
        <v>0</v>
      </c>
      <c r="V394" s="2">
        <v>0</v>
      </c>
      <c r="W394" s="2">
        <v>0</v>
      </c>
      <c r="X394" s="2">
        <f t="shared" ref="X394:X411" si="163">Y394+Z394</f>
        <v>465950.13</v>
      </c>
      <c r="Y394" s="2">
        <v>347702.1</v>
      </c>
      <c r="Z394" s="2">
        <v>118248.03</v>
      </c>
      <c r="AA394" s="2">
        <f t="shared" si="156"/>
        <v>0</v>
      </c>
      <c r="AB394" s="2">
        <v>0</v>
      </c>
      <c r="AC394" s="2">
        <v>0</v>
      </c>
      <c r="AD394" s="2">
        <f t="shared" si="157"/>
        <v>2909254.04</v>
      </c>
      <c r="AE394" s="2"/>
      <c r="AF394" s="2">
        <f t="shared" si="158"/>
        <v>2909254.04</v>
      </c>
      <c r="AG394" s="39" t="s">
        <v>69</v>
      </c>
      <c r="AH394" s="34"/>
      <c r="AI394" s="35">
        <f>194922.68+48813.95+146150.63</f>
        <v>389887.26</v>
      </c>
      <c r="AJ394" s="36">
        <v>0</v>
      </c>
      <c r="AK394" s="28">
        <f t="shared" si="160"/>
        <v>2053416.6500000001</v>
      </c>
      <c r="AL394" s="28">
        <f t="shared" si="161"/>
        <v>0</v>
      </c>
      <c r="AM394" s="29">
        <f t="shared" si="162"/>
        <v>0.15957378793700697</v>
      </c>
    </row>
    <row r="395" spans="1:39" ht="192" customHeight="1" x14ac:dyDescent="0.25">
      <c r="A395" s="10">
        <v>392</v>
      </c>
      <c r="B395" s="37">
        <v>109770</v>
      </c>
      <c r="C395" s="37">
        <v>300</v>
      </c>
      <c r="D395" s="20" t="s">
        <v>254</v>
      </c>
      <c r="E395" s="14" t="s">
        <v>1005</v>
      </c>
      <c r="F395" s="65" t="s">
        <v>1538</v>
      </c>
      <c r="G395" s="15" t="s">
        <v>1539</v>
      </c>
      <c r="H395" s="20" t="s">
        <v>46</v>
      </c>
      <c r="I395" s="112" t="s">
        <v>1540</v>
      </c>
      <c r="J395" s="30">
        <v>43362</v>
      </c>
      <c r="K395" s="30">
        <v>43849</v>
      </c>
      <c r="L395" s="31">
        <f t="shared" si="155"/>
        <v>82.304184197970017</v>
      </c>
      <c r="M395" s="20" t="s">
        <v>855</v>
      </c>
      <c r="N395" s="20" t="s">
        <v>228</v>
      </c>
      <c r="O395" s="20" t="s">
        <v>228</v>
      </c>
      <c r="P395" s="32" t="s">
        <v>850</v>
      </c>
      <c r="Q395" s="20" t="s">
        <v>40</v>
      </c>
      <c r="R395" s="2">
        <f t="shared" si="154"/>
        <v>786369.83000000007</v>
      </c>
      <c r="S395" s="2">
        <v>634138.80000000005</v>
      </c>
      <c r="T395" s="2">
        <v>152231.03</v>
      </c>
      <c r="U395" s="2">
        <f t="shared" si="159"/>
        <v>149964.62</v>
      </c>
      <c r="V395" s="2">
        <v>111906.86</v>
      </c>
      <c r="W395" s="2">
        <v>38057.760000000002</v>
      </c>
      <c r="X395" s="2">
        <f t="shared" si="163"/>
        <v>0</v>
      </c>
      <c r="Y395" s="2"/>
      <c r="Z395" s="2"/>
      <c r="AA395" s="2">
        <f t="shared" si="156"/>
        <v>19108.870000000003</v>
      </c>
      <c r="AB395" s="2">
        <v>15225.37</v>
      </c>
      <c r="AC395" s="2">
        <v>3883.5</v>
      </c>
      <c r="AD395" s="2">
        <f t="shared" si="157"/>
        <v>955443.32000000007</v>
      </c>
      <c r="AE395" s="2"/>
      <c r="AF395" s="2">
        <f t="shared" si="158"/>
        <v>955443.32000000007</v>
      </c>
      <c r="AG395" s="39" t="s">
        <v>41</v>
      </c>
      <c r="AH395" s="34"/>
      <c r="AI395" s="35">
        <f>495588.73+36434.18+37098.36+130866.04+63944.95-22724.91</f>
        <v>741207.35</v>
      </c>
      <c r="AJ395" s="36">
        <f>13512.19+19201.01+11646.04+10486.67+21444.53+15302.78+16400.64+17142.5+2328.48+13886.98</f>
        <v>141351.82</v>
      </c>
      <c r="AK395" s="28">
        <f t="shared" si="160"/>
        <v>45162.480000000098</v>
      </c>
      <c r="AL395" s="28">
        <f t="shared" si="161"/>
        <v>8612.7999999999884</v>
      </c>
      <c r="AM395" s="29">
        <f t="shared" si="162"/>
        <v>0.94256839685723948</v>
      </c>
    </row>
    <row r="396" spans="1:39" ht="192" customHeight="1" x14ac:dyDescent="0.25">
      <c r="A396" s="10">
        <v>393</v>
      </c>
      <c r="B396" s="37">
        <v>112155</v>
      </c>
      <c r="C396" s="37">
        <v>224</v>
      </c>
      <c r="D396" s="20" t="s">
        <v>254</v>
      </c>
      <c r="E396" s="14" t="s">
        <v>1005</v>
      </c>
      <c r="F396" s="67" t="s">
        <v>1541</v>
      </c>
      <c r="G396" s="15" t="s">
        <v>1542</v>
      </c>
      <c r="H396" s="20" t="s">
        <v>1543</v>
      </c>
      <c r="I396" s="112" t="s">
        <v>1544</v>
      </c>
      <c r="J396" s="30">
        <v>43362</v>
      </c>
      <c r="K396" s="30">
        <v>44031</v>
      </c>
      <c r="L396" s="31">
        <f t="shared" si="155"/>
        <v>82.838167350644355</v>
      </c>
      <c r="M396" s="20" t="s">
        <v>855</v>
      </c>
      <c r="N396" s="20" t="s">
        <v>708</v>
      </c>
      <c r="O396" s="20" t="s">
        <v>708</v>
      </c>
      <c r="P396" s="32" t="s">
        <v>850</v>
      </c>
      <c r="Q396" s="20" t="s">
        <v>40</v>
      </c>
      <c r="R396" s="2">
        <f t="shared" si="154"/>
        <v>821979.65000000014</v>
      </c>
      <c r="S396" s="2">
        <v>662854.95000000019</v>
      </c>
      <c r="T396" s="2">
        <v>159124.70000000001</v>
      </c>
      <c r="U396" s="2">
        <f t="shared" si="159"/>
        <v>150446.54</v>
      </c>
      <c r="V396" s="2">
        <v>111947.54000000001</v>
      </c>
      <c r="W396" s="2">
        <v>38499.000000000007</v>
      </c>
      <c r="X396" s="2">
        <f t="shared" si="163"/>
        <v>6308.9900000000007</v>
      </c>
      <c r="Y396" s="2">
        <v>5026.8500000000004</v>
      </c>
      <c r="Z396" s="2">
        <v>1282.1400000000001</v>
      </c>
      <c r="AA396" s="2">
        <f t="shared" si="156"/>
        <v>13536.47</v>
      </c>
      <c r="AB396" s="2">
        <v>10785.49</v>
      </c>
      <c r="AC396" s="2">
        <v>2750.98</v>
      </c>
      <c r="AD396" s="2">
        <f t="shared" si="157"/>
        <v>992271.65000000014</v>
      </c>
      <c r="AE396" s="2"/>
      <c r="AF396" s="2">
        <f t="shared" si="158"/>
        <v>992271.65000000014</v>
      </c>
      <c r="AG396" s="39" t="s">
        <v>69</v>
      </c>
      <c r="AH396" s="34" t="s">
        <v>1851</v>
      </c>
      <c r="AI396" s="35">
        <f>243977.82+98355.61+115120.45+99227.15</f>
        <v>556681.03</v>
      </c>
      <c r="AJ396" s="36">
        <f>45167.34+39471.6</f>
        <v>84638.94</v>
      </c>
      <c r="AK396" s="28">
        <f t="shared" si="160"/>
        <v>265298.62000000011</v>
      </c>
      <c r="AL396" s="28">
        <f t="shared" si="161"/>
        <v>65807.600000000006</v>
      </c>
      <c r="AM396" s="29">
        <f t="shared" si="162"/>
        <v>0.67724429674140951</v>
      </c>
    </row>
    <row r="397" spans="1:39" ht="192" customHeight="1" x14ac:dyDescent="0.25">
      <c r="A397" s="10">
        <v>394</v>
      </c>
      <c r="B397" s="37">
        <v>111612</v>
      </c>
      <c r="C397" s="37">
        <v>153</v>
      </c>
      <c r="D397" s="20" t="s">
        <v>254</v>
      </c>
      <c r="E397" s="14" t="s">
        <v>1005</v>
      </c>
      <c r="F397" s="15" t="s">
        <v>1545</v>
      </c>
      <c r="G397" s="15" t="s">
        <v>1546</v>
      </c>
      <c r="H397" s="20" t="s">
        <v>1547</v>
      </c>
      <c r="I397" s="112" t="s">
        <v>1548</v>
      </c>
      <c r="J397" s="30">
        <v>43371</v>
      </c>
      <c r="K397" s="30">
        <v>43889</v>
      </c>
      <c r="L397" s="31">
        <f t="shared" si="155"/>
        <v>82.304183068176116</v>
      </c>
      <c r="M397" s="20" t="s">
        <v>855</v>
      </c>
      <c r="N397" s="20" t="s">
        <v>228</v>
      </c>
      <c r="O397" s="20" t="s">
        <v>228</v>
      </c>
      <c r="P397" s="32" t="s">
        <v>850</v>
      </c>
      <c r="Q397" s="20" t="s">
        <v>40</v>
      </c>
      <c r="R397" s="2">
        <f t="shared" si="154"/>
        <v>719578.88</v>
      </c>
      <c r="S397" s="2">
        <v>580277.67000000004</v>
      </c>
      <c r="T397" s="2">
        <v>139301.21</v>
      </c>
      <c r="U397" s="2">
        <f t="shared" si="159"/>
        <v>137227.27000000002</v>
      </c>
      <c r="V397" s="2">
        <v>102401.97</v>
      </c>
      <c r="W397" s="2">
        <v>34825.300000000003</v>
      </c>
      <c r="X397" s="2">
        <f t="shared" si="163"/>
        <v>0</v>
      </c>
      <c r="Y397" s="2">
        <v>0</v>
      </c>
      <c r="Z397" s="2">
        <v>0</v>
      </c>
      <c r="AA397" s="2">
        <f t="shared" si="156"/>
        <v>17485.84</v>
      </c>
      <c r="AB397" s="2">
        <v>13932.24</v>
      </c>
      <c r="AC397" s="2">
        <v>3553.6</v>
      </c>
      <c r="AD397" s="2">
        <f t="shared" si="157"/>
        <v>874291.99</v>
      </c>
      <c r="AE397" s="2"/>
      <c r="AF397" s="2">
        <f t="shared" si="158"/>
        <v>874291.99</v>
      </c>
      <c r="AG397" s="39" t="s">
        <v>628</v>
      </c>
      <c r="AH397" s="34"/>
      <c r="AI397" s="35">
        <v>557994.05000000005</v>
      </c>
      <c r="AJ397" s="36">
        <v>106412.25</v>
      </c>
      <c r="AK397" s="28">
        <f t="shared" si="160"/>
        <v>161584.82999999996</v>
      </c>
      <c r="AL397" s="28">
        <f t="shared" si="161"/>
        <v>30815.020000000019</v>
      </c>
      <c r="AM397" s="29">
        <f t="shared" si="162"/>
        <v>0.77544528544250779</v>
      </c>
    </row>
    <row r="398" spans="1:39" ht="192" customHeight="1" x14ac:dyDescent="0.25">
      <c r="A398" s="10">
        <v>395</v>
      </c>
      <c r="B398" s="37">
        <v>110058</v>
      </c>
      <c r="C398" s="37">
        <v>302</v>
      </c>
      <c r="D398" s="20" t="s">
        <v>254</v>
      </c>
      <c r="E398" s="14" t="s">
        <v>1005</v>
      </c>
      <c r="F398" s="67" t="s">
        <v>1549</v>
      </c>
      <c r="G398" s="15" t="s">
        <v>1550</v>
      </c>
      <c r="H398" s="20" t="s">
        <v>1551</v>
      </c>
      <c r="I398" s="16" t="s">
        <v>1552</v>
      </c>
      <c r="J398" s="30">
        <v>43370</v>
      </c>
      <c r="K398" s="30">
        <v>43857</v>
      </c>
      <c r="L398" s="31">
        <f t="shared" si="155"/>
        <v>82.767157561916832</v>
      </c>
      <c r="M398" s="20" t="s">
        <v>855</v>
      </c>
      <c r="N398" s="20" t="s">
        <v>228</v>
      </c>
      <c r="O398" s="20" t="s">
        <v>228</v>
      </c>
      <c r="P398" s="32" t="s">
        <v>850</v>
      </c>
      <c r="Q398" s="20" t="s">
        <v>40</v>
      </c>
      <c r="R398" s="2">
        <f t="shared" si="154"/>
        <v>803873.75</v>
      </c>
      <c r="S398" s="2">
        <v>648254.14</v>
      </c>
      <c r="T398" s="2">
        <v>155619.60999999999</v>
      </c>
      <c r="U398" s="2">
        <f t="shared" si="159"/>
        <v>147948.57</v>
      </c>
      <c r="V398" s="2">
        <v>110131.78</v>
      </c>
      <c r="W398" s="2">
        <v>37816.79</v>
      </c>
      <c r="X398" s="2">
        <f t="shared" si="163"/>
        <v>0</v>
      </c>
      <c r="Y398" s="2">
        <v>0</v>
      </c>
      <c r="Z398" s="2">
        <v>0</v>
      </c>
      <c r="AA398" s="2">
        <f t="shared" si="156"/>
        <v>19424.939999999999</v>
      </c>
      <c r="AB398" s="2">
        <v>15477.26</v>
      </c>
      <c r="AC398" s="2">
        <v>3947.68</v>
      </c>
      <c r="AD398" s="2">
        <f t="shared" si="157"/>
        <v>971247.26</v>
      </c>
      <c r="AE398" s="42"/>
      <c r="AF398" s="2">
        <f t="shared" si="158"/>
        <v>971247.26</v>
      </c>
      <c r="AG398" s="39" t="s">
        <v>41</v>
      </c>
      <c r="AH398" s="34"/>
      <c r="AI398" s="35">
        <v>445374.68</v>
      </c>
      <c r="AJ398" s="36">
        <v>64020.07</v>
      </c>
      <c r="AK398" s="28">
        <f t="shared" si="160"/>
        <v>358499.07</v>
      </c>
      <c r="AL398" s="28">
        <f t="shared" si="161"/>
        <v>83928.5</v>
      </c>
      <c r="AM398" s="29">
        <f t="shared" si="162"/>
        <v>0.55403560571544974</v>
      </c>
    </row>
    <row r="399" spans="1:39" ht="393.75" x14ac:dyDescent="0.25">
      <c r="A399" s="10">
        <v>396</v>
      </c>
      <c r="B399" s="37">
        <v>111482</v>
      </c>
      <c r="C399" s="37">
        <v>133</v>
      </c>
      <c r="D399" s="20" t="s">
        <v>254</v>
      </c>
      <c r="E399" s="14" t="s">
        <v>1005</v>
      </c>
      <c r="F399" s="15" t="s">
        <v>1553</v>
      </c>
      <c r="G399" s="15" t="s">
        <v>1554</v>
      </c>
      <c r="H399" s="20" t="s">
        <v>1555</v>
      </c>
      <c r="I399" s="16" t="s">
        <v>1556</v>
      </c>
      <c r="J399" s="30">
        <v>43376</v>
      </c>
      <c r="K399" s="30">
        <v>43864</v>
      </c>
      <c r="L399" s="31">
        <f t="shared" si="155"/>
        <v>82.928005929547282</v>
      </c>
      <c r="M399" s="20" t="s">
        <v>855</v>
      </c>
      <c r="N399" s="20" t="s">
        <v>660</v>
      </c>
      <c r="O399" s="20" t="s">
        <v>1557</v>
      </c>
      <c r="P399" s="32" t="s">
        <v>850</v>
      </c>
      <c r="Q399" s="20" t="s">
        <v>40</v>
      </c>
      <c r="R399" s="2">
        <f t="shared" si="154"/>
        <v>795878.74</v>
      </c>
      <c r="S399" s="2">
        <v>641806.86</v>
      </c>
      <c r="T399" s="2">
        <v>154071.88</v>
      </c>
      <c r="U399" s="2">
        <f t="shared" si="159"/>
        <v>144649.33000000002</v>
      </c>
      <c r="V399" s="2">
        <v>107580.1</v>
      </c>
      <c r="W399" s="2">
        <v>37069.230000000003</v>
      </c>
      <c r="X399" s="2">
        <f t="shared" si="163"/>
        <v>0</v>
      </c>
      <c r="Y399" s="2"/>
      <c r="Z399" s="2"/>
      <c r="AA399" s="2">
        <f t="shared" si="156"/>
        <v>19194.440000000002</v>
      </c>
      <c r="AB399" s="2">
        <v>15293.61</v>
      </c>
      <c r="AC399" s="2">
        <v>3900.83</v>
      </c>
      <c r="AD399" s="2">
        <f t="shared" si="157"/>
        <v>959722.51</v>
      </c>
      <c r="AE399" s="42"/>
      <c r="AF399" s="2">
        <f t="shared" si="158"/>
        <v>959722.51</v>
      </c>
      <c r="AG399" s="39" t="s">
        <v>628</v>
      </c>
      <c r="AH399" s="34"/>
      <c r="AI399" s="35">
        <f>452366.02+99602.01+111344.12+21724.75+63905.55-5611.91+3477.02</f>
        <v>746807.56</v>
      </c>
      <c r="AJ399" s="36">
        <f>80055.29+4398.75+19458.27+15146.77+4830.12+12009.98</f>
        <v>135899.18</v>
      </c>
      <c r="AK399" s="28">
        <f t="shared" si="160"/>
        <v>49071.179999999935</v>
      </c>
      <c r="AL399" s="28">
        <f t="shared" si="161"/>
        <v>8750.1500000000233</v>
      </c>
      <c r="AM399" s="29">
        <f t="shared" si="162"/>
        <v>0.93834339638221775</v>
      </c>
    </row>
    <row r="400" spans="1:39" ht="267.75" x14ac:dyDescent="0.25">
      <c r="A400" s="10">
        <v>397</v>
      </c>
      <c r="B400" s="37">
        <v>112266</v>
      </c>
      <c r="C400" s="37">
        <v>310</v>
      </c>
      <c r="D400" s="20" t="s">
        <v>254</v>
      </c>
      <c r="E400" s="14" t="s">
        <v>1005</v>
      </c>
      <c r="F400" s="15" t="s">
        <v>1558</v>
      </c>
      <c r="G400" s="15" t="s">
        <v>1559</v>
      </c>
      <c r="H400" s="20" t="s">
        <v>1560</v>
      </c>
      <c r="I400" s="16" t="s">
        <v>1561</v>
      </c>
      <c r="J400" s="30">
        <v>43376</v>
      </c>
      <c r="K400" s="30">
        <v>43802</v>
      </c>
      <c r="L400" s="31">
        <f t="shared" si="155"/>
        <v>83.010839519489394</v>
      </c>
      <c r="M400" s="20" t="s">
        <v>855</v>
      </c>
      <c r="N400" s="20" t="s">
        <v>228</v>
      </c>
      <c r="O400" s="20" t="s">
        <v>228</v>
      </c>
      <c r="P400" s="32" t="s">
        <v>260</v>
      </c>
      <c r="Q400" s="20" t="s">
        <v>40</v>
      </c>
      <c r="R400" s="2">
        <f t="shared" si="154"/>
        <v>830076.27</v>
      </c>
      <c r="S400" s="2">
        <v>669384.21</v>
      </c>
      <c r="T400" s="2">
        <v>160692.06</v>
      </c>
      <c r="U400" s="2">
        <f t="shared" si="159"/>
        <v>149885.79999999999</v>
      </c>
      <c r="V400" s="2">
        <v>111422.7</v>
      </c>
      <c r="W400" s="2">
        <v>38463.1</v>
      </c>
      <c r="X400" s="2">
        <f t="shared" si="163"/>
        <v>0</v>
      </c>
      <c r="Y400" s="2"/>
      <c r="Z400" s="2"/>
      <c r="AA400" s="2">
        <f t="shared" si="156"/>
        <v>19999.23</v>
      </c>
      <c r="AB400" s="2">
        <v>15934.82</v>
      </c>
      <c r="AC400" s="2">
        <v>4064.41</v>
      </c>
      <c r="AD400" s="2">
        <f t="shared" si="157"/>
        <v>999961.3</v>
      </c>
      <c r="AE400" s="42"/>
      <c r="AF400" s="2">
        <f t="shared" si="158"/>
        <v>999961.3</v>
      </c>
      <c r="AG400" s="24" t="s">
        <v>41</v>
      </c>
      <c r="AH400" s="34"/>
      <c r="AI400" s="35">
        <f>469376.77+159988.61+70050.81+33529.44+16757.29</f>
        <v>749702.91999999993</v>
      </c>
      <c r="AJ400" s="36">
        <f>66498.13+28816.19+19174.69+12319.23+7898.78</f>
        <v>134707.02000000002</v>
      </c>
      <c r="AK400" s="28">
        <f t="shared" si="160"/>
        <v>80373.350000000093</v>
      </c>
      <c r="AL400" s="28">
        <f t="shared" si="161"/>
        <v>15178.77999999997</v>
      </c>
      <c r="AM400" s="29">
        <f t="shared" si="162"/>
        <v>0.90317353608964135</v>
      </c>
    </row>
    <row r="401" spans="1:39" ht="192" customHeight="1" x14ac:dyDescent="0.25">
      <c r="A401" s="154">
        <v>398</v>
      </c>
      <c r="B401" s="37">
        <v>118704</v>
      </c>
      <c r="C401" s="37">
        <v>434</v>
      </c>
      <c r="D401" s="20" t="s">
        <v>1282</v>
      </c>
      <c r="E401" s="14" t="s">
        <v>1283</v>
      </c>
      <c r="F401" s="67" t="s">
        <v>1562</v>
      </c>
      <c r="G401" s="15" t="s">
        <v>1563</v>
      </c>
      <c r="H401" s="20" t="s">
        <v>173</v>
      </c>
      <c r="I401" s="16" t="s">
        <v>1564</v>
      </c>
      <c r="J401" s="30">
        <v>43389</v>
      </c>
      <c r="K401" s="30">
        <v>43906</v>
      </c>
      <c r="L401" s="31">
        <f t="shared" si="155"/>
        <v>83.983864465105967</v>
      </c>
      <c r="M401" s="20" t="s">
        <v>855</v>
      </c>
      <c r="N401" s="20" t="s">
        <v>228</v>
      </c>
      <c r="O401" s="20" t="s">
        <v>228</v>
      </c>
      <c r="P401" s="32" t="s">
        <v>260</v>
      </c>
      <c r="Q401" s="62" t="s">
        <v>40</v>
      </c>
      <c r="R401" s="2">
        <f t="shared" si="154"/>
        <v>1448623.93</v>
      </c>
      <c r="S401" s="2">
        <v>1168188.98</v>
      </c>
      <c r="T401" s="2">
        <v>280434.95</v>
      </c>
      <c r="U401" s="2">
        <f t="shared" si="159"/>
        <v>0</v>
      </c>
      <c r="V401" s="2">
        <v>0</v>
      </c>
      <c r="W401" s="2">
        <v>0</v>
      </c>
      <c r="X401" s="2">
        <f t="shared" si="163"/>
        <v>0</v>
      </c>
      <c r="Y401" s="2">
        <v>0</v>
      </c>
      <c r="Z401" s="2">
        <v>0</v>
      </c>
      <c r="AA401" s="2">
        <f t="shared" si="156"/>
        <v>276259.7</v>
      </c>
      <c r="AB401" s="2">
        <v>206150.98</v>
      </c>
      <c r="AC401" s="2">
        <v>70108.72</v>
      </c>
      <c r="AD401" s="2">
        <f t="shared" si="157"/>
        <v>1724883.63</v>
      </c>
      <c r="AE401" s="42">
        <v>442846.63</v>
      </c>
      <c r="AF401" s="2">
        <f t="shared" si="158"/>
        <v>2167730.2599999998</v>
      </c>
      <c r="AG401" s="39" t="s">
        <v>41</v>
      </c>
      <c r="AH401" s="34" t="s">
        <v>1565</v>
      </c>
      <c r="AI401" s="35">
        <f>88271.18+664362.86+477327.24</f>
        <v>1229961.28</v>
      </c>
      <c r="AJ401" s="36">
        <v>0</v>
      </c>
      <c r="AK401" s="28">
        <f t="shared" si="160"/>
        <v>218662.64999999991</v>
      </c>
      <c r="AL401" s="28">
        <f t="shared" si="161"/>
        <v>0</v>
      </c>
      <c r="AM401" s="29">
        <f t="shared" si="162"/>
        <v>0.84905492345415012</v>
      </c>
    </row>
    <row r="402" spans="1:39" ht="192" customHeight="1" x14ac:dyDescent="0.25">
      <c r="A402" s="154">
        <v>399</v>
      </c>
      <c r="B402" s="37">
        <v>111265</v>
      </c>
      <c r="C402" s="37">
        <v>156</v>
      </c>
      <c r="D402" s="20" t="s">
        <v>254</v>
      </c>
      <c r="E402" s="14" t="s">
        <v>1005</v>
      </c>
      <c r="F402" s="67" t="s">
        <v>1566</v>
      </c>
      <c r="G402" s="15" t="s">
        <v>1567</v>
      </c>
      <c r="H402" s="20" t="s">
        <v>1568</v>
      </c>
      <c r="I402" s="16" t="s">
        <v>1569</v>
      </c>
      <c r="J402" s="30">
        <v>43390</v>
      </c>
      <c r="K402" s="30">
        <v>43968</v>
      </c>
      <c r="L402" s="31">
        <f t="shared" si="155"/>
        <v>82.304186113939977</v>
      </c>
      <c r="M402" s="20" t="s">
        <v>855</v>
      </c>
      <c r="N402" s="20" t="s">
        <v>198</v>
      </c>
      <c r="O402" s="20" t="s">
        <v>198</v>
      </c>
      <c r="P402" s="32" t="s">
        <v>850</v>
      </c>
      <c r="Q402" s="20" t="s">
        <v>40</v>
      </c>
      <c r="R402" s="2">
        <f t="shared" si="154"/>
        <v>800497.51</v>
      </c>
      <c r="S402" s="2">
        <v>645531.5</v>
      </c>
      <c r="T402" s="2">
        <v>154966.01</v>
      </c>
      <c r="U402" s="2">
        <f>V402+W402</f>
        <v>152658.81</v>
      </c>
      <c r="V402" s="2">
        <v>113917.34</v>
      </c>
      <c r="W402" s="2">
        <v>38741.47</v>
      </c>
      <c r="X402" s="2">
        <f t="shared" si="163"/>
        <v>0</v>
      </c>
      <c r="Y402" s="2">
        <v>0</v>
      </c>
      <c r="Z402" s="2">
        <v>0</v>
      </c>
      <c r="AA402" s="2">
        <f t="shared" si="156"/>
        <v>19452.18</v>
      </c>
      <c r="AB402" s="2">
        <v>15498.93</v>
      </c>
      <c r="AC402" s="2">
        <v>3953.25</v>
      </c>
      <c r="AD402" s="2">
        <f t="shared" si="157"/>
        <v>972608.50000000012</v>
      </c>
      <c r="AE402" s="42"/>
      <c r="AF402" s="2">
        <f t="shared" si="158"/>
        <v>972608.50000000012</v>
      </c>
      <c r="AG402" s="39" t="s">
        <v>69</v>
      </c>
      <c r="AH402" s="34" t="s">
        <v>1570</v>
      </c>
      <c r="AI402" s="35">
        <f>399269.56+86998.5+8687+36680.43+86998.5+93044.89</f>
        <v>711678.88</v>
      </c>
      <c r="AJ402" s="36">
        <f>76142.67+24658.2+17744.11</f>
        <v>118544.98</v>
      </c>
      <c r="AK402" s="28">
        <f t="shared" si="160"/>
        <v>88818.63</v>
      </c>
      <c r="AL402" s="28">
        <f t="shared" si="161"/>
        <v>34113.83</v>
      </c>
      <c r="AM402" s="29">
        <f t="shared" si="162"/>
        <v>0.8890457135837937</v>
      </c>
    </row>
    <row r="403" spans="1:39" ht="192" customHeight="1" x14ac:dyDescent="0.25">
      <c r="A403" s="154">
        <v>400</v>
      </c>
      <c r="B403" s="37">
        <v>112719</v>
      </c>
      <c r="C403" s="37">
        <v>287</v>
      </c>
      <c r="D403" s="20" t="s">
        <v>254</v>
      </c>
      <c r="E403" s="14" t="s">
        <v>1005</v>
      </c>
      <c r="F403" s="67" t="s">
        <v>1571</v>
      </c>
      <c r="G403" s="15" t="s">
        <v>1572</v>
      </c>
      <c r="H403" s="20" t="s">
        <v>1573</v>
      </c>
      <c r="I403" s="16" t="s">
        <v>1574</v>
      </c>
      <c r="J403" s="30">
        <v>43399</v>
      </c>
      <c r="K403" s="30">
        <v>43887</v>
      </c>
      <c r="L403" s="31">
        <f t="shared" si="155"/>
        <v>82.304184463081299</v>
      </c>
      <c r="M403" s="20" t="s">
        <v>855</v>
      </c>
      <c r="N403" s="20" t="s">
        <v>229</v>
      </c>
      <c r="O403" s="20" t="s">
        <v>229</v>
      </c>
      <c r="P403" s="32" t="s">
        <v>850</v>
      </c>
      <c r="Q403" s="20" t="s">
        <v>40</v>
      </c>
      <c r="R403" s="2">
        <f t="shared" si="154"/>
        <v>780735</v>
      </c>
      <c r="S403" s="2">
        <v>629594.75</v>
      </c>
      <c r="T403" s="2">
        <v>151140.25</v>
      </c>
      <c r="U403" s="2">
        <f t="shared" ref="U403:U431" si="164">V403+W403</f>
        <v>148890.03999999998</v>
      </c>
      <c r="V403" s="2">
        <v>111105.01</v>
      </c>
      <c r="W403" s="2">
        <v>37785.03</v>
      </c>
      <c r="X403" s="2">
        <f t="shared" si="163"/>
        <v>0</v>
      </c>
      <c r="Y403" s="2"/>
      <c r="Z403" s="2"/>
      <c r="AA403" s="2">
        <f t="shared" si="156"/>
        <v>18971.93</v>
      </c>
      <c r="AB403" s="2">
        <v>15116.28</v>
      </c>
      <c r="AC403" s="2">
        <v>3855.65</v>
      </c>
      <c r="AD403" s="2">
        <f t="shared" si="157"/>
        <v>948596.97000000009</v>
      </c>
      <c r="AE403" s="42"/>
      <c r="AF403" s="2">
        <f t="shared" si="158"/>
        <v>948596.97000000009</v>
      </c>
      <c r="AG403" s="39" t="s">
        <v>628</v>
      </c>
      <c r="AH403" s="34"/>
      <c r="AI403" s="35">
        <v>771851.04999999993</v>
      </c>
      <c r="AJ403" s="36">
        <v>147195.82</v>
      </c>
      <c r="AK403" s="28">
        <f t="shared" si="160"/>
        <v>8883.9500000000698</v>
      </c>
      <c r="AL403" s="28">
        <f t="shared" si="161"/>
        <v>1694.2199999999721</v>
      </c>
      <c r="AM403" s="29">
        <f t="shared" si="162"/>
        <v>0.98862104299153997</v>
      </c>
    </row>
    <row r="404" spans="1:39" ht="192" customHeight="1" x14ac:dyDescent="0.25">
      <c r="A404" s="154">
        <v>401</v>
      </c>
      <c r="B404" s="37">
        <v>112591</v>
      </c>
      <c r="C404" s="37">
        <v>205</v>
      </c>
      <c r="D404" s="20" t="s">
        <v>254</v>
      </c>
      <c r="E404" s="14" t="s">
        <v>1005</v>
      </c>
      <c r="F404" s="67" t="s">
        <v>1575</v>
      </c>
      <c r="G404" s="15" t="s">
        <v>1576</v>
      </c>
      <c r="H404" s="20" t="s">
        <v>1577</v>
      </c>
      <c r="I404" s="16" t="s">
        <v>1578</v>
      </c>
      <c r="J404" s="30">
        <v>43404</v>
      </c>
      <c r="K404" s="30">
        <v>44043</v>
      </c>
      <c r="L404" s="31">
        <f t="shared" si="155"/>
        <v>82.304185509371194</v>
      </c>
      <c r="M404" s="20" t="s">
        <v>855</v>
      </c>
      <c r="N404" s="20" t="s">
        <v>228</v>
      </c>
      <c r="O404" s="20" t="s">
        <v>228</v>
      </c>
      <c r="P404" s="32" t="s">
        <v>850</v>
      </c>
      <c r="Q404" s="20" t="s">
        <v>40</v>
      </c>
      <c r="R404" s="2">
        <f t="shared" si="154"/>
        <v>767059.33000000007</v>
      </c>
      <c r="S404" s="2">
        <v>618566.54</v>
      </c>
      <c r="T404" s="2">
        <v>148492.79</v>
      </c>
      <c r="U404" s="2">
        <f t="shared" si="164"/>
        <v>146282</v>
      </c>
      <c r="V404" s="2">
        <v>109158.78</v>
      </c>
      <c r="W404" s="2">
        <v>37123.22</v>
      </c>
      <c r="X404" s="2">
        <f t="shared" si="163"/>
        <v>0</v>
      </c>
      <c r="Y404" s="2"/>
      <c r="Z404" s="2"/>
      <c r="AA404" s="2">
        <f t="shared" si="156"/>
        <v>18639.620000000003</v>
      </c>
      <c r="AB404" s="2">
        <v>14851.53</v>
      </c>
      <c r="AC404" s="2">
        <v>3788.09</v>
      </c>
      <c r="AD404" s="2">
        <f t="shared" si="157"/>
        <v>931980.95000000007</v>
      </c>
      <c r="AE404" s="42"/>
      <c r="AF404" s="2">
        <f t="shared" si="158"/>
        <v>931980.95000000007</v>
      </c>
      <c r="AG404" s="39" t="s">
        <v>69</v>
      </c>
      <c r="AH404" s="34" t="s">
        <v>1579</v>
      </c>
      <c r="AI404" s="35">
        <v>679170.7300000001</v>
      </c>
      <c r="AJ404" s="36">
        <v>97007.639999999985</v>
      </c>
      <c r="AK404" s="28">
        <f t="shared" si="160"/>
        <v>87888.599999999977</v>
      </c>
      <c r="AL404" s="28">
        <f t="shared" si="161"/>
        <v>49274.360000000015</v>
      </c>
      <c r="AM404" s="29">
        <f t="shared" si="162"/>
        <v>0.88542137933450338</v>
      </c>
    </row>
    <row r="405" spans="1:39" ht="192" customHeight="1" x14ac:dyDescent="0.25">
      <c r="A405" s="154">
        <v>402</v>
      </c>
      <c r="B405" s="37">
        <v>109897</v>
      </c>
      <c r="C405" s="37">
        <v>159</v>
      </c>
      <c r="D405" s="20" t="s">
        <v>254</v>
      </c>
      <c r="E405" s="14" t="s">
        <v>1005</v>
      </c>
      <c r="F405" s="67" t="s">
        <v>1580</v>
      </c>
      <c r="G405" s="15" t="s">
        <v>1581</v>
      </c>
      <c r="H405" s="20" t="s">
        <v>46</v>
      </c>
      <c r="I405" s="16" t="s">
        <v>1865</v>
      </c>
      <c r="J405" s="30">
        <v>43418</v>
      </c>
      <c r="K405" s="30">
        <v>44026</v>
      </c>
      <c r="L405" s="31">
        <f t="shared" si="155"/>
        <v>82.304185631079861</v>
      </c>
      <c r="M405" s="20" t="s">
        <v>855</v>
      </c>
      <c r="N405" s="20" t="s">
        <v>228</v>
      </c>
      <c r="O405" s="20" t="s">
        <v>229</v>
      </c>
      <c r="P405" s="32" t="s">
        <v>850</v>
      </c>
      <c r="Q405" s="20" t="s">
        <v>40</v>
      </c>
      <c r="R405" s="2">
        <f t="shared" si="154"/>
        <v>763718.81</v>
      </c>
      <c r="S405" s="2">
        <v>615872.68000000005</v>
      </c>
      <c r="T405" s="2">
        <v>147846.13</v>
      </c>
      <c r="U405" s="2">
        <f t="shared" si="164"/>
        <v>145644.94</v>
      </c>
      <c r="V405" s="2">
        <v>108683.39</v>
      </c>
      <c r="W405" s="2">
        <v>36961.550000000003</v>
      </c>
      <c r="X405" s="2">
        <f t="shared" si="163"/>
        <v>0</v>
      </c>
      <c r="Y405" s="2"/>
      <c r="Z405" s="2"/>
      <c r="AA405" s="2">
        <f t="shared" si="156"/>
        <v>18558.45</v>
      </c>
      <c r="AB405" s="2">
        <v>14786.89</v>
      </c>
      <c r="AC405" s="2">
        <v>3771.56</v>
      </c>
      <c r="AD405" s="2">
        <f t="shared" si="157"/>
        <v>927922.2</v>
      </c>
      <c r="AE405" s="42"/>
      <c r="AF405" s="2">
        <f t="shared" si="158"/>
        <v>927922.2</v>
      </c>
      <c r="AG405" s="39" t="s">
        <v>69</v>
      </c>
      <c r="AH405" s="34" t="s">
        <v>1582</v>
      </c>
      <c r="AI405" s="35">
        <f>310284.02+72310.74+40374.05+25686.31+116698.66+6944.82</f>
        <v>572298.6</v>
      </c>
      <c r="AJ405" s="36">
        <f>52866.14+20096.52+7699.54+4898.51+22255+1324.42</f>
        <v>109140.12999999999</v>
      </c>
      <c r="AK405" s="28">
        <f t="shared" si="160"/>
        <v>191420.21000000008</v>
      </c>
      <c r="AL405" s="28">
        <f t="shared" si="161"/>
        <v>36504.810000000012</v>
      </c>
      <c r="AM405" s="29">
        <f t="shared" si="162"/>
        <v>0.74935773809211259</v>
      </c>
    </row>
    <row r="406" spans="1:39" ht="192" customHeight="1" x14ac:dyDescent="0.25">
      <c r="A406" s="154">
        <v>403</v>
      </c>
      <c r="B406" s="37">
        <v>127778</v>
      </c>
      <c r="C406" s="37">
        <v>580</v>
      </c>
      <c r="D406" s="20" t="s">
        <v>254</v>
      </c>
      <c r="E406" s="14" t="s">
        <v>1583</v>
      </c>
      <c r="F406" s="67" t="s">
        <v>1584</v>
      </c>
      <c r="G406" s="32" t="s">
        <v>257</v>
      </c>
      <c r="H406" s="20" t="s">
        <v>46</v>
      </c>
      <c r="I406" s="16" t="s">
        <v>1585</v>
      </c>
      <c r="J406" s="30">
        <v>43447</v>
      </c>
      <c r="K406" s="30">
        <v>44543</v>
      </c>
      <c r="L406" s="31">
        <f t="shared" si="155"/>
        <v>83.983863103096297</v>
      </c>
      <c r="M406" s="20" t="s">
        <v>855</v>
      </c>
      <c r="N406" s="20" t="s">
        <v>228</v>
      </c>
      <c r="O406" s="20" t="s">
        <v>228</v>
      </c>
      <c r="P406" s="32" t="s">
        <v>260</v>
      </c>
      <c r="Q406" s="20" t="s">
        <v>40</v>
      </c>
      <c r="R406" s="2">
        <f t="shared" si="154"/>
        <v>10837735.809999999</v>
      </c>
      <c r="S406" s="2">
        <v>8739689.6799999997</v>
      </c>
      <c r="T406" s="2">
        <v>2098046.13</v>
      </c>
      <c r="U406" s="2">
        <f t="shared" si="164"/>
        <v>0</v>
      </c>
      <c r="V406" s="2">
        <v>0</v>
      </c>
      <c r="W406" s="2">
        <v>0</v>
      </c>
      <c r="X406" s="2">
        <f t="shared" si="163"/>
        <v>2066809.67</v>
      </c>
      <c r="Y406" s="2">
        <v>1542298.16</v>
      </c>
      <c r="Z406" s="2">
        <v>524511.51</v>
      </c>
      <c r="AA406" s="2">
        <f t="shared" si="156"/>
        <v>0</v>
      </c>
      <c r="AB406" s="2">
        <v>0</v>
      </c>
      <c r="AC406" s="2">
        <v>0</v>
      </c>
      <c r="AD406" s="2">
        <f t="shared" si="157"/>
        <v>12904545.479999999</v>
      </c>
      <c r="AE406" s="42">
        <v>0</v>
      </c>
      <c r="AF406" s="2">
        <f t="shared" si="158"/>
        <v>12904545.479999999</v>
      </c>
      <c r="AG406" s="39" t="s">
        <v>69</v>
      </c>
      <c r="AH406" s="34" t="s">
        <v>46</v>
      </c>
      <c r="AI406" s="35">
        <v>4431509.92</v>
      </c>
      <c r="AJ406" s="36">
        <v>0</v>
      </c>
      <c r="AK406" s="28">
        <f t="shared" si="160"/>
        <v>6406225.8899999987</v>
      </c>
      <c r="AL406" s="28">
        <f t="shared" si="161"/>
        <v>0</v>
      </c>
      <c r="AM406" s="29">
        <f t="shared" si="162"/>
        <v>0.40889628587467852</v>
      </c>
    </row>
    <row r="407" spans="1:39" ht="192" customHeight="1" x14ac:dyDescent="0.25">
      <c r="A407" s="154">
        <v>404</v>
      </c>
      <c r="B407" s="37">
        <v>127575</v>
      </c>
      <c r="C407" s="37">
        <v>604</v>
      </c>
      <c r="D407" s="20" t="s">
        <v>254</v>
      </c>
      <c r="E407" s="14" t="s">
        <v>1583</v>
      </c>
      <c r="F407" s="67" t="s">
        <v>1586</v>
      </c>
      <c r="G407" s="15" t="s">
        <v>1587</v>
      </c>
      <c r="H407" s="20" t="s">
        <v>46</v>
      </c>
      <c r="I407" s="16" t="s">
        <v>1588</v>
      </c>
      <c r="J407" s="30">
        <v>43448</v>
      </c>
      <c r="K407" s="30">
        <v>44179</v>
      </c>
      <c r="L407" s="31">
        <f t="shared" si="155"/>
        <v>83.983862830635374</v>
      </c>
      <c r="M407" s="20" t="s">
        <v>855</v>
      </c>
      <c r="N407" s="20" t="s">
        <v>228</v>
      </c>
      <c r="O407" s="20" t="s">
        <v>228</v>
      </c>
      <c r="P407" s="32" t="s">
        <v>260</v>
      </c>
      <c r="Q407" s="20" t="s">
        <v>40</v>
      </c>
      <c r="R407" s="2">
        <f t="shared" si="154"/>
        <v>71134346.120000005</v>
      </c>
      <c r="S407" s="2">
        <v>57363652.549999997</v>
      </c>
      <c r="T407" s="2">
        <v>13770693.57</v>
      </c>
      <c r="U407" s="2">
        <f t="shared" si="164"/>
        <v>0</v>
      </c>
      <c r="V407" s="2">
        <v>0</v>
      </c>
      <c r="W407" s="2">
        <v>0</v>
      </c>
      <c r="X407" s="2">
        <f t="shared" si="163"/>
        <v>13565670.91</v>
      </c>
      <c r="Y407" s="2">
        <v>10122997.52</v>
      </c>
      <c r="Z407" s="2">
        <v>3442673.39</v>
      </c>
      <c r="AA407" s="2">
        <f t="shared" si="156"/>
        <v>0</v>
      </c>
      <c r="AB407" s="2">
        <v>0</v>
      </c>
      <c r="AC407" s="2">
        <v>0</v>
      </c>
      <c r="AD407" s="2">
        <f t="shared" si="157"/>
        <v>84700017.030000001</v>
      </c>
      <c r="AE407" s="42">
        <v>0</v>
      </c>
      <c r="AF407" s="2">
        <f t="shared" si="158"/>
        <v>84700017.030000001</v>
      </c>
      <c r="AG407" s="39" t="s">
        <v>69</v>
      </c>
      <c r="AH407" s="34"/>
      <c r="AI407" s="35">
        <f>64794622.27+13940.48+2648.69</f>
        <v>64811211.439999998</v>
      </c>
      <c r="AJ407" s="36">
        <v>0</v>
      </c>
      <c r="AK407" s="28">
        <f t="shared" si="160"/>
        <v>6323134.6800000072</v>
      </c>
      <c r="AL407" s="28">
        <f t="shared" si="161"/>
        <v>0</v>
      </c>
      <c r="AM407" s="29">
        <f t="shared" si="162"/>
        <v>0.91110996269884592</v>
      </c>
    </row>
    <row r="408" spans="1:39" ht="192" customHeight="1" x14ac:dyDescent="0.25">
      <c r="A408" s="154">
        <v>405</v>
      </c>
      <c r="B408" s="37">
        <v>116834</v>
      </c>
      <c r="C408" s="37">
        <v>397</v>
      </c>
      <c r="D408" s="20" t="s">
        <v>254</v>
      </c>
      <c r="E408" s="14" t="s">
        <v>1015</v>
      </c>
      <c r="F408" s="67" t="s">
        <v>1589</v>
      </c>
      <c r="G408" s="15" t="s">
        <v>880</v>
      </c>
      <c r="H408" s="20" t="s">
        <v>252</v>
      </c>
      <c r="I408" s="43" t="s">
        <v>1590</v>
      </c>
      <c r="J408" s="30">
        <v>43462</v>
      </c>
      <c r="K408" s="30">
        <v>44255</v>
      </c>
      <c r="L408" s="31">
        <f t="shared" si="155"/>
        <v>83.410873102181938</v>
      </c>
      <c r="M408" s="20" t="s">
        <v>855</v>
      </c>
      <c r="N408" s="20" t="s">
        <v>228</v>
      </c>
      <c r="O408" s="20" t="s">
        <v>228</v>
      </c>
      <c r="P408" s="32" t="s">
        <v>260</v>
      </c>
      <c r="Q408" s="20" t="s">
        <v>40</v>
      </c>
      <c r="R408" s="2">
        <f t="shared" si="154"/>
        <v>3404514.47</v>
      </c>
      <c r="S408" s="2">
        <v>2745444.31</v>
      </c>
      <c r="T408" s="2">
        <v>659070.16</v>
      </c>
      <c r="U408" s="2">
        <f t="shared" si="164"/>
        <v>218543.18</v>
      </c>
      <c r="V408" s="2">
        <v>163081.66</v>
      </c>
      <c r="W408" s="2">
        <v>55461.51999999999</v>
      </c>
      <c r="X408" s="2">
        <f t="shared" si="163"/>
        <v>458561.86</v>
      </c>
      <c r="Y408" s="2">
        <v>343596.49</v>
      </c>
      <c r="Z408" s="2">
        <v>114965.37</v>
      </c>
      <c r="AA408" s="2">
        <f t="shared" si="156"/>
        <v>0</v>
      </c>
      <c r="AB408" s="2">
        <v>0</v>
      </c>
      <c r="AC408" s="2">
        <v>0</v>
      </c>
      <c r="AD408" s="2">
        <f t="shared" si="157"/>
        <v>4081619.5100000002</v>
      </c>
      <c r="AE408" s="42">
        <v>0</v>
      </c>
      <c r="AF408" s="2">
        <f t="shared" si="158"/>
        <v>4081619.5100000002</v>
      </c>
      <c r="AG408" s="39" t="s">
        <v>69</v>
      </c>
      <c r="AH408" s="34"/>
      <c r="AI408" s="35">
        <v>300519.38</v>
      </c>
      <c r="AJ408" s="36">
        <v>13627.73</v>
      </c>
      <c r="AK408" s="28">
        <f t="shared" si="160"/>
        <v>3103995.0900000003</v>
      </c>
      <c r="AL408" s="28">
        <f t="shared" si="161"/>
        <v>204915.44999999998</v>
      </c>
      <c r="AM408" s="29">
        <f t="shared" si="162"/>
        <v>8.827084820702788E-2</v>
      </c>
    </row>
    <row r="409" spans="1:39" ht="192" customHeight="1" x14ac:dyDescent="0.25">
      <c r="A409" s="154">
        <v>406</v>
      </c>
      <c r="B409" s="37">
        <v>116793</v>
      </c>
      <c r="C409" s="37">
        <v>398</v>
      </c>
      <c r="D409" s="20" t="s">
        <v>254</v>
      </c>
      <c r="E409" s="14" t="s">
        <v>1015</v>
      </c>
      <c r="F409" s="67" t="s">
        <v>1591</v>
      </c>
      <c r="G409" s="15" t="s">
        <v>880</v>
      </c>
      <c r="H409" s="15" t="s">
        <v>1592</v>
      </c>
      <c r="I409" s="43" t="s">
        <v>1593</v>
      </c>
      <c r="J409" s="30">
        <v>43462</v>
      </c>
      <c r="K409" s="30">
        <v>44193</v>
      </c>
      <c r="L409" s="31">
        <f t="shared" si="155"/>
        <v>83.668357333333319</v>
      </c>
      <c r="M409" s="20" t="s">
        <v>855</v>
      </c>
      <c r="N409" s="20" t="s">
        <v>228</v>
      </c>
      <c r="O409" s="20" t="s">
        <v>228</v>
      </c>
      <c r="P409" s="32" t="s">
        <v>260</v>
      </c>
      <c r="Q409" s="20" t="s">
        <v>40</v>
      </c>
      <c r="R409" s="2">
        <f>S409+T409</f>
        <v>2510050.7199999997</v>
      </c>
      <c r="S409" s="2">
        <v>2024137.2</v>
      </c>
      <c r="T409" s="2">
        <v>485913.52</v>
      </c>
      <c r="U409" s="2">
        <f>V409+W409</f>
        <v>182355.47</v>
      </c>
      <c r="V409" s="2">
        <v>135400.23000000001</v>
      </c>
      <c r="W409" s="2">
        <v>46955.24</v>
      </c>
      <c r="X409" s="2">
        <f>Y409+Z409</f>
        <v>307593.81</v>
      </c>
      <c r="Y409" s="2">
        <v>230780.28</v>
      </c>
      <c r="Z409" s="2">
        <v>76813.53</v>
      </c>
      <c r="AA409" s="2">
        <f>AB409+AC409</f>
        <v>0</v>
      </c>
      <c r="AB409" s="2">
        <v>0</v>
      </c>
      <c r="AC409" s="2">
        <v>0</v>
      </c>
      <c r="AD409" s="2">
        <f>R409+U409+X409+AA409</f>
        <v>3000000</v>
      </c>
      <c r="AE409" s="42"/>
      <c r="AF409" s="2">
        <f>AD409+AE409</f>
        <v>3000000</v>
      </c>
      <c r="AG409" s="39" t="s">
        <v>69</v>
      </c>
      <c r="AH409" s="34" t="s">
        <v>1594</v>
      </c>
      <c r="AI409" s="35">
        <v>680588.05</v>
      </c>
      <c r="AJ409" s="36">
        <v>58485.17</v>
      </c>
      <c r="AK409" s="28">
        <f t="shared" si="160"/>
        <v>1829462.6699999997</v>
      </c>
      <c r="AL409" s="28">
        <f t="shared" si="161"/>
        <v>123870.3</v>
      </c>
      <c r="AM409" s="29">
        <f t="shared" si="162"/>
        <v>0.27114513845361665</v>
      </c>
    </row>
    <row r="410" spans="1:39" ht="192" customHeight="1" x14ac:dyDescent="0.25">
      <c r="A410" s="154">
        <v>407</v>
      </c>
      <c r="B410" s="37">
        <v>129668</v>
      </c>
      <c r="C410" s="37">
        <v>673</v>
      </c>
      <c r="D410" s="15" t="s">
        <v>31</v>
      </c>
      <c r="E410" s="14" t="s">
        <v>249</v>
      </c>
      <c r="F410" s="67" t="s">
        <v>1595</v>
      </c>
      <c r="G410" s="20" t="s">
        <v>1596</v>
      </c>
      <c r="H410" s="20" t="s">
        <v>35</v>
      </c>
      <c r="I410" s="61" t="s">
        <v>1597</v>
      </c>
      <c r="J410" s="30">
        <v>43635</v>
      </c>
      <c r="K410" s="30">
        <v>44549</v>
      </c>
      <c r="L410" s="31">
        <f t="shared" si="155"/>
        <v>80.000000100149578</v>
      </c>
      <c r="M410" s="20">
        <v>8</v>
      </c>
      <c r="N410" s="20" t="s">
        <v>228</v>
      </c>
      <c r="O410" s="20" t="s">
        <v>228</v>
      </c>
      <c r="P410" s="20" t="s">
        <v>39</v>
      </c>
      <c r="Q410" s="20" t="s">
        <v>40</v>
      </c>
      <c r="R410" s="33">
        <f t="shared" si="154"/>
        <v>3195221.02</v>
      </c>
      <c r="S410" s="35">
        <v>0</v>
      </c>
      <c r="T410" s="2">
        <v>3195221.02</v>
      </c>
      <c r="U410" s="33">
        <f t="shared" si="164"/>
        <v>718924.72</v>
      </c>
      <c r="V410" s="35">
        <v>0</v>
      </c>
      <c r="W410" s="2">
        <v>718924.72</v>
      </c>
      <c r="X410" s="33">
        <f t="shared" si="163"/>
        <v>79880.53</v>
      </c>
      <c r="Y410" s="35">
        <v>0</v>
      </c>
      <c r="Z410" s="2">
        <v>79880.53</v>
      </c>
      <c r="AA410" s="2">
        <f t="shared" si="156"/>
        <v>0</v>
      </c>
      <c r="AB410" s="2">
        <v>0</v>
      </c>
      <c r="AC410" s="2">
        <v>0</v>
      </c>
      <c r="AD410" s="2">
        <f t="shared" si="157"/>
        <v>3994026.27</v>
      </c>
      <c r="AE410" s="42">
        <v>0</v>
      </c>
      <c r="AF410" s="2">
        <f t="shared" si="158"/>
        <v>3994026.27</v>
      </c>
      <c r="AG410" s="39" t="s">
        <v>69</v>
      </c>
      <c r="AH410" s="39" t="s">
        <v>35</v>
      </c>
      <c r="AI410" s="35">
        <f>104321.74</f>
        <v>104321.74</v>
      </c>
      <c r="AJ410" s="36">
        <f>23472.39</f>
        <v>23472.39</v>
      </c>
      <c r="AK410" s="28">
        <f t="shared" si="160"/>
        <v>3090899.28</v>
      </c>
      <c r="AL410" s="28">
        <f t="shared" si="161"/>
        <v>695452.33</v>
      </c>
      <c r="AM410" s="29">
        <f t="shared" si="162"/>
        <v>3.2649303239748968E-2</v>
      </c>
    </row>
    <row r="411" spans="1:39" ht="192" customHeight="1" x14ac:dyDescent="0.25">
      <c r="A411" s="154">
        <v>408</v>
      </c>
      <c r="B411" s="37">
        <v>127534</v>
      </c>
      <c r="C411" s="37">
        <v>619</v>
      </c>
      <c r="D411" s="20" t="s">
        <v>254</v>
      </c>
      <c r="E411" s="14" t="s">
        <v>1583</v>
      </c>
      <c r="F411" s="67" t="s">
        <v>1598</v>
      </c>
      <c r="G411" s="32" t="s">
        <v>876</v>
      </c>
      <c r="H411" s="20" t="s">
        <v>132</v>
      </c>
      <c r="I411" s="16" t="s">
        <v>1599</v>
      </c>
      <c r="J411" s="30">
        <v>43490</v>
      </c>
      <c r="K411" s="30">
        <v>44372</v>
      </c>
      <c r="L411" s="31">
        <f t="shared" si="155"/>
        <v>83.983862775890657</v>
      </c>
      <c r="M411" s="20" t="s">
        <v>855</v>
      </c>
      <c r="N411" s="20" t="s">
        <v>228</v>
      </c>
      <c r="O411" s="20" t="s">
        <v>228</v>
      </c>
      <c r="P411" s="32" t="s">
        <v>260</v>
      </c>
      <c r="Q411" s="20" t="s">
        <v>40</v>
      </c>
      <c r="R411" s="2">
        <f t="shared" si="154"/>
        <v>8137225.3799999999</v>
      </c>
      <c r="S411" s="2">
        <v>6561963.3499999996</v>
      </c>
      <c r="T411" s="2">
        <v>1575262.03</v>
      </c>
      <c r="U411" s="2">
        <f t="shared" si="164"/>
        <v>0</v>
      </c>
      <c r="V411" s="2">
        <v>0</v>
      </c>
      <c r="W411" s="2">
        <v>0</v>
      </c>
      <c r="X411" s="2">
        <f t="shared" si="163"/>
        <v>1551809.05</v>
      </c>
      <c r="Y411" s="2">
        <v>1157993.49</v>
      </c>
      <c r="Z411" s="2">
        <v>393815.56</v>
      </c>
      <c r="AA411" s="2">
        <f t="shared" si="156"/>
        <v>0</v>
      </c>
      <c r="AB411" s="2">
        <v>0</v>
      </c>
      <c r="AC411" s="2">
        <v>0</v>
      </c>
      <c r="AD411" s="2">
        <f t="shared" si="157"/>
        <v>9689034.4299999997</v>
      </c>
      <c r="AE411" s="42">
        <v>0</v>
      </c>
      <c r="AF411" s="2">
        <f t="shared" si="158"/>
        <v>9689034.4299999997</v>
      </c>
      <c r="AG411" s="39" t="s">
        <v>69</v>
      </c>
      <c r="AH411" s="34"/>
      <c r="AI411" s="35">
        <f>738779.53+55263.07+616151.85</f>
        <v>1410194.45</v>
      </c>
      <c r="AJ411" s="36">
        <v>0</v>
      </c>
      <c r="AK411" s="28">
        <f t="shared" si="160"/>
        <v>6727030.9299999997</v>
      </c>
      <c r="AL411" s="28">
        <f t="shared" si="161"/>
        <v>0</v>
      </c>
      <c r="AM411" s="29">
        <f t="shared" si="162"/>
        <v>0.17330163343712129</v>
      </c>
    </row>
    <row r="412" spans="1:39" ht="192" customHeight="1" x14ac:dyDescent="0.25">
      <c r="A412" s="154">
        <v>409</v>
      </c>
      <c r="B412" s="37">
        <v>111384</v>
      </c>
      <c r="C412" s="37">
        <v>166</v>
      </c>
      <c r="D412" s="20" t="s">
        <v>254</v>
      </c>
      <c r="E412" s="14" t="s">
        <v>1005</v>
      </c>
      <c r="F412" s="67" t="s">
        <v>1600</v>
      </c>
      <c r="G412" s="15" t="s">
        <v>1601</v>
      </c>
      <c r="H412" s="20" t="s">
        <v>132</v>
      </c>
      <c r="I412" s="16" t="s">
        <v>1602</v>
      </c>
      <c r="J412" s="30">
        <v>43497</v>
      </c>
      <c r="K412" s="30">
        <v>43983</v>
      </c>
      <c r="L412" s="31">
        <f t="shared" si="155"/>
        <v>82.304190607330156</v>
      </c>
      <c r="M412" s="20" t="s">
        <v>855</v>
      </c>
      <c r="N412" s="20" t="s">
        <v>433</v>
      </c>
      <c r="O412" s="20" t="s">
        <v>433</v>
      </c>
      <c r="P412" s="32" t="s">
        <v>850</v>
      </c>
      <c r="Q412" s="20" t="s">
        <v>40</v>
      </c>
      <c r="R412" s="2">
        <f t="shared" si="154"/>
        <v>765704.55999999994</v>
      </c>
      <c r="S412" s="2">
        <v>617473.98</v>
      </c>
      <c r="T412" s="2">
        <v>148230.57999999999</v>
      </c>
      <c r="U412" s="2">
        <f t="shared" si="164"/>
        <v>146023.57999999999</v>
      </c>
      <c r="V412" s="2">
        <v>108965.98</v>
      </c>
      <c r="W412" s="2">
        <v>37057.599999999999</v>
      </c>
      <c r="X412" s="2">
        <v>0</v>
      </c>
      <c r="Y412" s="2"/>
      <c r="Z412" s="2"/>
      <c r="AA412" s="2">
        <f t="shared" si="156"/>
        <v>18606.7</v>
      </c>
      <c r="AB412" s="2">
        <v>14825.33</v>
      </c>
      <c r="AC412" s="2">
        <v>3781.37</v>
      </c>
      <c r="AD412" s="2">
        <f t="shared" si="157"/>
        <v>930334.83999999985</v>
      </c>
      <c r="AE412" s="42"/>
      <c r="AF412" s="2">
        <f t="shared" si="158"/>
        <v>930334.83999999985</v>
      </c>
      <c r="AG412" s="39" t="s">
        <v>69</v>
      </c>
      <c r="AH412" s="34"/>
      <c r="AI412" s="35">
        <v>407560.11</v>
      </c>
      <c r="AJ412" s="36">
        <v>76478.45</v>
      </c>
      <c r="AK412" s="28">
        <f t="shared" si="160"/>
        <v>358144.44999999995</v>
      </c>
      <c r="AL412" s="28">
        <f t="shared" si="161"/>
        <v>69545.12999999999</v>
      </c>
      <c r="AM412" s="29">
        <f t="shared" si="162"/>
        <v>0.53226809828584543</v>
      </c>
    </row>
    <row r="413" spans="1:39" ht="192" customHeight="1" x14ac:dyDescent="0.25">
      <c r="A413" s="154">
        <v>410</v>
      </c>
      <c r="B413" s="37">
        <v>118765</v>
      </c>
      <c r="C413" s="37">
        <v>454</v>
      </c>
      <c r="D413" s="20" t="s">
        <v>1200</v>
      </c>
      <c r="E413" s="14" t="s">
        <v>1201</v>
      </c>
      <c r="F413" s="67" t="s">
        <v>1603</v>
      </c>
      <c r="G413" s="15" t="s">
        <v>1604</v>
      </c>
      <c r="H413" s="20" t="s">
        <v>1605</v>
      </c>
      <c r="I413" s="55" t="s">
        <v>1606</v>
      </c>
      <c r="J413" s="30">
        <v>43348</v>
      </c>
      <c r="K413" s="30">
        <v>44444</v>
      </c>
      <c r="L413" s="31">
        <f t="shared" si="155"/>
        <v>83.983862678981282</v>
      </c>
      <c r="M413" s="32" t="s">
        <v>259</v>
      </c>
      <c r="N413" s="20" t="s">
        <v>228</v>
      </c>
      <c r="O413" s="20" t="s">
        <v>229</v>
      </c>
      <c r="P413" s="19" t="s">
        <v>260</v>
      </c>
      <c r="Q413" s="32" t="s">
        <v>40</v>
      </c>
      <c r="R413" s="2">
        <f t="shared" si="154"/>
        <v>24915549.649999999</v>
      </c>
      <c r="S413" s="2">
        <v>20092220.059999999</v>
      </c>
      <c r="T413" s="2">
        <v>4823329.59</v>
      </c>
      <c r="U413" s="2">
        <f t="shared" si="164"/>
        <v>0</v>
      </c>
      <c r="V413" s="2"/>
      <c r="W413" s="2"/>
      <c r="X413" s="2">
        <f t="shared" ref="X413:X431" si="165">Y413+Z413</f>
        <v>4751518.3499999996</v>
      </c>
      <c r="Y413" s="2">
        <v>3545685.89</v>
      </c>
      <c r="Z413" s="2">
        <v>1205832.46</v>
      </c>
      <c r="AA413" s="2">
        <f t="shared" si="156"/>
        <v>0</v>
      </c>
      <c r="AB413" s="2">
        <v>0</v>
      </c>
      <c r="AC413" s="2">
        <v>0</v>
      </c>
      <c r="AD413" s="2">
        <f t="shared" si="157"/>
        <v>29667068</v>
      </c>
      <c r="AE413" s="2"/>
      <c r="AF413" s="2">
        <f t="shared" si="158"/>
        <v>29667068</v>
      </c>
      <c r="AG413" s="39" t="s">
        <v>69</v>
      </c>
      <c r="AH413" s="34" t="s">
        <v>1241</v>
      </c>
      <c r="AI413" s="35">
        <f>1385140.99+337996.69+1667186.64</f>
        <v>3390324.32</v>
      </c>
      <c r="AJ413" s="36">
        <v>0</v>
      </c>
      <c r="AK413" s="28">
        <f t="shared" si="160"/>
        <v>21525225.329999998</v>
      </c>
      <c r="AL413" s="28">
        <f t="shared" si="161"/>
        <v>0</v>
      </c>
      <c r="AM413" s="29">
        <f t="shared" si="162"/>
        <v>0.1360726280425445</v>
      </c>
    </row>
    <row r="414" spans="1:39" ht="192" customHeight="1" x14ac:dyDescent="0.25">
      <c r="A414" s="154">
        <v>411</v>
      </c>
      <c r="B414" s="37">
        <v>127403</v>
      </c>
      <c r="C414" s="37">
        <v>579</v>
      </c>
      <c r="D414" s="20" t="s">
        <v>254</v>
      </c>
      <c r="E414" s="14" t="s">
        <v>1583</v>
      </c>
      <c r="F414" s="67" t="s">
        <v>1607</v>
      </c>
      <c r="G414" s="32" t="s">
        <v>833</v>
      </c>
      <c r="H414" s="20" t="s">
        <v>132</v>
      </c>
      <c r="I414" s="16" t="s">
        <v>1608</v>
      </c>
      <c r="J414" s="30">
        <v>43514</v>
      </c>
      <c r="K414" s="30">
        <v>44245</v>
      </c>
      <c r="L414" s="31">
        <f t="shared" si="155"/>
        <v>83.983863067164137</v>
      </c>
      <c r="M414" s="32" t="s">
        <v>259</v>
      </c>
      <c r="N414" s="20" t="s">
        <v>228</v>
      </c>
      <c r="O414" s="20" t="s">
        <v>228</v>
      </c>
      <c r="P414" s="19" t="s">
        <v>260</v>
      </c>
      <c r="Q414" s="32" t="s">
        <v>40</v>
      </c>
      <c r="R414" s="2">
        <f t="shared" ref="R414:R431" si="166">S414+T414</f>
        <v>5070433.51</v>
      </c>
      <c r="S414" s="2">
        <v>4088862.86</v>
      </c>
      <c r="T414" s="2">
        <v>981570.65</v>
      </c>
      <c r="U414" s="2">
        <f t="shared" si="164"/>
        <v>0</v>
      </c>
      <c r="V414" s="2">
        <v>0</v>
      </c>
      <c r="W414" s="2">
        <v>0</v>
      </c>
      <c r="X414" s="2">
        <f t="shared" si="165"/>
        <v>966956.68</v>
      </c>
      <c r="Y414" s="2">
        <v>721564.03</v>
      </c>
      <c r="Z414" s="2">
        <v>245392.65</v>
      </c>
      <c r="AA414" s="2">
        <f t="shared" si="156"/>
        <v>0</v>
      </c>
      <c r="AB414" s="2">
        <v>0</v>
      </c>
      <c r="AC414" s="2">
        <v>0</v>
      </c>
      <c r="AD414" s="2">
        <f t="shared" si="157"/>
        <v>6037390.1899999995</v>
      </c>
      <c r="AE414" s="42">
        <v>0</v>
      </c>
      <c r="AF414" s="2">
        <f t="shared" si="158"/>
        <v>6037390.1899999995</v>
      </c>
      <c r="AG414" s="39" t="s">
        <v>69</v>
      </c>
      <c r="AH414" s="34" t="s">
        <v>132</v>
      </c>
      <c r="AI414" s="35">
        <f>24576.2+66456.97+20464.35+37833.89</f>
        <v>149331.40999999997</v>
      </c>
      <c r="AJ414" s="36">
        <v>0</v>
      </c>
      <c r="AK414" s="28">
        <f t="shared" si="160"/>
        <v>4921102.0999999996</v>
      </c>
      <c r="AL414" s="28">
        <f t="shared" si="161"/>
        <v>0</v>
      </c>
      <c r="AM414" s="29">
        <f t="shared" si="162"/>
        <v>2.9451408781021562E-2</v>
      </c>
    </row>
    <row r="415" spans="1:39" ht="192" customHeight="1" x14ac:dyDescent="0.25">
      <c r="A415" s="154">
        <v>412</v>
      </c>
      <c r="B415" s="37">
        <v>127820</v>
      </c>
      <c r="C415" s="37">
        <v>605</v>
      </c>
      <c r="D415" s="20" t="s">
        <v>254</v>
      </c>
      <c r="E415" s="14" t="s">
        <v>1583</v>
      </c>
      <c r="F415" s="67" t="s">
        <v>1609</v>
      </c>
      <c r="G415" s="32" t="s">
        <v>257</v>
      </c>
      <c r="H415" s="20" t="s">
        <v>35</v>
      </c>
      <c r="I415" s="16" t="s">
        <v>1610</v>
      </c>
      <c r="J415" s="30">
        <v>43528</v>
      </c>
      <c r="K415" s="30">
        <v>44808</v>
      </c>
      <c r="L415" s="31">
        <f t="shared" si="155"/>
        <v>83.983862642815609</v>
      </c>
      <c r="M415" s="32" t="s">
        <v>259</v>
      </c>
      <c r="N415" s="20" t="s">
        <v>228</v>
      </c>
      <c r="O415" s="20" t="s">
        <v>228</v>
      </c>
      <c r="P415" s="19" t="s">
        <v>260</v>
      </c>
      <c r="Q415" s="32" t="s">
        <v>40</v>
      </c>
      <c r="R415" s="2">
        <f t="shared" si="166"/>
        <v>8804544.8300000001</v>
      </c>
      <c r="S415" s="2">
        <v>7100098.3100000005</v>
      </c>
      <c r="T415" s="2">
        <v>1704446.52</v>
      </c>
      <c r="U415" s="2">
        <f t="shared" si="164"/>
        <v>0</v>
      </c>
      <c r="V415" s="2">
        <v>0</v>
      </c>
      <c r="W415" s="2">
        <v>0</v>
      </c>
      <c r="X415" s="2">
        <f t="shared" si="165"/>
        <v>1679070.1800000002</v>
      </c>
      <c r="Y415" s="2">
        <v>1252958.54</v>
      </c>
      <c r="Z415" s="2">
        <v>426111.64</v>
      </c>
      <c r="AA415" s="2">
        <f t="shared" si="156"/>
        <v>0</v>
      </c>
      <c r="AB415" s="2">
        <v>0</v>
      </c>
      <c r="AC415" s="2">
        <v>0</v>
      </c>
      <c r="AD415" s="2">
        <f t="shared" si="157"/>
        <v>10483615.01</v>
      </c>
      <c r="AE415" s="42">
        <v>0</v>
      </c>
      <c r="AF415" s="2">
        <f t="shared" si="158"/>
        <v>10483615.01</v>
      </c>
      <c r="AG415" s="39" t="s">
        <v>1611</v>
      </c>
      <c r="AH415" s="34" t="s">
        <v>1612</v>
      </c>
      <c r="AI415" s="35">
        <f>142773.41+459978.96+262581.43</f>
        <v>865333.8</v>
      </c>
      <c r="AJ415" s="36">
        <v>0</v>
      </c>
      <c r="AK415" s="28">
        <f t="shared" si="160"/>
        <v>7939211.0300000003</v>
      </c>
      <c r="AL415" s="28">
        <f t="shared" si="161"/>
        <v>0</v>
      </c>
      <c r="AM415" s="29">
        <f t="shared" si="162"/>
        <v>9.8282627518860619E-2</v>
      </c>
    </row>
    <row r="416" spans="1:39" ht="192" customHeight="1" x14ac:dyDescent="0.25">
      <c r="A416" s="154">
        <v>413</v>
      </c>
      <c r="B416" s="37">
        <v>127148</v>
      </c>
      <c r="C416" s="37">
        <v>576</v>
      </c>
      <c r="D416" s="20" t="s">
        <v>1613</v>
      </c>
      <c r="E416" s="14" t="s">
        <v>1614</v>
      </c>
      <c r="F416" s="67" t="s">
        <v>1615</v>
      </c>
      <c r="G416" s="15" t="s">
        <v>880</v>
      </c>
      <c r="H416" s="20" t="s">
        <v>1616</v>
      </c>
      <c r="I416" s="16" t="s">
        <v>1617</v>
      </c>
      <c r="J416" s="30">
        <v>43552</v>
      </c>
      <c r="K416" s="30">
        <v>44193</v>
      </c>
      <c r="L416" s="31">
        <f t="shared" si="155"/>
        <v>83.791410330251352</v>
      </c>
      <c r="M416" s="32" t="s">
        <v>259</v>
      </c>
      <c r="N416" s="20" t="s">
        <v>228</v>
      </c>
      <c r="O416" s="20" t="s">
        <v>228</v>
      </c>
      <c r="P416" s="19" t="s">
        <v>260</v>
      </c>
      <c r="Q416" s="20" t="s">
        <v>40</v>
      </c>
      <c r="R416" s="2">
        <f t="shared" si="166"/>
        <v>4099805.0300000003</v>
      </c>
      <c r="S416" s="2">
        <v>3306135.56</v>
      </c>
      <c r="T416" s="2">
        <v>793669.47</v>
      </c>
      <c r="U416" s="2">
        <f t="shared" si="164"/>
        <v>87992.28</v>
      </c>
      <c r="V416" s="2">
        <v>65661.759999999995</v>
      </c>
      <c r="W416" s="2">
        <v>22330.52</v>
      </c>
      <c r="X416" s="2">
        <f t="shared" si="165"/>
        <v>705072.99</v>
      </c>
      <c r="Y416" s="2">
        <v>526707.51</v>
      </c>
      <c r="Z416" s="2">
        <v>178365.48</v>
      </c>
      <c r="AA416" s="2">
        <f t="shared" si="156"/>
        <v>0</v>
      </c>
      <c r="AB416" s="2">
        <v>0</v>
      </c>
      <c r="AC416" s="2">
        <v>0</v>
      </c>
      <c r="AD416" s="2">
        <f t="shared" si="157"/>
        <v>4892870.3</v>
      </c>
      <c r="AE416" s="42"/>
      <c r="AF416" s="2">
        <f t="shared" si="158"/>
        <v>4892870.3</v>
      </c>
      <c r="AG416" s="39" t="s">
        <v>69</v>
      </c>
      <c r="AH416" s="34" t="s">
        <v>1618</v>
      </c>
      <c r="AI416" s="35">
        <v>135946.35</v>
      </c>
      <c r="AJ416" s="36">
        <v>0</v>
      </c>
      <c r="AK416" s="28">
        <f t="shared" si="160"/>
        <v>3963858.68</v>
      </c>
      <c r="AL416" s="28">
        <f t="shared" si="161"/>
        <v>87992.28</v>
      </c>
      <c r="AM416" s="29">
        <f t="shared" si="162"/>
        <v>3.3159223183840035E-2</v>
      </c>
    </row>
    <row r="417" spans="1:39" ht="192" customHeight="1" x14ac:dyDescent="0.25">
      <c r="A417" s="154">
        <v>414</v>
      </c>
      <c r="B417" s="37">
        <v>129157</v>
      </c>
      <c r="C417" s="37">
        <v>653</v>
      </c>
      <c r="D417" s="20" t="s">
        <v>254</v>
      </c>
      <c r="E417" s="14" t="s">
        <v>1619</v>
      </c>
      <c r="F417" s="67" t="s">
        <v>1620</v>
      </c>
      <c r="G417" s="15" t="s">
        <v>1621</v>
      </c>
      <c r="H417" s="20" t="s">
        <v>1622</v>
      </c>
      <c r="I417" s="16" t="s">
        <v>1623</v>
      </c>
      <c r="J417" s="30">
        <v>43595</v>
      </c>
      <c r="K417" s="30">
        <v>43961</v>
      </c>
      <c r="L417" s="31">
        <f t="shared" ref="L417:L480" si="167">R417/AD417*100</f>
        <v>83.983862206528542</v>
      </c>
      <c r="M417" s="32" t="s">
        <v>259</v>
      </c>
      <c r="N417" s="20" t="s">
        <v>228</v>
      </c>
      <c r="O417" s="20" t="s">
        <v>228</v>
      </c>
      <c r="P417" s="19" t="s">
        <v>260</v>
      </c>
      <c r="Q417" s="20" t="s">
        <v>40</v>
      </c>
      <c r="R417" s="2">
        <f t="shared" si="166"/>
        <v>5246671.93</v>
      </c>
      <c r="S417" s="2">
        <v>4230983.8099999996</v>
      </c>
      <c r="T417" s="2">
        <v>1015688.12</v>
      </c>
      <c r="U417" s="2">
        <f t="shared" si="164"/>
        <v>397060.75</v>
      </c>
      <c r="V417" s="2">
        <v>293431.23</v>
      </c>
      <c r="W417" s="2">
        <v>103629.52</v>
      </c>
      <c r="X417" s="2">
        <f t="shared" si="165"/>
        <v>603505.53</v>
      </c>
      <c r="Y417" s="2">
        <v>453212.99</v>
      </c>
      <c r="Z417" s="2">
        <v>150292.54</v>
      </c>
      <c r="AA417" s="2">
        <f t="shared" ref="AA417:AA419" si="168">AB417+AC417</f>
        <v>0</v>
      </c>
      <c r="AB417" s="2">
        <v>0</v>
      </c>
      <c r="AC417" s="2">
        <v>0</v>
      </c>
      <c r="AD417" s="2">
        <f t="shared" ref="AD417:AD431" si="169">R417+U417+X417+AA417</f>
        <v>6247238.21</v>
      </c>
      <c r="AE417" s="42">
        <v>0</v>
      </c>
      <c r="AF417" s="2">
        <f t="shared" ref="AF417:AF431" si="170">AD417+AE417</f>
        <v>6247238.21</v>
      </c>
      <c r="AG417" s="39" t="s">
        <v>69</v>
      </c>
      <c r="AH417" s="34" t="s">
        <v>1624</v>
      </c>
      <c r="AI417" s="35">
        <f>27634.05+1119190.49+181709.16</f>
        <v>1328533.7</v>
      </c>
      <c r="AJ417" s="36">
        <f>145846.01+27046.1</f>
        <v>172892.11000000002</v>
      </c>
      <c r="AK417" s="28">
        <f t="shared" si="160"/>
        <v>3918138.2299999995</v>
      </c>
      <c r="AL417" s="28">
        <f t="shared" si="161"/>
        <v>224168.63999999998</v>
      </c>
      <c r="AM417" s="29">
        <f t="shared" si="162"/>
        <v>0.25321455538387361</v>
      </c>
    </row>
    <row r="418" spans="1:39" ht="192" customHeight="1" x14ac:dyDescent="0.25">
      <c r="A418" s="154">
        <v>415</v>
      </c>
      <c r="B418" s="37">
        <v>127557</v>
      </c>
      <c r="C418" s="37">
        <v>592</v>
      </c>
      <c r="D418" s="20" t="s">
        <v>254</v>
      </c>
      <c r="E418" s="14" t="s">
        <v>1583</v>
      </c>
      <c r="F418" s="67" t="s">
        <v>1625</v>
      </c>
      <c r="G418" s="15" t="s">
        <v>880</v>
      </c>
      <c r="H418" s="20" t="s">
        <v>1626</v>
      </c>
      <c r="I418" s="16" t="s">
        <v>1627</v>
      </c>
      <c r="J418" s="30">
        <v>43601</v>
      </c>
      <c r="K418" s="30">
        <v>44697</v>
      </c>
      <c r="L418" s="31">
        <f t="shared" si="167"/>
        <v>83.983862979972571</v>
      </c>
      <c r="M418" s="32" t="s">
        <v>259</v>
      </c>
      <c r="N418" s="20" t="s">
        <v>228</v>
      </c>
      <c r="O418" s="20" t="s">
        <v>228</v>
      </c>
      <c r="P418" s="19" t="s">
        <v>260</v>
      </c>
      <c r="Q418" s="20" t="s">
        <v>40</v>
      </c>
      <c r="R418" s="2">
        <f t="shared" si="166"/>
        <v>21869408.25</v>
      </c>
      <c r="S418" s="2">
        <v>17635772.390000001</v>
      </c>
      <c r="T418" s="2">
        <v>4233635.8600000003</v>
      </c>
      <c r="U418" s="2">
        <f t="shared" si="164"/>
        <v>2835302.4000000004</v>
      </c>
      <c r="V418" s="2">
        <v>2095312.34</v>
      </c>
      <c r="W418" s="2">
        <v>739990.06</v>
      </c>
      <c r="X418" s="2">
        <f t="shared" si="165"/>
        <v>1335301.6499999999</v>
      </c>
      <c r="Y418" s="2">
        <v>1016882.74</v>
      </c>
      <c r="Z418" s="2">
        <v>318418.90999999997</v>
      </c>
      <c r="AA418" s="2">
        <f t="shared" si="168"/>
        <v>0</v>
      </c>
      <c r="AB418" s="2">
        <v>0</v>
      </c>
      <c r="AC418" s="2">
        <v>0</v>
      </c>
      <c r="AD418" s="2">
        <f t="shared" si="169"/>
        <v>26040012.299999997</v>
      </c>
      <c r="AE418" s="42">
        <v>0</v>
      </c>
      <c r="AF418" s="2">
        <f t="shared" si="170"/>
        <v>26040012.299999997</v>
      </c>
      <c r="AG418" s="39" t="s">
        <v>69</v>
      </c>
      <c r="AH418" s="34" t="s">
        <v>132</v>
      </c>
      <c r="AI418" s="35">
        <f>2000000-199893.91+842707.08+2000000</f>
        <v>4642813.17</v>
      </c>
      <c r="AJ418" s="36">
        <f>213844.09+224889.04</f>
        <v>438733.13</v>
      </c>
      <c r="AK418" s="28">
        <f t="shared" si="160"/>
        <v>17226595.079999998</v>
      </c>
      <c r="AL418" s="28">
        <f t="shared" si="161"/>
        <v>2396569.2700000005</v>
      </c>
      <c r="AM418" s="29">
        <f t="shared" si="162"/>
        <v>0.21229715577695157</v>
      </c>
    </row>
    <row r="419" spans="1:39" ht="192" customHeight="1" x14ac:dyDescent="0.25">
      <c r="A419" s="154">
        <v>416</v>
      </c>
      <c r="B419" s="155">
        <v>127562</v>
      </c>
      <c r="C419" s="155">
        <v>606</v>
      </c>
      <c r="D419" s="156" t="s">
        <v>254</v>
      </c>
      <c r="E419" s="14" t="s">
        <v>1583</v>
      </c>
      <c r="F419" s="157" t="s">
        <v>1628</v>
      </c>
      <c r="G419" s="32" t="s">
        <v>853</v>
      </c>
      <c r="H419" s="156" t="s">
        <v>1629</v>
      </c>
      <c r="I419" s="158" t="s">
        <v>1630</v>
      </c>
      <c r="J419" s="159">
        <v>43608</v>
      </c>
      <c r="K419" s="159">
        <v>44339</v>
      </c>
      <c r="L419" s="31">
        <f t="shared" si="167"/>
        <v>83.983863082660847</v>
      </c>
      <c r="M419" s="160" t="s">
        <v>259</v>
      </c>
      <c r="N419" s="156" t="s">
        <v>228</v>
      </c>
      <c r="O419" s="156" t="s">
        <v>229</v>
      </c>
      <c r="P419" s="161" t="s">
        <v>260</v>
      </c>
      <c r="Q419" s="156" t="s">
        <v>40</v>
      </c>
      <c r="R419" s="59">
        <f t="shared" si="166"/>
        <v>8877559.8000000007</v>
      </c>
      <c r="S419" s="59">
        <v>7158978.4900000002</v>
      </c>
      <c r="T419" s="59">
        <v>1718581.31</v>
      </c>
      <c r="U419" s="59">
        <f t="shared" si="164"/>
        <v>156211.66</v>
      </c>
      <c r="V419" s="59">
        <v>115441.72</v>
      </c>
      <c r="W419" s="59">
        <v>40769.94</v>
      </c>
      <c r="X419" s="59">
        <f t="shared" si="165"/>
        <v>1536782.78</v>
      </c>
      <c r="Y419" s="59">
        <v>1147907.44</v>
      </c>
      <c r="Z419" s="59">
        <v>388875.34</v>
      </c>
      <c r="AA419" s="59">
        <f t="shared" si="168"/>
        <v>0</v>
      </c>
      <c r="AB419" s="59">
        <v>0</v>
      </c>
      <c r="AC419" s="59">
        <v>0</v>
      </c>
      <c r="AD419" s="59">
        <f t="shared" si="169"/>
        <v>10570554.24</v>
      </c>
      <c r="AE419" s="162">
        <v>0</v>
      </c>
      <c r="AF419" s="59">
        <f t="shared" si="170"/>
        <v>10570554.24</v>
      </c>
      <c r="AG419" s="39" t="s">
        <v>69</v>
      </c>
      <c r="AH419" s="163" t="str">
        <f>AH418</f>
        <v>n.a.</v>
      </c>
      <c r="AI419" s="105">
        <f>100000+43931.12+109486.41+2111676.42+175527.94</f>
        <v>2540621.8899999997</v>
      </c>
      <c r="AJ419" s="125">
        <f>12721.6+24511.71</f>
        <v>37233.31</v>
      </c>
      <c r="AK419" s="28">
        <f t="shared" si="160"/>
        <v>6336937.9100000011</v>
      </c>
      <c r="AL419" s="28">
        <f t="shared" si="161"/>
        <v>118978.35</v>
      </c>
      <c r="AM419" s="29">
        <f t="shared" si="162"/>
        <v>0.28618471147893587</v>
      </c>
    </row>
    <row r="420" spans="1:39" ht="192" customHeight="1" x14ac:dyDescent="0.25">
      <c r="A420" s="154">
        <v>417</v>
      </c>
      <c r="B420" s="20">
        <v>116178</v>
      </c>
      <c r="C420" s="20">
        <v>403</v>
      </c>
      <c r="D420" s="20" t="s">
        <v>254</v>
      </c>
      <c r="E420" s="14" t="s">
        <v>1015</v>
      </c>
      <c r="F420" s="32" t="s">
        <v>1631</v>
      </c>
      <c r="G420" s="15" t="s">
        <v>1632</v>
      </c>
      <c r="H420" s="20" t="s">
        <v>132</v>
      </c>
      <c r="I420" s="16" t="s">
        <v>1633</v>
      </c>
      <c r="J420" s="30">
        <v>43640</v>
      </c>
      <c r="K420" s="30">
        <v>44554</v>
      </c>
      <c r="L420" s="31">
        <f t="shared" si="167"/>
        <v>83.983862989767033</v>
      </c>
      <c r="M420" s="32" t="s">
        <v>259</v>
      </c>
      <c r="N420" s="20" t="s">
        <v>228</v>
      </c>
      <c r="O420" s="20" t="s">
        <v>229</v>
      </c>
      <c r="P420" s="19" t="s">
        <v>260</v>
      </c>
      <c r="Q420" s="20" t="s">
        <v>40</v>
      </c>
      <c r="R420" s="2">
        <f t="shared" si="166"/>
        <v>2394035.5999999996</v>
      </c>
      <c r="S420" s="2">
        <v>1930581.13</v>
      </c>
      <c r="T420" s="2">
        <v>463454.47</v>
      </c>
      <c r="U420" s="2">
        <f t="shared" si="164"/>
        <v>0</v>
      </c>
      <c r="V420" s="2">
        <v>0</v>
      </c>
      <c r="W420" s="2">
        <v>0</v>
      </c>
      <c r="X420" s="2">
        <f t="shared" si="165"/>
        <v>456554.4</v>
      </c>
      <c r="Y420" s="2">
        <v>340690.78</v>
      </c>
      <c r="Z420" s="2">
        <v>115863.62</v>
      </c>
      <c r="AA420" s="2"/>
      <c r="AB420" s="2">
        <v>0</v>
      </c>
      <c r="AC420" s="2">
        <v>0</v>
      </c>
      <c r="AD420" s="2">
        <f t="shared" si="169"/>
        <v>2850589.9999999995</v>
      </c>
      <c r="AE420" s="42">
        <v>0</v>
      </c>
      <c r="AF420" s="2">
        <f t="shared" si="170"/>
        <v>2850589.9999999995</v>
      </c>
      <c r="AG420" s="39" t="s">
        <v>69</v>
      </c>
      <c r="AH420" s="34"/>
      <c r="AI420" s="35">
        <v>0</v>
      </c>
      <c r="AJ420" s="36">
        <v>0</v>
      </c>
      <c r="AK420" s="28">
        <f t="shared" si="160"/>
        <v>2394035.5999999996</v>
      </c>
      <c r="AL420" s="28">
        <f t="shared" si="161"/>
        <v>0</v>
      </c>
      <c r="AM420" s="29">
        <f t="shared" si="162"/>
        <v>0</v>
      </c>
    </row>
    <row r="421" spans="1:39" ht="192" customHeight="1" x14ac:dyDescent="0.25">
      <c r="A421" s="154">
        <v>418</v>
      </c>
      <c r="B421" s="20">
        <v>126949</v>
      </c>
      <c r="C421" s="20">
        <v>625</v>
      </c>
      <c r="D421" s="20" t="s">
        <v>840</v>
      </c>
      <c r="E421" s="14" t="s">
        <v>1634</v>
      </c>
      <c r="F421" s="32" t="s">
        <v>1635</v>
      </c>
      <c r="G421" s="15" t="s">
        <v>843</v>
      </c>
      <c r="H421" s="20" t="s">
        <v>1636</v>
      </c>
      <c r="I421" s="15" t="s">
        <v>1637</v>
      </c>
      <c r="J421" s="30">
        <v>43656</v>
      </c>
      <c r="K421" s="30">
        <v>44752</v>
      </c>
      <c r="L421" s="31">
        <f t="shared" si="167"/>
        <v>83.983862837739466</v>
      </c>
      <c r="M421" s="32" t="s">
        <v>259</v>
      </c>
      <c r="N421" s="20" t="s">
        <v>228</v>
      </c>
      <c r="O421" s="20" t="s">
        <v>229</v>
      </c>
      <c r="P421" s="19" t="s">
        <v>260</v>
      </c>
      <c r="Q421" s="20" t="s">
        <v>40</v>
      </c>
      <c r="R421" s="2">
        <f t="shared" si="166"/>
        <v>100678170.02000001</v>
      </c>
      <c r="S421" s="2">
        <v>81188172.530000016</v>
      </c>
      <c r="T421" s="2">
        <v>19489997.489999998</v>
      </c>
      <c r="U421" s="2">
        <f t="shared" si="164"/>
        <v>3857997.5300000003</v>
      </c>
      <c r="V421" s="2">
        <v>2851092.66</v>
      </c>
      <c r="W421" s="2">
        <v>1006904.87</v>
      </c>
      <c r="X421" s="2">
        <f t="shared" si="165"/>
        <v>15341826.41</v>
      </c>
      <c r="Y421" s="2">
        <v>11476231.890000001</v>
      </c>
      <c r="Z421" s="2">
        <v>3865594.52</v>
      </c>
      <c r="AA421" s="2">
        <f t="shared" ref="AA421:AA431" si="171">AB421+AC421</f>
        <v>0</v>
      </c>
      <c r="AB421" s="2">
        <v>0</v>
      </c>
      <c r="AC421" s="2">
        <v>0</v>
      </c>
      <c r="AD421" s="2">
        <f t="shared" si="169"/>
        <v>119877993.96000001</v>
      </c>
      <c r="AE421" s="42">
        <v>93474.39</v>
      </c>
      <c r="AF421" s="2">
        <f t="shared" si="170"/>
        <v>119971468.35000001</v>
      </c>
      <c r="AG421" s="39" t="s">
        <v>69</v>
      </c>
      <c r="AH421" s="34" t="s">
        <v>35</v>
      </c>
      <c r="AI421" s="35">
        <f>6062646.43</f>
        <v>6062646.4299999997</v>
      </c>
      <c r="AJ421" s="36">
        <f>1813.69</f>
        <v>1813.69</v>
      </c>
      <c r="AK421" s="28">
        <f t="shared" si="160"/>
        <v>94615523.590000004</v>
      </c>
      <c r="AL421" s="28">
        <f t="shared" si="161"/>
        <v>3856183.8400000003</v>
      </c>
      <c r="AM421" s="29">
        <f t="shared" si="162"/>
        <v>6.0218083312356965E-2</v>
      </c>
    </row>
    <row r="422" spans="1:39" ht="192" customHeight="1" x14ac:dyDescent="0.25">
      <c r="A422" s="154">
        <v>419</v>
      </c>
      <c r="B422" s="20">
        <v>127610</v>
      </c>
      <c r="C422" s="20">
        <v>583</v>
      </c>
      <c r="D422" s="20" t="s">
        <v>254</v>
      </c>
      <c r="E422" s="14" t="s">
        <v>1583</v>
      </c>
      <c r="F422" s="32" t="s">
        <v>1638</v>
      </c>
      <c r="G422" s="15" t="s">
        <v>1639</v>
      </c>
      <c r="H422" s="32" t="s">
        <v>257</v>
      </c>
      <c r="I422" s="15" t="s">
        <v>1640</v>
      </c>
      <c r="J422" s="30">
        <v>43658</v>
      </c>
      <c r="K422" s="30">
        <v>44389</v>
      </c>
      <c r="L422" s="31">
        <f t="shared" si="167"/>
        <v>83.983862820897855</v>
      </c>
      <c r="M422" s="32" t="s">
        <v>259</v>
      </c>
      <c r="N422" s="20" t="s">
        <v>228</v>
      </c>
      <c r="O422" s="20" t="s">
        <v>229</v>
      </c>
      <c r="P422" s="19" t="s">
        <v>260</v>
      </c>
      <c r="Q422" s="20" t="s">
        <v>40</v>
      </c>
      <c r="R422" s="2">
        <f t="shared" si="166"/>
        <v>8218742.2799999993</v>
      </c>
      <c r="S422" s="2">
        <v>6627699.5899999999</v>
      </c>
      <c r="T422" s="2">
        <v>1591042.69</v>
      </c>
      <c r="U422" s="2">
        <f t="shared" si="164"/>
        <v>1361267.6600000001</v>
      </c>
      <c r="V422" s="2">
        <v>1005988.26</v>
      </c>
      <c r="W422" s="2">
        <v>355279.4</v>
      </c>
      <c r="X422" s="2">
        <f t="shared" si="165"/>
        <v>206087.06</v>
      </c>
      <c r="Y422" s="2">
        <v>163605.79</v>
      </c>
      <c r="Z422" s="2">
        <v>42481.27</v>
      </c>
      <c r="AA422" s="2">
        <f t="shared" si="171"/>
        <v>0</v>
      </c>
      <c r="AB422" s="2">
        <v>0</v>
      </c>
      <c r="AC422" s="2">
        <v>0</v>
      </c>
      <c r="AD422" s="2">
        <f t="shared" si="169"/>
        <v>9786097</v>
      </c>
      <c r="AE422" s="42">
        <v>0</v>
      </c>
      <c r="AF422" s="2">
        <f t="shared" si="170"/>
        <v>9786097</v>
      </c>
      <c r="AG422" s="39" t="s">
        <v>69</v>
      </c>
      <c r="AH422" s="34" t="s">
        <v>35</v>
      </c>
      <c r="AI422" s="35">
        <v>393577.05</v>
      </c>
      <c r="AJ422" s="36">
        <v>65684.38</v>
      </c>
      <c r="AK422" s="28">
        <f t="shared" si="160"/>
        <v>7825165.2299999995</v>
      </c>
      <c r="AL422" s="28">
        <f t="shared" si="161"/>
        <v>1295583.2800000003</v>
      </c>
      <c r="AM422" s="29">
        <f t="shared" si="162"/>
        <v>4.7887746882847873E-2</v>
      </c>
    </row>
    <row r="423" spans="1:39" ht="192" customHeight="1" x14ac:dyDescent="0.25">
      <c r="A423" s="154">
        <v>420</v>
      </c>
      <c r="B423" s="20">
        <v>127961</v>
      </c>
      <c r="C423" s="20">
        <v>609</v>
      </c>
      <c r="D423" s="20" t="s">
        <v>254</v>
      </c>
      <c r="E423" s="14" t="s">
        <v>1583</v>
      </c>
      <c r="F423" s="32" t="s">
        <v>1641</v>
      </c>
      <c r="G423" s="15" t="s">
        <v>858</v>
      </c>
      <c r="H423" s="20" t="s">
        <v>1642</v>
      </c>
      <c r="I423" s="15" t="s">
        <v>1643</v>
      </c>
      <c r="J423" s="30">
        <v>43662</v>
      </c>
      <c r="K423" s="30">
        <v>44181</v>
      </c>
      <c r="L423" s="31">
        <f t="shared" si="167"/>
        <v>83.659542071333206</v>
      </c>
      <c r="M423" s="32" t="s">
        <v>259</v>
      </c>
      <c r="N423" s="20" t="s">
        <v>228</v>
      </c>
      <c r="O423" s="20" t="s">
        <v>229</v>
      </c>
      <c r="P423" s="19" t="s">
        <v>260</v>
      </c>
      <c r="Q423" s="20" t="s">
        <v>40</v>
      </c>
      <c r="R423" s="2">
        <f t="shared" si="166"/>
        <v>19839980.370000001</v>
      </c>
      <c r="S423" s="2">
        <v>15999215.59</v>
      </c>
      <c r="T423" s="2">
        <v>3840764.78</v>
      </c>
      <c r="U423" s="2">
        <f t="shared" si="164"/>
        <v>1684738.41</v>
      </c>
      <c r="V423" s="2">
        <v>1250220.19</v>
      </c>
      <c r="W423" s="2">
        <v>434518.22</v>
      </c>
      <c r="X423" s="2">
        <f t="shared" si="165"/>
        <v>2098843.62</v>
      </c>
      <c r="Y423" s="2">
        <v>1573170.69</v>
      </c>
      <c r="Z423" s="2">
        <v>525672.93000000005</v>
      </c>
      <c r="AA423" s="2">
        <f t="shared" si="171"/>
        <v>91581</v>
      </c>
      <c r="AB423" s="2">
        <v>72969.23</v>
      </c>
      <c r="AC423" s="2">
        <v>18611.77</v>
      </c>
      <c r="AD423" s="2">
        <f t="shared" si="169"/>
        <v>23715143.400000002</v>
      </c>
      <c r="AE423" s="42">
        <v>0</v>
      </c>
      <c r="AF423" s="2">
        <f t="shared" si="170"/>
        <v>23715143.400000002</v>
      </c>
      <c r="AG423" s="39" t="s">
        <v>69</v>
      </c>
      <c r="AH423" s="34" t="s">
        <v>1644</v>
      </c>
      <c r="AI423" s="35">
        <f>580000+1614162.38</f>
        <v>2194162.38</v>
      </c>
      <c r="AJ423" s="36">
        <f>331514.87</f>
        <v>331514.87</v>
      </c>
      <c r="AK423" s="28">
        <f t="shared" si="160"/>
        <v>17645817.990000002</v>
      </c>
      <c r="AL423" s="28">
        <f t="shared" si="161"/>
        <v>1353223.54</v>
      </c>
      <c r="AM423" s="29">
        <f t="shared" si="162"/>
        <v>0.11059297131754167</v>
      </c>
    </row>
    <row r="424" spans="1:39" ht="192" customHeight="1" x14ac:dyDescent="0.25">
      <c r="A424" s="154">
        <v>421</v>
      </c>
      <c r="B424" s="20">
        <v>129745</v>
      </c>
      <c r="C424" s="20">
        <v>745</v>
      </c>
      <c r="D424" s="20" t="s">
        <v>999</v>
      </c>
      <c r="E424" s="14" t="s">
        <v>1645</v>
      </c>
      <c r="F424" s="32" t="s">
        <v>1646</v>
      </c>
      <c r="G424" s="15" t="s">
        <v>1647</v>
      </c>
      <c r="H424" s="20" t="s">
        <v>35</v>
      </c>
      <c r="I424" s="15" t="s">
        <v>1648</v>
      </c>
      <c r="J424" s="30">
        <v>43663</v>
      </c>
      <c r="K424" s="30">
        <v>44759</v>
      </c>
      <c r="L424" s="31">
        <f t="shared" si="167"/>
        <v>83.983862972999745</v>
      </c>
      <c r="M424" s="32" t="s">
        <v>259</v>
      </c>
      <c r="N424" s="20" t="s">
        <v>228</v>
      </c>
      <c r="O424" s="20" t="s">
        <v>229</v>
      </c>
      <c r="P424" s="19" t="s">
        <v>260</v>
      </c>
      <c r="Q424" s="20" t="s">
        <v>40</v>
      </c>
      <c r="R424" s="2">
        <f t="shared" si="166"/>
        <v>20432953.949999996</v>
      </c>
      <c r="S424" s="2">
        <v>16477397.119999995</v>
      </c>
      <c r="T424" s="2">
        <v>3955556.83</v>
      </c>
      <c r="U424" s="2">
        <f t="shared" si="164"/>
        <v>0</v>
      </c>
      <c r="V424" s="2">
        <v>0</v>
      </c>
      <c r="W424" s="2">
        <v>0</v>
      </c>
      <c r="X424" s="2">
        <f t="shared" si="165"/>
        <v>3896665.1300000004</v>
      </c>
      <c r="Y424" s="2">
        <v>2907775.95</v>
      </c>
      <c r="Z424" s="2">
        <v>988889.18</v>
      </c>
      <c r="AA424" s="2">
        <f t="shared" si="171"/>
        <v>0</v>
      </c>
      <c r="AB424" s="2">
        <v>0</v>
      </c>
      <c r="AC424" s="2">
        <v>0</v>
      </c>
      <c r="AD424" s="2">
        <f t="shared" si="169"/>
        <v>24329619.079999994</v>
      </c>
      <c r="AE424" s="42">
        <v>1520052.49</v>
      </c>
      <c r="AF424" s="2">
        <f t="shared" si="170"/>
        <v>25849671.569999993</v>
      </c>
      <c r="AG424" s="39" t="s">
        <v>69</v>
      </c>
      <c r="AH424" s="34" t="s">
        <v>990</v>
      </c>
      <c r="AI424" s="35">
        <f>199741.38+44946.79</f>
        <v>244688.17</v>
      </c>
      <c r="AJ424" s="36">
        <v>0</v>
      </c>
      <c r="AK424" s="28">
        <f t="shared" si="160"/>
        <v>20188265.779999994</v>
      </c>
      <c r="AL424" s="28">
        <f t="shared" si="161"/>
        <v>0</v>
      </c>
      <c r="AM424" s="29">
        <f t="shared" si="162"/>
        <v>1.1975173565151605E-2</v>
      </c>
    </row>
    <row r="425" spans="1:39" ht="192" customHeight="1" x14ac:dyDescent="0.25">
      <c r="A425" s="154">
        <v>422</v>
      </c>
      <c r="B425" s="20">
        <v>127604</v>
      </c>
      <c r="C425" s="20">
        <v>587</v>
      </c>
      <c r="D425" s="20" t="s">
        <v>1649</v>
      </c>
      <c r="E425" s="14" t="s">
        <v>1583</v>
      </c>
      <c r="F425" s="32" t="s">
        <v>1650</v>
      </c>
      <c r="G425" s="152" t="s">
        <v>1651</v>
      </c>
      <c r="H425" s="20" t="s">
        <v>35</v>
      </c>
      <c r="I425" s="15" t="s">
        <v>1652</v>
      </c>
      <c r="J425" s="30">
        <v>43663</v>
      </c>
      <c r="K425" s="30">
        <v>44578</v>
      </c>
      <c r="L425" s="31">
        <f t="shared" si="167"/>
        <v>83.983862842122022</v>
      </c>
      <c r="M425" s="32" t="s">
        <v>259</v>
      </c>
      <c r="N425" s="20" t="s">
        <v>228</v>
      </c>
      <c r="O425" s="20" t="s">
        <v>229</v>
      </c>
      <c r="P425" s="19" t="s">
        <v>260</v>
      </c>
      <c r="Q425" s="20" t="s">
        <v>40</v>
      </c>
      <c r="R425" s="2">
        <f t="shared" si="166"/>
        <v>9227267.7899999991</v>
      </c>
      <c r="S425" s="2">
        <v>7440987.5499999998</v>
      </c>
      <c r="T425" s="2">
        <v>1786280.24</v>
      </c>
      <c r="U425" s="2">
        <f t="shared" si="164"/>
        <v>1539946.4400000002</v>
      </c>
      <c r="V425" s="2">
        <v>1138033.3600000001</v>
      </c>
      <c r="W425" s="2">
        <v>401913.08</v>
      </c>
      <c r="X425" s="2">
        <f t="shared" si="165"/>
        <v>219739.06999999998</v>
      </c>
      <c r="Y425" s="2">
        <v>175082.08</v>
      </c>
      <c r="Z425" s="2">
        <v>44656.99</v>
      </c>
      <c r="AA425" s="2">
        <f t="shared" si="171"/>
        <v>0</v>
      </c>
      <c r="AB425" s="2">
        <v>0</v>
      </c>
      <c r="AC425" s="2">
        <v>0</v>
      </c>
      <c r="AD425" s="2">
        <f t="shared" si="169"/>
        <v>10986953.299999999</v>
      </c>
      <c r="AE425" s="42">
        <v>0</v>
      </c>
      <c r="AF425" s="2">
        <f t="shared" si="170"/>
        <v>10986953.299999999</v>
      </c>
      <c r="AG425" s="39" t="s">
        <v>69</v>
      </c>
      <c r="AH425" s="34" t="s">
        <v>35</v>
      </c>
      <c r="AI425" s="35">
        <f>511168.66+95945.68</f>
        <v>607114.34</v>
      </c>
      <c r="AJ425" s="36">
        <f>85309.37+16012.46</f>
        <v>101321.82999999999</v>
      </c>
      <c r="AK425" s="28">
        <f t="shared" si="160"/>
        <v>8620153.4499999993</v>
      </c>
      <c r="AL425" s="28">
        <f t="shared" si="161"/>
        <v>1438624.61</v>
      </c>
      <c r="AM425" s="29">
        <f t="shared" si="162"/>
        <v>6.5795677964170157E-2</v>
      </c>
    </row>
    <row r="426" spans="1:39" ht="192" customHeight="1" x14ac:dyDescent="0.25">
      <c r="A426" s="154">
        <v>423</v>
      </c>
      <c r="B426" s="20">
        <v>127638</v>
      </c>
      <c r="C426" s="20">
        <v>607</v>
      </c>
      <c r="D426" s="20" t="s">
        <v>1649</v>
      </c>
      <c r="E426" s="14" t="s">
        <v>1583</v>
      </c>
      <c r="F426" s="32" t="s">
        <v>1653</v>
      </c>
      <c r="G426" s="63" t="s">
        <v>1654</v>
      </c>
      <c r="H426" s="20" t="s">
        <v>1655</v>
      </c>
      <c r="I426" s="15" t="s">
        <v>1656</v>
      </c>
      <c r="J426" s="30">
        <v>43670</v>
      </c>
      <c r="K426" s="30">
        <v>44766</v>
      </c>
      <c r="L426" s="31">
        <f t="shared" si="167"/>
        <v>83.983862864065983</v>
      </c>
      <c r="M426" s="32" t="s">
        <v>259</v>
      </c>
      <c r="N426" s="20" t="s">
        <v>228</v>
      </c>
      <c r="O426" s="20" t="s">
        <v>229</v>
      </c>
      <c r="P426" s="19" t="s">
        <v>260</v>
      </c>
      <c r="Q426" s="20" t="s">
        <v>40</v>
      </c>
      <c r="R426" s="2">
        <f t="shared" si="166"/>
        <v>17926249.02</v>
      </c>
      <c r="S426" s="2">
        <v>14455958</v>
      </c>
      <c r="T426" s="2">
        <v>3470291.02</v>
      </c>
      <c r="U426" s="2">
        <f t="shared" si="164"/>
        <v>1799975.77</v>
      </c>
      <c r="V426" s="2">
        <v>1330197.26</v>
      </c>
      <c r="W426" s="2">
        <v>469778.51</v>
      </c>
      <c r="X426" s="2">
        <f t="shared" si="165"/>
        <v>1618648.39</v>
      </c>
      <c r="Y426" s="2">
        <v>1220854.1599999999</v>
      </c>
      <c r="Z426" s="2">
        <v>397794.23</v>
      </c>
      <c r="AA426" s="2">
        <f t="shared" si="171"/>
        <v>0</v>
      </c>
      <c r="AB426" s="2">
        <v>0</v>
      </c>
      <c r="AC426" s="2">
        <v>0</v>
      </c>
      <c r="AD426" s="2">
        <f t="shared" si="169"/>
        <v>21344873.18</v>
      </c>
      <c r="AE426" s="42">
        <v>0</v>
      </c>
      <c r="AF426" s="2">
        <f t="shared" si="170"/>
        <v>21344873.18</v>
      </c>
      <c r="AG426" s="39" t="s">
        <v>69</v>
      </c>
      <c r="AH426" s="34" t="s">
        <v>35</v>
      </c>
      <c r="AI426" s="35">
        <v>1253535.0200000003</v>
      </c>
      <c r="AJ426" s="36">
        <f>16365.18+65426.77</f>
        <v>81791.95</v>
      </c>
      <c r="AK426" s="28">
        <f t="shared" si="160"/>
        <v>16672714</v>
      </c>
      <c r="AL426" s="28">
        <f t="shared" si="161"/>
        <v>1718183.82</v>
      </c>
      <c r="AM426" s="29">
        <f t="shared" si="162"/>
        <v>6.9927346128097034E-2</v>
      </c>
    </row>
    <row r="427" spans="1:39" ht="192" customHeight="1" x14ac:dyDescent="0.25">
      <c r="A427" s="154">
        <v>424</v>
      </c>
      <c r="B427" s="20">
        <v>126229</v>
      </c>
      <c r="C427" s="20">
        <v>639</v>
      </c>
      <c r="D427" s="20" t="s">
        <v>861</v>
      </c>
      <c r="E427" s="14" t="s">
        <v>1657</v>
      </c>
      <c r="F427" s="32" t="s">
        <v>1658</v>
      </c>
      <c r="G427" s="63" t="s">
        <v>1286</v>
      </c>
      <c r="H427" s="20" t="s">
        <v>1659</v>
      </c>
      <c r="I427" s="15" t="s">
        <v>1660</v>
      </c>
      <c r="J427" s="30">
        <v>43670</v>
      </c>
      <c r="K427" s="30">
        <v>44401</v>
      </c>
      <c r="L427" s="31">
        <f t="shared" si="167"/>
        <v>83.98386251323501</v>
      </c>
      <c r="M427" s="32" t="s">
        <v>259</v>
      </c>
      <c r="N427" s="20" t="s">
        <v>228</v>
      </c>
      <c r="O427" s="20" t="s">
        <v>229</v>
      </c>
      <c r="P427" s="19" t="s">
        <v>260</v>
      </c>
      <c r="Q427" s="20" t="s">
        <v>40</v>
      </c>
      <c r="R427" s="2">
        <f t="shared" si="166"/>
        <v>4825816.88</v>
      </c>
      <c r="S427" s="2">
        <v>3891600.89</v>
      </c>
      <c r="T427" s="2">
        <v>934215.99</v>
      </c>
      <c r="U427" s="2">
        <f t="shared" si="164"/>
        <v>0</v>
      </c>
      <c r="V427" s="2">
        <v>0</v>
      </c>
      <c r="W427" s="2">
        <v>0</v>
      </c>
      <c r="X427" s="2">
        <f t="shared" si="165"/>
        <v>920307.12</v>
      </c>
      <c r="Y427" s="2">
        <v>686753.08</v>
      </c>
      <c r="Z427" s="2">
        <v>233554.04</v>
      </c>
      <c r="AA427" s="2">
        <f t="shared" si="171"/>
        <v>0</v>
      </c>
      <c r="AB427" s="2">
        <v>0</v>
      </c>
      <c r="AC427" s="2">
        <v>0</v>
      </c>
      <c r="AD427" s="2">
        <f t="shared" si="169"/>
        <v>5746124</v>
      </c>
      <c r="AE427" s="42">
        <v>0</v>
      </c>
      <c r="AF427" s="42">
        <f t="shared" si="170"/>
        <v>5746124</v>
      </c>
      <c r="AG427" s="39" t="s">
        <v>69</v>
      </c>
      <c r="AH427" s="34" t="s">
        <v>35</v>
      </c>
      <c r="AI427" s="164">
        <f>72522.46</f>
        <v>72522.460000000006</v>
      </c>
      <c r="AJ427" s="165">
        <v>0</v>
      </c>
      <c r="AK427" s="28">
        <f t="shared" si="160"/>
        <v>4753294.42</v>
      </c>
      <c r="AL427" s="28">
        <f t="shared" si="161"/>
        <v>0</v>
      </c>
      <c r="AM427" s="29">
        <f t="shared" si="162"/>
        <v>1.5028017391327126E-2</v>
      </c>
    </row>
    <row r="428" spans="1:39" ht="192" customHeight="1" x14ac:dyDescent="0.25">
      <c r="A428" s="154">
        <v>425</v>
      </c>
      <c r="B428" s="20">
        <v>127545</v>
      </c>
      <c r="C428" s="20">
        <v>613</v>
      </c>
      <c r="D428" s="20" t="s">
        <v>254</v>
      </c>
      <c r="E428" s="14" t="s">
        <v>1583</v>
      </c>
      <c r="F428" s="32" t="s">
        <v>1661</v>
      </c>
      <c r="G428" s="63" t="s">
        <v>952</v>
      </c>
      <c r="H428" s="20" t="s">
        <v>1662</v>
      </c>
      <c r="I428" s="15" t="s">
        <v>1663</v>
      </c>
      <c r="J428" s="30">
        <v>43677</v>
      </c>
      <c r="K428" s="30">
        <v>44773</v>
      </c>
      <c r="L428" s="31">
        <f t="shared" si="167"/>
        <v>83.475297132946864</v>
      </c>
      <c r="M428" s="32" t="s">
        <v>259</v>
      </c>
      <c r="N428" s="20" t="s">
        <v>228</v>
      </c>
      <c r="O428" s="20" t="s">
        <v>229</v>
      </c>
      <c r="P428" s="19" t="s">
        <v>260</v>
      </c>
      <c r="Q428" s="20" t="s">
        <v>40</v>
      </c>
      <c r="R428" s="2">
        <f t="shared" si="166"/>
        <v>20868817.48</v>
      </c>
      <c r="S428" s="2">
        <v>16828883.140000001</v>
      </c>
      <c r="T428" s="2">
        <v>4039934.34</v>
      </c>
      <c r="U428" s="2">
        <f t="shared" si="164"/>
        <v>1188078.3899999999</v>
      </c>
      <c r="V428" s="2">
        <v>886569.82</v>
      </c>
      <c r="W428" s="2">
        <v>301508.57</v>
      </c>
      <c r="X428" s="2">
        <f t="shared" si="165"/>
        <v>2791708.05</v>
      </c>
      <c r="Y428" s="2">
        <v>2083232.98</v>
      </c>
      <c r="Z428" s="2">
        <v>708475.07</v>
      </c>
      <c r="AA428" s="2">
        <f t="shared" si="171"/>
        <v>151387.93</v>
      </c>
      <c r="AB428" s="2">
        <v>120621.75999999999</v>
      </c>
      <c r="AC428" s="2">
        <v>30766.17</v>
      </c>
      <c r="AD428" s="2">
        <f t="shared" si="169"/>
        <v>24999991.850000001</v>
      </c>
      <c r="AE428" s="42">
        <v>0</v>
      </c>
      <c r="AF428" s="42">
        <f t="shared" si="170"/>
        <v>24999991.850000001</v>
      </c>
      <c r="AG428" s="39" t="s">
        <v>69</v>
      </c>
      <c r="AH428" s="34" t="s">
        <v>35</v>
      </c>
      <c r="AI428" s="35">
        <v>2441026.11</v>
      </c>
      <c r="AJ428" s="36">
        <f>75306.49+85584.09</f>
        <v>160890.58000000002</v>
      </c>
      <c r="AK428" s="28">
        <f t="shared" si="160"/>
        <v>18427791.370000001</v>
      </c>
      <c r="AL428" s="28">
        <f t="shared" si="161"/>
        <v>1027187.8099999998</v>
      </c>
      <c r="AM428" s="29">
        <f t="shared" si="162"/>
        <v>0.11697002536628634</v>
      </c>
    </row>
    <row r="429" spans="1:39" ht="192" customHeight="1" x14ac:dyDescent="0.25">
      <c r="A429" s="154">
        <v>426</v>
      </c>
      <c r="B429" s="37">
        <v>127380</v>
      </c>
      <c r="C429" s="37">
        <v>577</v>
      </c>
      <c r="D429" s="20" t="s">
        <v>254</v>
      </c>
      <c r="E429" s="14" t="s">
        <v>1583</v>
      </c>
      <c r="F429" s="67" t="s">
        <v>1664</v>
      </c>
      <c r="G429" s="32" t="s">
        <v>876</v>
      </c>
      <c r="H429" s="20" t="s">
        <v>35</v>
      </c>
      <c r="I429" s="15" t="s">
        <v>1665</v>
      </c>
      <c r="J429" s="30">
        <v>43679</v>
      </c>
      <c r="K429" s="30">
        <v>44594</v>
      </c>
      <c r="L429" s="31">
        <f t="shared" si="167"/>
        <v>83.983862975940568</v>
      </c>
      <c r="M429" s="32" t="s">
        <v>259</v>
      </c>
      <c r="N429" s="20" t="s">
        <v>228</v>
      </c>
      <c r="O429" s="20" t="s">
        <v>229</v>
      </c>
      <c r="P429" s="19" t="s">
        <v>260</v>
      </c>
      <c r="Q429" s="20" t="s">
        <v>40</v>
      </c>
      <c r="R429" s="2">
        <f t="shared" si="166"/>
        <v>7180528.9100000001</v>
      </c>
      <c r="S429" s="2">
        <v>5790469.9400000004</v>
      </c>
      <c r="T429" s="2">
        <v>1390058.97</v>
      </c>
      <c r="U429" s="2">
        <f t="shared" si="164"/>
        <v>0</v>
      </c>
      <c r="V429" s="2">
        <v>0</v>
      </c>
      <c r="W429" s="2">
        <v>0</v>
      </c>
      <c r="X429" s="2">
        <f t="shared" si="165"/>
        <v>1369362.29</v>
      </c>
      <c r="Y429" s="2">
        <v>1021847.83</v>
      </c>
      <c r="Z429" s="2">
        <v>347514.46</v>
      </c>
      <c r="AA429" s="2">
        <f t="shared" si="171"/>
        <v>0</v>
      </c>
      <c r="AB429" s="2">
        <v>0</v>
      </c>
      <c r="AC429" s="2">
        <v>0</v>
      </c>
      <c r="AD429" s="2">
        <f t="shared" si="169"/>
        <v>8549891.1999999993</v>
      </c>
      <c r="AE429" s="42">
        <v>0</v>
      </c>
      <c r="AF429" s="42">
        <f t="shared" si="170"/>
        <v>8549891.1999999993</v>
      </c>
      <c r="AG429" s="39" t="s">
        <v>69</v>
      </c>
      <c r="AH429" s="34" t="s">
        <v>35</v>
      </c>
      <c r="AI429" s="166">
        <v>763188.96</v>
      </c>
      <c r="AJ429" s="167">
        <v>0</v>
      </c>
      <c r="AK429" s="28">
        <f t="shared" si="160"/>
        <v>6417339.9500000002</v>
      </c>
      <c r="AL429" s="28">
        <f t="shared" si="161"/>
        <v>0</v>
      </c>
      <c r="AM429" s="29">
        <f t="shared" si="162"/>
        <v>0.10628589753843076</v>
      </c>
    </row>
    <row r="430" spans="1:39" ht="192" customHeight="1" x14ac:dyDescent="0.25">
      <c r="A430" s="154">
        <v>427</v>
      </c>
      <c r="B430" s="37">
        <v>127401</v>
      </c>
      <c r="C430" s="37">
        <v>599</v>
      </c>
      <c r="D430" s="65" t="s">
        <v>254</v>
      </c>
      <c r="E430" s="14" t="s">
        <v>1583</v>
      </c>
      <c r="F430" s="67" t="s">
        <v>1666</v>
      </c>
      <c r="G430" s="32" t="s">
        <v>257</v>
      </c>
      <c r="H430" s="20" t="s">
        <v>35</v>
      </c>
      <c r="I430" s="15" t="s">
        <v>1667</v>
      </c>
      <c r="J430" s="30">
        <v>43677</v>
      </c>
      <c r="K430" s="30" t="s">
        <v>1668</v>
      </c>
      <c r="L430" s="31">
        <f t="shared" si="167"/>
        <v>83.983862769687562</v>
      </c>
      <c r="M430" s="32" t="s">
        <v>259</v>
      </c>
      <c r="N430" s="20" t="s">
        <v>228</v>
      </c>
      <c r="O430" s="20" t="s">
        <v>229</v>
      </c>
      <c r="P430" s="19" t="s">
        <v>260</v>
      </c>
      <c r="Q430" s="20" t="s">
        <v>40</v>
      </c>
      <c r="R430" s="2">
        <f t="shared" si="166"/>
        <v>3643193.6799999992</v>
      </c>
      <c r="S430" s="2">
        <v>2937918.2999999993</v>
      </c>
      <c r="T430" s="2">
        <v>705275.38</v>
      </c>
      <c r="U430" s="2">
        <f t="shared" si="164"/>
        <v>0</v>
      </c>
      <c r="V430" s="2">
        <v>0</v>
      </c>
      <c r="W430" s="2">
        <v>0</v>
      </c>
      <c r="X430" s="2">
        <f t="shared" si="165"/>
        <v>694775.02</v>
      </c>
      <c r="Y430" s="2">
        <v>518456.16</v>
      </c>
      <c r="Z430" s="2">
        <v>176318.86</v>
      </c>
      <c r="AA430" s="2">
        <f t="shared" si="171"/>
        <v>0</v>
      </c>
      <c r="AB430" s="2">
        <v>0</v>
      </c>
      <c r="AC430" s="2">
        <v>0</v>
      </c>
      <c r="AD430" s="2">
        <f t="shared" si="169"/>
        <v>4337968.6999999993</v>
      </c>
      <c r="AE430" s="42">
        <v>0</v>
      </c>
      <c r="AF430" s="42">
        <f t="shared" si="170"/>
        <v>4337968.6999999993</v>
      </c>
      <c r="AG430" s="39" t="s">
        <v>69</v>
      </c>
      <c r="AH430" s="34" t="s">
        <v>35</v>
      </c>
      <c r="AI430" s="166">
        <v>0</v>
      </c>
      <c r="AJ430" s="167">
        <v>0</v>
      </c>
      <c r="AK430" s="28">
        <f t="shared" si="160"/>
        <v>3643193.6799999992</v>
      </c>
      <c r="AL430" s="28">
        <f t="shared" si="161"/>
        <v>0</v>
      </c>
      <c r="AM430" s="29">
        <f t="shared" si="162"/>
        <v>0</v>
      </c>
    </row>
    <row r="431" spans="1:39" ht="192" customHeight="1" x14ac:dyDescent="0.25">
      <c r="A431" s="154">
        <v>428</v>
      </c>
      <c r="B431" s="37">
        <v>126656</v>
      </c>
      <c r="C431" s="37">
        <v>588</v>
      </c>
      <c r="D431" s="20" t="s">
        <v>254</v>
      </c>
      <c r="E431" s="14" t="s">
        <v>1583</v>
      </c>
      <c r="F431" s="67" t="s">
        <v>1669</v>
      </c>
      <c r="G431" s="32" t="s">
        <v>930</v>
      </c>
      <c r="H431" s="20" t="s">
        <v>1670</v>
      </c>
      <c r="I431" s="15" t="s">
        <v>1671</v>
      </c>
      <c r="J431" s="30">
        <v>43679</v>
      </c>
      <c r="K431" s="30">
        <v>44410</v>
      </c>
      <c r="L431" s="31">
        <f t="shared" si="167"/>
        <v>83.983862966362523</v>
      </c>
      <c r="M431" s="32" t="s">
        <v>259</v>
      </c>
      <c r="N431" s="20" t="s">
        <v>228</v>
      </c>
      <c r="O431" s="20" t="s">
        <v>229</v>
      </c>
      <c r="P431" s="19" t="s">
        <v>260</v>
      </c>
      <c r="Q431" s="20" t="s">
        <v>40</v>
      </c>
      <c r="R431" s="2">
        <f t="shared" si="166"/>
        <v>15554651.260000002</v>
      </c>
      <c r="S431" s="2">
        <v>12543471.050000001</v>
      </c>
      <c r="T431" s="2">
        <v>3011180.21</v>
      </c>
      <c r="U431" s="2">
        <f t="shared" si="164"/>
        <v>350403.42000000004</v>
      </c>
      <c r="V431" s="2">
        <v>258951.04000000001</v>
      </c>
      <c r="W431" s="2">
        <v>91452.38</v>
      </c>
      <c r="X431" s="2">
        <f t="shared" si="165"/>
        <v>2615945.3199999998</v>
      </c>
      <c r="Y431" s="2">
        <v>1954602.64</v>
      </c>
      <c r="Z431" s="2">
        <v>661342.68000000005</v>
      </c>
      <c r="AA431" s="2">
        <f t="shared" si="171"/>
        <v>0</v>
      </c>
      <c r="AB431" s="2">
        <v>0</v>
      </c>
      <c r="AC431" s="2">
        <v>0</v>
      </c>
      <c r="AD431" s="2">
        <f t="shared" si="169"/>
        <v>18521000</v>
      </c>
      <c r="AE431" s="42">
        <v>0</v>
      </c>
      <c r="AF431" s="42">
        <f t="shared" si="170"/>
        <v>18521000</v>
      </c>
      <c r="AG431" s="39" t="s">
        <v>69</v>
      </c>
      <c r="AH431" s="168"/>
      <c r="AI431" s="169">
        <v>2878878.12</v>
      </c>
      <c r="AJ431" s="170">
        <v>23069.09</v>
      </c>
      <c r="AK431" s="28">
        <f t="shared" si="160"/>
        <v>12675773.140000001</v>
      </c>
      <c r="AL431" s="28">
        <f t="shared" si="161"/>
        <v>327334.33</v>
      </c>
      <c r="AM431" s="29">
        <f t="shared" si="162"/>
        <v>0.18508149568118312</v>
      </c>
    </row>
    <row r="432" spans="1:39" ht="192" customHeight="1" x14ac:dyDescent="0.25">
      <c r="A432" s="154">
        <v>429</v>
      </c>
      <c r="B432" s="37">
        <v>127529</v>
      </c>
      <c r="C432" s="37">
        <v>618</v>
      </c>
      <c r="D432" s="20" t="s">
        <v>254</v>
      </c>
      <c r="E432" s="14" t="s">
        <v>1583</v>
      </c>
      <c r="F432" s="67" t="s">
        <v>1672</v>
      </c>
      <c r="G432" s="32" t="s">
        <v>876</v>
      </c>
      <c r="H432" s="20" t="s">
        <v>35</v>
      </c>
      <c r="I432" s="15" t="s">
        <v>1673</v>
      </c>
      <c r="J432" s="30">
        <v>43683</v>
      </c>
      <c r="K432" s="30">
        <v>44779</v>
      </c>
      <c r="L432" s="31">
        <f t="shared" si="167"/>
        <v>83.983863227150081</v>
      </c>
      <c r="M432" s="32" t="s">
        <v>259</v>
      </c>
      <c r="N432" s="20" t="s">
        <v>228</v>
      </c>
      <c r="O432" s="20" t="s">
        <v>229</v>
      </c>
      <c r="P432" s="19" t="s">
        <v>260</v>
      </c>
      <c r="Q432" s="20" t="s">
        <v>40</v>
      </c>
      <c r="R432" s="2">
        <v>12609023.520000001</v>
      </c>
      <c r="S432" s="2">
        <v>10168078.920000002</v>
      </c>
      <c r="T432" s="2">
        <v>2440944.5999999996</v>
      </c>
      <c r="U432" s="2">
        <v>0</v>
      </c>
      <c r="V432" s="2">
        <v>0</v>
      </c>
      <c r="W432" s="2">
        <v>0</v>
      </c>
      <c r="X432" s="2">
        <v>2404602.9499999997</v>
      </c>
      <c r="Y432" s="2">
        <v>1794366.795993312</v>
      </c>
      <c r="Z432" s="2">
        <v>610236.15400668769</v>
      </c>
      <c r="AA432" s="2">
        <v>0</v>
      </c>
      <c r="AB432" s="2">
        <v>0</v>
      </c>
      <c r="AC432" s="2">
        <v>0</v>
      </c>
      <c r="AD432" s="2">
        <v>15013626.470000001</v>
      </c>
      <c r="AE432" s="42">
        <v>0</v>
      </c>
      <c r="AF432" s="42">
        <v>15013626.470000001</v>
      </c>
      <c r="AG432" s="39" t="s">
        <v>69</v>
      </c>
      <c r="AH432" s="168"/>
      <c r="AI432" s="166">
        <f>1222955.81</f>
        <v>1222955.81</v>
      </c>
      <c r="AJ432" s="167">
        <v>0</v>
      </c>
      <c r="AK432" s="28">
        <f t="shared" si="160"/>
        <v>11386067.710000001</v>
      </c>
      <c r="AL432" s="28">
        <f t="shared" si="161"/>
        <v>0</v>
      </c>
      <c r="AM432" s="29">
        <f t="shared" si="162"/>
        <v>9.6990524925279847E-2</v>
      </c>
    </row>
    <row r="433" spans="1:39" ht="192" customHeight="1" x14ac:dyDescent="0.25">
      <c r="A433" s="154">
        <v>430</v>
      </c>
      <c r="B433" s="37">
        <v>127558</v>
      </c>
      <c r="C433" s="37">
        <v>617</v>
      </c>
      <c r="D433" s="20" t="s">
        <v>254</v>
      </c>
      <c r="E433" s="14" t="s">
        <v>1583</v>
      </c>
      <c r="F433" s="67" t="s">
        <v>1674</v>
      </c>
      <c r="G433" s="63" t="s">
        <v>1675</v>
      </c>
      <c r="H433" s="20" t="s">
        <v>1676</v>
      </c>
      <c r="I433" s="15" t="s">
        <v>1677</v>
      </c>
      <c r="J433" s="30">
        <v>43690</v>
      </c>
      <c r="K433" s="30">
        <v>44605</v>
      </c>
      <c r="L433" s="31">
        <f t="shared" si="167"/>
        <v>83.983863794320328</v>
      </c>
      <c r="M433" s="32" t="s">
        <v>259</v>
      </c>
      <c r="N433" s="20" t="s">
        <v>228</v>
      </c>
      <c r="O433" s="20" t="s">
        <v>229</v>
      </c>
      <c r="P433" s="19" t="s">
        <v>260</v>
      </c>
      <c r="Q433" s="20" t="s">
        <v>40</v>
      </c>
      <c r="R433" s="2">
        <f t="shared" ref="R433:R481" si="172">S433+T433</f>
        <v>6667503.0499999998</v>
      </c>
      <c r="S433" s="2">
        <v>5376760.2599999998</v>
      </c>
      <c r="T433" s="2">
        <v>1290742.79</v>
      </c>
      <c r="U433" s="2">
        <f t="shared" ref="U433:U481" si="173">V433+W433</f>
        <v>810245.43</v>
      </c>
      <c r="V433" s="2">
        <v>598778.27</v>
      </c>
      <c r="W433" s="2">
        <v>211467.16</v>
      </c>
      <c r="X433" s="2">
        <f t="shared" ref="X433:X481" si="174">Y433+Z433</f>
        <v>461280.22</v>
      </c>
      <c r="Y433" s="2">
        <v>350061.75</v>
      </c>
      <c r="Z433" s="2">
        <v>111218.47</v>
      </c>
      <c r="AA433" s="2">
        <f t="shared" ref="AA433:AA468" si="175">AB433+AC433</f>
        <v>0</v>
      </c>
      <c r="AB433" s="2">
        <v>0</v>
      </c>
      <c r="AC433" s="2">
        <v>0</v>
      </c>
      <c r="AD433" s="2">
        <f t="shared" ref="AD433:AD481" si="176">R433+U433+X433+AA433</f>
        <v>7939028.6999999993</v>
      </c>
      <c r="AE433" s="42">
        <v>0</v>
      </c>
      <c r="AF433" s="42">
        <f t="shared" ref="AF433:AF481" si="177">AD433+AE433</f>
        <v>7939028.6999999993</v>
      </c>
      <c r="AG433" s="39" t="s">
        <v>69</v>
      </c>
      <c r="AH433" s="168" t="s">
        <v>1678</v>
      </c>
      <c r="AI433" s="35">
        <f>188227.39</f>
        <v>188227.39</v>
      </c>
      <c r="AJ433" s="36">
        <f>3394.43</f>
        <v>3394.43</v>
      </c>
      <c r="AK433" s="28">
        <f t="shared" si="160"/>
        <v>6479275.6600000001</v>
      </c>
      <c r="AL433" s="28">
        <f t="shared" si="161"/>
        <v>806851</v>
      </c>
      <c r="AM433" s="29">
        <f t="shared" si="162"/>
        <v>2.8230566763670251E-2</v>
      </c>
    </row>
    <row r="434" spans="1:39" ht="192" customHeight="1" x14ac:dyDescent="0.25">
      <c r="A434" s="154">
        <v>431</v>
      </c>
      <c r="B434" s="37">
        <v>125764</v>
      </c>
      <c r="C434" s="37">
        <v>586</v>
      </c>
      <c r="D434" s="20" t="s">
        <v>254</v>
      </c>
      <c r="E434" s="14" t="s">
        <v>1583</v>
      </c>
      <c r="F434" s="67" t="s">
        <v>1679</v>
      </c>
      <c r="G434" s="63" t="s">
        <v>1621</v>
      </c>
      <c r="H434" s="20" t="s">
        <v>132</v>
      </c>
      <c r="I434" s="15" t="s">
        <v>1680</v>
      </c>
      <c r="J434" s="30">
        <v>43690</v>
      </c>
      <c r="K434" s="30">
        <v>44664</v>
      </c>
      <c r="L434" s="31">
        <f t="shared" si="167"/>
        <v>83.983863024285967</v>
      </c>
      <c r="M434" s="32" t="s">
        <v>259</v>
      </c>
      <c r="N434" s="20" t="s">
        <v>228</v>
      </c>
      <c r="O434" s="20" t="s">
        <v>229</v>
      </c>
      <c r="P434" s="19" t="s">
        <v>260</v>
      </c>
      <c r="Q434" s="20" t="s">
        <v>40</v>
      </c>
      <c r="R434" s="2">
        <f t="shared" si="172"/>
        <v>13134256.989999998</v>
      </c>
      <c r="S434" s="2">
        <v>10591633.949999999</v>
      </c>
      <c r="T434" s="2">
        <v>2542623.04</v>
      </c>
      <c r="U434" s="2">
        <f t="shared" si="173"/>
        <v>0</v>
      </c>
      <c r="V434" s="2">
        <v>0</v>
      </c>
      <c r="W434" s="2">
        <v>0</v>
      </c>
      <c r="X434" s="2">
        <f t="shared" si="174"/>
        <v>2504767.6</v>
      </c>
      <c r="Y434" s="2">
        <v>1869111.83</v>
      </c>
      <c r="Z434" s="2">
        <v>635655.77</v>
      </c>
      <c r="AA434" s="2">
        <f t="shared" si="175"/>
        <v>0</v>
      </c>
      <c r="AB434" s="2">
        <v>0</v>
      </c>
      <c r="AC434" s="2">
        <v>0</v>
      </c>
      <c r="AD434" s="2">
        <f t="shared" si="176"/>
        <v>15639024.589999998</v>
      </c>
      <c r="AE434" s="42">
        <v>0</v>
      </c>
      <c r="AF434" s="42">
        <f t="shared" si="177"/>
        <v>15639024.589999998</v>
      </c>
      <c r="AG434" s="39" t="s">
        <v>69</v>
      </c>
      <c r="AH434" s="168"/>
      <c r="AI434" s="35">
        <f>23844.71+278212.07+14761.85</f>
        <v>316818.63</v>
      </c>
      <c r="AJ434" s="36">
        <v>0</v>
      </c>
      <c r="AK434" s="28">
        <f t="shared" si="160"/>
        <v>12817438.359999998</v>
      </c>
      <c r="AL434" s="28">
        <f t="shared" si="161"/>
        <v>0</v>
      </c>
      <c r="AM434" s="29">
        <f t="shared" si="162"/>
        <v>2.4121549490101764E-2</v>
      </c>
    </row>
    <row r="435" spans="1:39" ht="192" customHeight="1" x14ac:dyDescent="0.25">
      <c r="A435" s="154">
        <v>432</v>
      </c>
      <c r="B435" s="37">
        <v>127462</v>
      </c>
      <c r="C435" s="37">
        <v>581</v>
      </c>
      <c r="D435" s="20" t="s">
        <v>254</v>
      </c>
      <c r="E435" s="14" t="s">
        <v>1583</v>
      </c>
      <c r="F435" s="67" t="s">
        <v>1681</v>
      </c>
      <c r="G435" s="63" t="s">
        <v>1682</v>
      </c>
      <c r="H435" s="20" t="s">
        <v>1683</v>
      </c>
      <c r="I435" s="15" t="s">
        <v>1684</v>
      </c>
      <c r="J435" s="30">
        <v>43690</v>
      </c>
      <c r="K435" s="30">
        <v>44543</v>
      </c>
      <c r="L435" s="31">
        <f t="shared" si="167"/>
        <v>83.81974496254557</v>
      </c>
      <c r="M435" s="32" t="s">
        <v>259</v>
      </c>
      <c r="N435" s="20" t="s">
        <v>228</v>
      </c>
      <c r="O435" s="20" t="s">
        <v>229</v>
      </c>
      <c r="P435" s="19" t="s">
        <v>260</v>
      </c>
      <c r="Q435" s="20" t="s">
        <v>40</v>
      </c>
      <c r="R435" s="2">
        <f t="shared" si="172"/>
        <v>16722840.989999998</v>
      </c>
      <c r="S435" s="2">
        <v>13485514.289999999</v>
      </c>
      <c r="T435" s="2">
        <v>3237326.7</v>
      </c>
      <c r="U435" s="2">
        <f t="shared" si="173"/>
        <v>2829096.54</v>
      </c>
      <c r="V435" s="2">
        <v>2092933.21</v>
      </c>
      <c r="W435" s="2">
        <v>736163.33</v>
      </c>
      <c r="X435" s="2">
        <f t="shared" si="174"/>
        <v>360031.77</v>
      </c>
      <c r="Y435" s="2">
        <v>286863.42</v>
      </c>
      <c r="Z435" s="2">
        <v>73168.350000000006</v>
      </c>
      <c r="AA435" s="2">
        <f t="shared" si="175"/>
        <v>38987.360000000001</v>
      </c>
      <c r="AB435" s="2">
        <v>31064.05</v>
      </c>
      <c r="AC435" s="2">
        <v>7923.31</v>
      </c>
      <c r="AD435" s="2">
        <f t="shared" si="176"/>
        <v>19950956.659999996</v>
      </c>
      <c r="AE435" s="42">
        <v>0</v>
      </c>
      <c r="AF435" s="42">
        <f t="shared" si="177"/>
        <v>19950956.659999996</v>
      </c>
      <c r="AG435" s="39" t="s">
        <v>69</v>
      </c>
      <c r="AH435" s="168"/>
      <c r="AI435" s="35">
        <v>468974.69</v>
      </c>
      <c r="AJ435" s="36">
        <v>83009.62</v>
      </c>
      <c r="AK435" s="28">
        <f t="shared" si="160"/>
        <v>16253866.299999999</v>
      </c>
      <c r="AL435" s="28">
        <f t="shared" si="161"/>
        <v>2746086.92</v>
      </c>
      <c r="AM435" s="29">
        <f t="shared" si="162"/>
        <v>2.8043960370157179E-2</v>
      </c>
    </row>
    <row r="436" spans="1:39" ht="192" customHeight="1" x14ac:dyDescent="0.25">
      <c r="A436" s="154">
        <v>433</v>
      </c>
      <c r="B436" s="20">
        <v>129502</v>
      </c>
      <c r="C436" s="20">
        <v>746</v>
      </c>
      <c r="D436" s="15" t="s">
        <v>999</v>
      </c>
      <c r="E436" s="14" t="s">
        <v>1645</v>
      </c>
      <c r="F436" s="15" t="s">
        <v>1685</v>
      </c>
      <c r="G436" s="15" t="s">
        <v>1686</v>
      </c>
      <c r="H436" s="20" t="s">
        <v>1687</v>
      </c>
      <c r="I436" s="16" t="s">
        <v>1688</v>
      </c>
      <c r="J436" s="30">
        <v>43697</v>
      </c>
      <c r="K436" s="30">
        <v>44793</v>
      </c>
      <c r="L436" s="31">
        <f t="shared" si="167"/>
        <v>83.983862795774542</v>
      </c>
      <c r="M436" s="32" t="s">
        <v>259</v>
      </c>
      <c r="N436" s="20" t="s">
        <v>228</v>
      </c>
      <c r="O436" s="20" t="s">
        <v>229</v>
      </c>
      <c r="P436" s="19" t="s">
        <v>260</v>
      </c>
      <c r="Q436" s="20" t="s">
        <v>40</v>
      </c>
      <c r="R436" s="33">
        <f t="shared" si="172"/>
        <v>16341565.460000003</v>
      </c>
      <c r="S436" s="2">
        <v>13178048.740000002</v>
      </c>
      <c r="T436" s="2">
        <v>3163516.7200000011</v>
      </c>
      <c r="U436" s="33">
        <f t="shared" si="173"/>
        <v>612798.06999999983</v>
      </c>
      <c r="V436" s="2">
        <v>452862.94999999984</v>
      </c>
      <c r="W436" s="2">
        <v>159935.11999999994</v>
      </c>
      <c r="X436" s="33">
        <f t="shared" si="174"/>
        <v>2503619.13</v>
      </c>
      <c r="Y436" s="2">
        <v>1872675.12</v>
      </c>
      <c r="Z436" s="2">
        <v>630944.01</v>
      </c>
      <c r="AA436" s="2">
        <f t="shared" si="175"/>
        <v>0</v>
      </c>
      <c r="AB436" s="2">
        <v>0</v>
      </c>
      <c r="AC436" s="2">
        <v>0</v>
      </c>
      <c r="AD436" s="2">
        <f t="shared" si="176"/>
        <v>19457982.66</v>
      </c>
      <c r="AE436" s="2">
        <v>0</v>
      </c>
      <c r="AF436" s="2">
        <f t="shared" si="177"/>
        <v>19457982.66</v>
      </c>
      <c r="AG436" s="39" t="s">
        <v>69</v>
      </c>
      <c r="AH436" s="34" t="s">
        <v>35</v>
      </c>
      <c r="AI436" s="35">
        <v>121557.35</v>
      </c>
      <c r="AJ436" s="36">
        <v>413.34</v>
      </c>
      <c r="AK436" s="28">
        <f t="shared" si="160"/>
        <v>16220008.110000003</v>
      </c>
      <c r="AL436" s="28">
        <f t="shared" si="161"/>
        <v>612384.72999999986</v>
      </c>
      <c r="AM436" s="29">
        <f t="shared" si="162"/>
        <v>7.4385376540296276E-3</v>
      </c>
    </row>
    <row r="437" spans="1:39" ht="192" customHeight="1" x14ac:dyDescent="0.25">
      <c r="A437" s="154">
        <v>434</v>
      </c>
      <c r="B437" s="20">
        <v>129865</v>
      </c>
      <c r="C437" s="20">
        <v>747</v>
      </c>
      <c r="D437" s="15" t="s">
        <v>999</v>
      </c>
      <c r="E437" s="14" t="s">
        <v>1645</v>
      </c>
      <c r="F437" s="15" t="s">
        <v>1689</v>
      </c>
      <c r="G437" s="15" t="s">
        <v>1690</v>
      </c>
      <c r="H437" s="20" t="s">
        <v>1691</v>
      </c>
      <c r="I437" s="16" t="s">
        <v>1692</v>
      </c>
      <c r="J437" s="30">
        <v>43697</v>
      </c>
      <c r="K437" s="30">
        <v>44793</v>
      </c>
      <c r="L437" s="31">
        <f t="shared" si="167"/>
        <v>83.983862799999997</v>
      </c>
      <c r="M437" s="32" t="s">
        <v>259</v>
      </c>
      <c r="N437" s="20" t="s">
        <v>228</v>
      </c>
      <c r="O437" s="20" t="s">
        <v>229</v>
      </c>
      <c r="P437" s="19" t="s">
        <v>260</v>
      </c>
      <c r="Q437" s="20" t="s">
        <v>40</v>
      </c>
      <c r="R437" s="33">
        <f t="shared" si="172"/>
        <v>20995965.699999999</v>
      </c>
      <c r="S437" s="2">
        <v>16931417.09</v>
      </c>
      <c r="T437" s="2">
        <v>4064548.61</v>
      </c>
      <c r="U437" s="33">
        <f t="shared" si="173"/>
        <v>517002.47000000003</v>
      </c>
      <c r="V437" s="2">
        <v>382069.15</v>
      </c>
      <c r="W437" s="2">
        <v>134933.32</v>
      </c>
      <c r="X437" s="33">
        <f t="shared" si="174"/>
        <v>3487031.83</v>
      </c>
      <c r="Y437" s="2">
        <v>2605827.96</v>
      </c>
      <c r="Z437" s="2">
        <v>881203.87</v>
      </c>
      <c r="AA437" s="2">
        <f t="shared" si="175"/>
        <v>0</v>
      </c>
      <c r="AB437" s="2">
        <v>0</v>
      </c>
      <c r="AC437" s="2">
        <v>0</v>
      </c>
      <c r="AD437" s="2">
        <f t="shared" si="176"/>
        <v>25000000</v>
      </c>
      <c r="AE437" s="2">
        <v>0</v>
      </c>
      <c r="AF437" s="2">
        <f t="shared" si="177"/>
        <v>25000000</v>
      </c>
      <c r="AG437" s="39" t="s">
        <v>69</v>
      </c>
      <c r="AH437" s="34" t="s">
        <v>35</v>
      </c>
      <c r="AI437" s="35">
        <v>1757025.43</v>
      </c>
      <c r="AJ437" s="36">
        <f>24083.11</f>
        <v>24083.11</v>
      </c>
      <c r="AK437" s="28">
        <f t="shared" si="160"/>
        <v>19238940.27</v>
      </c>
      <c r="AL437" s="28">
        <f t="shared" si="161"/>
        <v>492919.36000000004</v>
      </c>
      <c r="AM437" s="29">
        <f t="shared" si="162"/>
        <v>8.3683954103620964E-2</v>
      </c>
    </row>
    <row r="438" spans="1:39" ht="192" customHeight="1" x14ac:dyDescent="0.25">
      <c r="A438" s="154">
        <v>435</v>
      </c>
      <c r="B438" s="37">
        <v>127554</v>
      </c>
      <c r="C438" s="37">
        <v>596</v>
      </c>
      <c r="D438" s="40" t="s">
        <v>1649</v>
      </c>
      <c r="E438" s="14" t="s">
        <v>1583</v>
      </c>
      <c r="F438" s="40" t="s">
        <v>1693</v>
      </c>
      <c r="G438" s="32" t="s">
        <v>930</v>
      </c>
      <c r="H438" s="20" t="s">
        <v>1694</v>
      </c>
      <c r="I438" s="16" t="s">
        <v>1695</v>
      </c>
      <c r="J438" s="30">
        <v>43698</v>
      </c>
      <c r="K438" s="30">
        <v>44613</v>
      </c>
      <c r="L438" s="31">
        <f t="shared" si="167"/>
        <v>83.983862444458254</v>
      </c>
      <c r="M438" s="20" t="s">
        <v>259</v>
      </c>
      <c r="N438" s="20" t="s">
        <v>228</v>
      </c>
      <c r="O438" s="20" t="str">
        <f t="shared" ref="O438:Q440" si="178">O437</f>
        <v>Bucuresti</v>
      </c>
      <c r="P438" s="32" t="str">
        <f t="shared" si="178"/>
        <v>APC</v>
      </c>
      <c r="Q438" s="20" t="str">
        <f t="shared" si="178"/>
        <v>119 - Investiții în capacitatea instituțională și în eficiența administrațiilor și a serviciilor publice la nivel național, regional și local, în perspectiva realizării de reforme, a unei mai bune legiferări și a bunei guvernanțe</v>
      </c>
      <c r="R438" s="33">
        <f t="shared" si="172"/>
        <v>12098670.199999999</v>
      </c>
      <c r="S438" s="2">
        <v>9756523.4299999997</v>
      </c>
      <c r="T438" s="2">
        <v>2342146.77</v>
      </c>
      <c r="U438" s="33">
        <f t="shared" si="173"/>
        <v>0</v>
      </c>
      <c r="V438" s="2">
        <v>0</v>
      </c>
      <c r="W438" s="2">
        <v>0</v>
      </c>
      <c r="X438" s="33">
        <f t="shared" si="174"/>
        <v>2307276.19</v>
      </c>
      <c r="Y438" s="2">
        <v>1721739.47</v>
      </c>
      <c r="Z438" s="2">
        <v>585536.72</v>
      </c>
      <c r="AA438" s="2">
        <f t="shared" si="175"/>
        <v>0</v>
      </c>
      <c r="AB438" s="2">
        <v>0</v>
      </c>
      <c r="AC438" s="2">
        <v>0</v>
      </c>
      <c r="AD438" s="2">
        <f t="shared" si="176"/>
        <v>14405946.389999999</v>
      </c>
      <c r="AE438" s="2">
        <v>1695594.64</v>
      </c>
      <c r="AF438" s="2">
        <f t="shared" si="177"/>
        <v>16101541.029999999</v>
      </c>
      <c r="AG438" s="39" t="s">
        <v>69</v>
      </c>
      <c r="AH438" s="34" t="s">
        <v>35</v>
      </c>
      <c r="AI438" s="35">
        <v>80134.03</v>
      </c>
      <c r="AJ438" s="36">
        <v>0</v>
      </c>
      <c r="AK438" s="28">
        <f t="shared" si="160"/>
        <v>12018536.17</v>
      </c>
      <c r="AL438" s="28">
        <f t="shared" si="161"/>
        <v>0</v>
      </c>
      <c r="AM438" s="29">
        <f t="shared" si="162"/>
        <v>6.623375021826779E-3</v>
      </c>
    </row>
    <row r="439" spans="1:39" ht="192" customHeight="1" x14ac:dyDescent="0.25">
      <c r="A439" s="154">
        <v>436</v>
      </c>
      <c r="B439" s="37">
        <v>127585</v>
      </c>
      <c r="C439" s="37">
        <v>622</v>
      </c>
      <c r="D439" s="40" t="s">
        <v>1649</v>
      </c>
      <c r="E439" s="14" t="s">
        <v>1583</v>
      </c>
      <c r="F439" s="40" t="s">
        <v>1696</v>
      </c>
      <c r="G439" s="15" t="s">
        <v>952</v>
      </c>
      <c r="H439" s="20" t="s">
        <v>1697</v>
      </c>
      <c r="I439" s="16" t="s">
        <v>1698</v>
      </c>
      <c r="J439" s="30">
        <v>43703</v>
      </c>
      <c r="K439" s="30">
        <v>44799</v>
      </c>
      <c r="L439" s="31">
        <f t="shared" si="167"/>
        <v>83.983863237881479</v>
      </c>
      <c r="M439" s="20" t="s">
        <v>259</v>
      </c>
      <c r="N439" s="20" t="s">
        <v>228</v>
      </c>
      <c r="O439" s="20" t="str">
        <f t="shared" si="178"/>
        <v>Bucuresti</v>
      </c>
      <c r="P439" s="32" t="str">
        <f t="shared" si="178"/>
        <v>APC</v>
      </c>
      <c r="Q439" s="20" t="str">
        <f t="shared" si="178"/>
        <v>119 - Investiții în capacitatea instituțională și în eficiența administrațiilor și a serviciilor publice la nivel național, regional și local, în perspectiva realizării de reforme, a unei mai bune legiferări și a bunei guvernanțe</v>
      </c>
      <c r="R439" s="33">
        <f t="shared" si="172"/>
        <v>8398187.4499999993</v>
      </c>
      <c r="S439" s="2">
        <v>6772406.5</v>
      </c>
      <c r="T439" s="2">
        <v>1625780.95</v>
      </c>
      <c r="U439" s="33">
        <f t="shared" si="173"/>
        <v>0</v>
      </c>
      <c r="V439" s="2">
        <v>0</v>
      </c>
      <c r="W439" s="2">
        <v>0</v>
      </c>
      <c r="X439" s="33">
        <f t="shared" si="174"/>
        <v>1601575.75</v>
      </c>
      <c r="Y439" s="2">
        <v>1195130.5</v>
      </c>
      <c r="Z439" s="2">
        <v>406445.25</v>
      </c>
      <c r="AA439" s="2">
        <f t="shared" si="175"/>
        <v>0</v>
      </c>
      <c r="AB439" s="2">
        <v>0</v>
      </c>
      <c r="AC439" s="2">
        <v>0</v>
      </c>
      <c r="AD439" s="2">
        <f t="shared" si="176"/>
        <v>9999763.1999999993</v>
      </c>
      <c r="AE439" s="2">
        <v>0</v>
      </c>
      <c r="AF439" s="2">
        <f t="shared" si="177"/>
        <v>9999763.1999999993</v>
      </c>
      <c r="AG439" s="39" t="s">
        <v>69</v>
      </c>
      <c r="AH439" s="34" t="str">
        <f>$AH$438</f>
        <v>n.a</v>
      </c>
      <c r="AI439" s="35">
        <v>843418.72000000009</v>
      </c>
      <c r="AJ439" s="36">
        <v>0</v>
      </c>
      <c r="AK439" s="28">
        <f t="shared" si="160"/>
        <v>7554768.7299999995</v>
      </c>
      <c r="AL439" s="28">
        <f t="shared" si="161"/>
        <v>0</v>
      </c>
      <c r="AM439" s="29">
        <f t="shared" si="162"/>
        <v>0.10042866094873842</v>
      </c>
    </row>
    <row r="440" spans="1:39" ht="192" customHeight="1" x14ac:dyDescent="0.25">
      <c r="A440" s="154">
        <v>437</v>
      </c>
      <c r="B440" s="37">
        <v>127829</v>
      </c>
      <c r="C440" s="37">
        <v>623</v>
      </c>
      <c r="D440" s="40" t="s">
        <v>1649</v>
      </c>
      <c r="E440" s="14" t="s">
        <v>1583</v>
      </c>
      <c r="F440" s="40" t="s">
        <v>1699</v>
      </c>
      <c r="G440" s="15" t="s">
        <v>952</v>
      </c>
      <c r="H440" s="20" t="s">
        <v>1697</v>
      </c>
      <c r="I440" s="16" t="s">
        <v>1700</v>
      </c>
      <c r="J440" s="30">
        <v>43703</v>
      </c>
      <c r="K440" s="30">
        <v>44799</v>
      </c>
      <c r="L440" s="31">
        <f t="shared" si="167"/>
        <v>83.983863016171711</v>
      </c>
      <c r="M440" s="20" t="s">
        <v>259</v>
      </c>
      <c r="N440" s="20" t="s">
        <v>228</v>
      </c>
      <c r="O440" s="20" t="str">
        <f t="shared" si="178"/>
        <v>Bucuresti</v>
      </c>
      <c r="P440" s="32" t="str">
        <f t="shared" si="178"/>
        <v>APC</v>
      </c>
      <c r="Q440" s="20" t="str">
        <f t="shared" si="178"/>
        <v>119 - Investiții în capacitatea instituțională și în eficiența administrațiilor și a serviciilor publice la nivel național, regional și local, în perspectiva realizării de reforme, a unei mai bune legiferări și a bunei guvernanțe</v>
      </c>
      <c r="R440" s="33">
        <f t="shared" si="172"/>
        <v>8466572.8000000007</v>
      </c>
      <c r="S440" s="2">
        <v>6827553.2999999998</v>
      </c>
      <c r="T440" s="2">
        <v>1639019.5</v>
      </c>
      <c r="U440" s="33">
        <f t="shared" si="173"/>
        <v>0</v>
      </c>
      <c r="V440" s="2">
        <v>0</v>
      </c>
      <c r="W440" s="2">
        <v>0</v>
      </c>
      <c r="X440" s="33">
        <f t="shared" si="174"/>
        <v>1614617.2000000002</v>
      </c>
      <c r="Y440" s="2">
        <v>1204862.3400000001</v>
      </c>
      <c r="Z440" s="2">
        <v>409754.86</v>
      </c>
      <c r="AA440" s="2">
        <f t="shared" si="175"/>
        <v>0</v>
      </c>
      <c r="AB440" s="2">
        <v>0</v>
      </c>
      <c r="AC440" s="2">
        <v>0</v>
      </c>
      <c r="AD440" s="2">
        <f t="shared" si="176"/>
        <v>10081190</v>
      </c>
      <c r="AE440" s="2">
        <v>0</v>
      </c>
      <c r="AF440" s="2">
        <f t="shared" si="177"/>
        <v>10081190</v>
      </c>
      <c r="AG440" s="39" t="s">
        <v>69</v>
      </c>
      <c r="AH440" s="34" t="str">
        <f>$AH$438</f>
        <v>n.a</v>
      </c>
      <c r="AI440" s="35">
        <v>896890.75</v>
      </c>
      <c r="AJ440" s="36">
        <v>0</v>
      </c>
      <c r="AK440" s="28">
        <f t="shared" si="160"/>
        <v>7569682.0500000007</v>
      </c>
      <c r="AL440" s="28">
        <f t="shared" si="161"/>
        <v>0</v>
      </c>
      <c r="AM440" s="29">
        <f t="shared" si="162"/>
        <v>0.10593315278644978</v>
      </c>
    </row>
    <row r="441" spans="1:39" ht="192" customHeight="1" x14ac:dyDescent="0.25">
      <c r="A441" s="154">
        <v>438</v>
      </c>
      <c r="B441" s="37">
        <v>127591</v>
      </c>
      <c r="C441" s="37">
        <v>603</v>
      </c>
      <c r="D441" s="40" t="s">
        <v>1649</v>
      </c>
      <c r="E441" s="14" t="s">
        <v>1583</v>
      </c>
      <c r="F441" s="40" t="s">
        <v>1701</v>
      </c>
      <c r="G441" s="15" t="s">
        <v>952</v>
      </c>
      <c r="H441" s="20" t="s">
        <v>1697</v>
      </c>
      <c r="I441" s="71" t="s">
        <v>1702</v>
      </c>
      <c r="J441" s="30">
        <v>43704</v>
      </c>
      <c r="K441" s="30">
        <v>44708</v>
      </c>
      <c r="L441" s="31">
        <f t="shared" si="167"/>
        <v>83.98386273142458</v>
      </c>
      <c r="M441" s="20" t="str">
        <f>$M$438</f>
        <v xml:space="preserve"> Proiect cu acoperire națională</v>
      </c>
      <c r="N441" s="20" t="str">
        <f>N440</f>
        <v>București</v>
      </c>
      <c r="O441" s="20" t="s">
        <v>228</v>
      </c>
      <c r="P441" s="32" t="s">
        <v>260</v>
      </c>
      <c r="Q441" s="20" t="str">
        <f>Q440</f>
        <v>119 - Investiții în capacitatea instituțională și în eficiența administrațiilor și a serviciilor publice la nivel național, regional și local, în perspectiva realizării de reforme, a unei mai bune legiferări și a bunei guvernanțe</v>
      </c>
      <c r="R441" s="33">
        <f t="shared" si="172"/>
        <v>10242987.93</v>
      </c>
      <c r="S441" s="2">
        <v>8260077.3899999997</v>
      </c>
      <c r="T441" s="2">
        <v>1982910.54</v>
      </c>
      <c r="U441" s="33">
        <f t="shared" si="173"/>
        <v>0</v>
      </c>
      <c r="V441" s="2">
        <v>0</v>
      </c>
      <c r="W441" s="2">
        <v>0</v>
      </c>
      <c r="X441" s="33">
        <f t="shared" si="174"/>
        <v>1953388.3699999999</v>
      </c>
      <c r="Y441" s="2">
        <v>1457660.67</v>
      </c>
      <c r="Z441" s="2">
        <v>495727.7</v>
      </c>
      <c r="AA441" s="2">
        <f t="shared" si="175"/>
        <v>0</v>
      </c>
      <c r="AB441" s="2">
        <v>0</v>
      </c>
      <c r="AC441" s="2">
        <v>0</v>
      </c>
      <c r="AD441" s="2">
        <f t="shared" si="176"/>
        <v>12196376.299999999</v>
      </c>
      <c r="AE441" s="2">
        <v>0</v>
      </c>
      <c r="AF441" s="2">
        <f t="shared" si="177"/>
        <v>12196376.299999999</v>
      </c>
      <c r="AG441" s="39" t="s">
        <v>69</v>
      </c>
      <c r="AH441" s="34" t="s">
        <v>35</v>
      </c>
      <c r="AI441" s="35">
        <v>957032.9800000001</v>
      </c>
      <c r="AJ441" s="36">
        <v>0</v>
      </c>
      <c r="AK441" s="28">
        <f t="shared" si="160"/>
        <v>9285954.9499999993</v>
      </c>
      <c r="AL441" s="28">
        <f t="shared" si="161"/>
        <v>0</v>
      </c>
      <c r="AM441" s="29">
        <f t="shared" si="162"/>
        <v>9.3432989137574834E-2</v>
      </c>
    </row>
    <row r="442" spans="1:39" ht="192" customHeight="1" x14ac:dyDescent="0.25">
      <c r="A442" s="154">
        <v>439</v>
      </c>
      <c r="B442" s="20">
        <v>130133</v>
      </c>
      <c r="C442" s="20">
        <v>749</v>
      </c>
      <c r="D442" s="15" t="s">
        <v>999</v>
      </c>
      <c r="E442" s="14" t="s">
        <v>1645</v>
      </c>
      <c r="F442" s="15" t="s">
        <v>1703</v>
      </c>
      <c r="G442" s="15" t="s">
        <v>1704</v>
      </c>
      <c r="H442" s="20" t="s">
        <v>35</v>
      </c>
      <c r="I442" s="16" t="s">
        <v>1705</v>
      </c>
      <c r="J442" s="30">
        <v>43706</v>
      </c>
      <c r="K442" s="30">
        <v>44802</v>
      </c>
      <c r="L442" s="31">
        <f t="shared" si="167"/>
        <v>83.983862863568021</v>
      </c>
      <c r="M442" s="20" t="str">
        <f>$M$438</f>
        <v xml:space="preserve"> Proiect cu acoperire națională</v>
      </c>
      <c r="N442" s="20" t="str">
        <f>N441</f>
        <v>București</v>
      </c>
      <c r="O442" s="20" t="s">
        <v>228</v>
      </c>
      <c r="P442" s="32" t="s">
        <v>260</v>
      </c>
      <c r="Q442" s="20" t="s">
        <v>40</v>
      </c>
      <c r="R442" s="33">
        <f t="shared" si="172"/>
        <v>15487811.129999999</v>
      </c>
      <c r="S442" s="2">
        <v>12489570.33</v>
      </c>
      <c r="T442" s="2">
        <v>2998240.8</v>
      </c>
      <c r="U442" s="33">
        <f t="shared" si="173"/>
        <v>0</v>
      </c>
      <c r="V442" s="2">
        <v>0</v>
      </c>
      <c r="W442" s="2">
        <v>0</v>
      </c>
      <c r="X442" s="33">
        <f t="shared" si="174"/>
        <v>2953602.02</v>
      </c>
      <c r="Y442" s="2">
        <v>2204041.7812303277</v>
      </c>
      <c r="Z442" s="2">
        <v>749560.23876967223</v>
      </c>
      <c r="AA442" s="2">
        <f t="shared" si="175"/>
        <v>0</v>
      </c>
      <c r="AB442" s="2">
        <v>0</v>
      </c>
      <c r="AC442" s="2">
        <v>0</v>
      </c>
      <c r="AD442" s="2">
        <f t="shared" si="176"/>
        <v>18441413.149999999</v>
      </c>
      <c r="AE442" s="2">
        <v>0</v>
      </c>
      <c r="AF442" s="2">
        <f t="shared" si="177"/>
        <v>18441413.149999999</v>
      </c>
      <c r="AG442" s="39" t="s">
        <v>69</v>
      </c>
      <c r="AH442" s="34" t="s">
        <v>35</v>
      </c>
      <c r="AI442" s="35">
        <v>37986.75</v>
      </c>
      <c r="AJ442" s="36">
        <v>0</v>
      </c>
      <c r="AK442" s="28">
        <f t="shared" si="160"/>
        <v>15449824.379999999</v>
      </c>
      <c r="AL442" s="28">
        <f t="shared" si="161"/>
        <v>0</v>
      </c>
      <c r="AM442" s="29">
        <f>AI442/R442</f>
        <v>2.4526868052012463E-3</v>
      </c>
    </row>
    <row r="443" spans="1:39" ht="192" customHeight="1" x14ac:dyDescent="0.25">
      <c r="A443" s="154">
        <v>440</v>
      </c>
      <c r="B443" s="20">
        <v>127338</v>
      </c>
      <c r="C443" s="20">
        <v>612</v>
      </c>
      <c r="D443" s="40" t="s">
        <v>1649</v>
      </c>
      <c r="E443" s="14" t="s">
        <v>1583</v>
      </c>
      <c r="F443" s="15" t="s">
        <v>1706</v>
      </c>
      <c r="G443" s="15" t="s">
        <v>952</v>
      </c>
      <c r="H443" s="20" t="s">
        <v>1707</v>
      </c>
      <c r="I443" s="16" t="s">
        <v>1708</v>
      </c>
      <c r="J443" s="30">
        <v>43621</v>
      </c>
      <c r="K443" s="30">
        <v>44352</v>
      </c>
      <c r="L443" s="31">
        <f t="shared" si="167"/>
        <v>83.98386483351581</v>
      </c>
      <c r="M443" s="20">
        <v>8</v>
      </c>
      <c r="N443" s="20" t="s">
        <v>1709</v>
      </c>
      <c r="O443" s="20" t="s">
        <v>228</v>
      </c>
      <c r="P443" s="32" t="s">
        <v>260</v>
      </c>
      <c r="Q443" s="20" t="str">
        <f t="shared" ref="Q443:Q448" si="179">Q442</f>
        <v>119 - Investiții în capacitatea instituțională și în eficiența administrațiilor și a serviciilor publice la nivel național, regional și local, în perspectiva realizării de reforme, a unei mai bune legiferări și a bunei guvernanțe</v>
      </c>
      <c r="R443" s="33">
        <f t="shared" si="172"/>
        <v>12313247.32</v>
      </c>
      <c r="S443" s="2">
        <v>9929561.1799999997</v>
      </c>
      <c r="T443" s="2">
        <v>2383686.14</v>
      </c>
      <c r="U443" s="33">
        <f t="shared" si="173"/>
        <v>0</v>
      </c>
      <c r="V443" s="2">
        <v>0</v>
      </c>
      <c r="W443" s="2">
        <v>0</v>
      </c>
      <c r="X443" s="33">
        <f t="shared" si="174"/>
        <v>2348196.69</v>
      </c>
      <c r="Y443" s="2">
        <v>1752275.21</v>
      </c>
      <c r="Z443" s="2">
        <v>595921.48</v>
      </c>
      <c r="AA443" s="2">
        <f t="shared" si="175"/>
        <v>0</v>
      </c>
      <c r="AB443" s="2">
        <v>0</v>
      </c>
      <c r="AC443" s="2">
        <v>0</v>
      </c>
      <c r="AD443" s="2">
        <f t="shared" si="176"/>
        <v>14661444.01</v>
      </c>
      <c r="AE443" s="2">
        <v>21875.91</v>
      </c>
      <c r="AF443" s="2">
        <f t="shared" si="177"/>
        <v>14683319.92</v>
      </c>
      <c r="AG443" s="39" t="s">
        <v>69</v>
      </c>
      <c r="AH443" s="34" t="s">
        <v>1710</v>
      </c>
      <c r="AI443" s="35">
        <v>1028311.33</v>
      </c>
      <c r="AJ443" s="36">
        <v>0</v>
      </c>
      <c r="AK443" s="28">
        <f t="shared" si="160"/>
        <v>11284935.99</v>
      </c>
      <c r="AL443" s="28">
        <f t="shared" si="161"/>
        <v>0</v>
      </c>
      <c r="AM443" s="29">
        <f>AI443/R443</f>
        <v>8.3512602587763177E-2</v>
      </c>
    </row>
    <row r="444" spans="1:39" ht="192" customHeight="1" x14ac:dyDescent="0.25">
      <c r="A444" s="154">
        <v>441</v>
      </c>
      <c r="B444" s="37">
        <v>129692</v>
      </c>
      <c r="C444" s="37">
        <v>744</v>
      </c>
      <c r="D444" s="15" t="str">
        <f>D443</f>
        <v xml:space="preserve">AP1/11i /1.1 </v>
      </c>
      <c r="E444" s="14" t="s">
        <v>1619</v>
      </c>
      <c r="F444" s="40" t="s">
        <v>1711</v>
      </c>
      <c r="G444" s="15" t="s">
        <v>1712</v>
      </c>
      <c r="H444" s="20" t="s">
        <v>35</v>
      </c>
      <c r="I444" s="71" t="s">
        <v>1713</v>
      </c>
      <c r="J444" s="30">
        <v>43717</v>
      </c>
      <c r="K444" s="30">
        <v>44813</v>
      </c>
      <c r="L444" s="31">
        <f t="shared" si="167"/>
        <v>83.983863024921732</v>
      </c>
      <c r="M444" s="20">
        <f>M443</f>
        <v>8</v>
      </c>
      <c r="N444" s="20" t="str">
        <f>N443</f>
        <v>Național</v>
      </c>
      <c r="O444" s="20" t="str">
        <f>O443</f>
        <v>București</v>
      </c>
      <c r="P444" s="32" t="str">
        <f>P443</f>
        <v>APC</v>
      </c>
      <c r="Q444" s="20" t="str">
        <f t="shared" si="179"/>
        <v>119 - Investiții în capacitatea instituțională și în eficiența administrațiilor și a serviciilor publice la nivel național, regional și local, în perspectiva realizării de reforme, a unei mai bune legiferări și a bunei guvernanțe</v>
      </c>
      <c r="R444" s="33">
        <f t="shared" si="172"/>
        <v>25123266.259999998</v>
      </c>
      <c r="S444" s="2">
        <v>20259725.34</v>
      </c>
      <c r="T444" s="2">
        <v>4863540.92</v>
      </c>
      <c r="U444" s="33">
        <f t="shared" si="173"/>
        <v>0</v>
      </c>
      <c r="V444" s="2">
        <v>0</v>
      </c>
      <c r="W444" s="2">
        <v>0</v>
      </c>
      <c r="X444" s="33">
        <f t="shared" si="174"/>
        <v>4791130.8099999996</v>
      </c>
      <c r="Y444" s="2">
        <v>3575245.63</v>
      </c>
      <c r="Z444" s="2">
        <v>1215885.18</v>
      </c>
      <c r="AA444" s="2">
        <f t="shared" si="175"/>
        <v>0</v>
      </c>
      <c r="AB444" s="2">
        <v>0</v>
      </c>
      <c r="AC444" s="2">
        <v>0</v>
      </c>
      <c r="AD444" s="2">
        <f t="shared" si="176"/>
        <v>29914397.069999997</v>
      </c>
      <c r="AE444" s="2">
        <v>0</v>
      </c>
      <c r="AF444" s="2">
        <f t="shared" si="177"/>
        <v>29914397.069999997</v>
      </c>
      <c r="AG444" s="39" t="s">
        <v>69</v>
      </c>
      <c r="AH444" s="34" t="s">
        <v>35</v>
      </c>
      <c r="AI444" s="35">
        <v>325855.8</v>
      </c>
      <c r="AJ444" s="36">
        <v>0</v>
      </c>
      <c r="AK444" s="28">
        <f t="shared" si="160"/>
        <v>24797410.459999997</v>
      </c>
      <c r="AL444" s="28">
        <f t="shared" si="161"/>
        <v>0</v>
      </c>
      <c r="AM444" s="29">
        <f t="shared" si="162"/>
        <v>1.2970280083319071E-2</v>
      </c>
    </row>
    <row r="445" spans="1:39" ht="192" customHeight="1" x14ac:dyDescent="0.25">
      <c r="A445" s="154">
        <v>442</v>
      </c>
      <c r="B445" s="20">
        <v>127589</v>
      </c>
      <c r="C445" s="20">
        <v>616</v>
      </c>
      <c r="D445" s="40" t="s">
        <v>1649</v>
      </c>
      <c r="E445" s="14" t="s">
        <v>1583</v>
      </c>
      <c r="F445" s="15" t="s">
        <v>1714</v>
      </c>
      <c r="G445" s="15" t="s">
        <v>952</v>
      </c>
      <c r="H445" s="20" t="s">
        <v>1715</v>
      </c>
      <c r="I445" s="16" t="s">
        <v>1716</v>
      </c>
      <c r="J445" s="30">
        <v>43718</v>
      </c>
      <c r="K445" s="30">
        <v>44814</v>
      </c>
      <c r="L445" s="31">
        <f t="shared" si="167"/>
        <v>83.222463484034193</v>
      </c>
      <c r="M445" s="20" t="s">
        <v>259</v>
      </c>
      <c r="N445" s="20" t="s">
        <v>228</v>
      </c>
      <c r="O445" s="20" t="s">
        <v>228</v>
      </c>
      <c r="P445" s="32" t="s">
        <v>260</v>
      </c>
      <c r="Q445" s="20" t="str">
        <f t="shared" si="179"/>
        <v>119 - Investiții în capacitatea instituțională și în eficiența administrațiilor și a serviciilor publice la nivel național, regional și local, în perspectiva realizării de reforme, a unei mai bune legiferări și a bunei guvernanțe</v>
      </c>
      <c r="R445" s="33">
        <f t="shared" si="172"/>
        <v>23842535.080000002</v>
      </c>
      <c r="S445" s="2">
        <v>19226927.140000001</v>
      </c>
      <c r="T445" s="2">
        <v>4615607.9400000004</v>
      </c>
      <c r="U445" s="33">
        <f t="shared" si="173"/>
        <v>2038367.99</v>
      </c>
      <c r="V445" s="2">
        <v>1521074.32</v>
      </c>
      <c r="W445" s="2">
        <v>517293.67</v>
      </c>
      <c r="X445" s="33">
        <f t="shared" si="174"/>
        <v>2508521</v>
      </c>
      <c r="Y445" s="2">
        <v>1871912.76</v>
      </c>
      <c r="Z445" s="2">
        <v>636608.24</v>
      </c>
      <c r="AA445" s="2">
        <f t="shared" si="175"/>
        <v>259733.96</v>
      </c>
      <c r="AB445" s="2">
        <v>206949</v>
      </c>
      <c r="AC445" s="2">
        <v>52784.959999999999</v>
      </c>
      <c r="AD445" s="2">
        <f t="shared" si="176"/>
        <v>28649158.030000001</v>
      </c>
      <c r="AE445" s="2">
        <v>0</v>
      </c>
      <c r="AF445" s="2">
        <f t="shared" si="177"/>
        <v>28649158.030000001</v>
      </c>
      <c r="AG445" s="39" t="s">
        <v>69</v>
      </c>
      <c r="AH445" s="34" t="s">
        <v>35</v>
      </c>
      <c r="AI445" s="35">
        <v>2022490.9200000002</v>
      </c>
      <c r="AJ445" s="36">
        <f>81842.6</f>
        <v>81842.600000000006</v>
      </c>
      <c r="AK445" s="28">
        <f t="shared" si="160"/>
        <v>21820044.16</v>
      </c>
      <c r="AL445" s="28">
        <f t="shared" si="161"/>
        <v>1956525.39</v>
      </c>
      <c r="AM445" s="29">
        <f t="shared" si="162"/>
        <v>8.4827008252848918E-2</v>
      </c>
    </row>
    <row r="446" spans="1:39" ht="192" customHeight="1" x14ac:dyDescent="0.25">
      <c r="A446" s="154">
        <v>443</v>
      </c>
      <c r="B446" s="37">
        <v>127012</v>
      </c>
      <c r="C446" s="37">
        <v>578</v>
      </c>
      <c r="D446" s="40" t="s">
        <v>1649</v>
      </c>
      <c r="E446" s="14" t="s">
        <v>1583</v>
      </c>
      <c r="F446" s="40" t="s">
        <v>1717</v>
      </c>
      <c r="G446" s="15" t="s">
        <v>1718</v>
      </c>
      <c r="H446" s="20" t="s">
        <v>35</v>
      </c>
      <c r="I446" s="16" t="s">
        <v>1719</v>
      </c>
      <c r="J446" s="30">
        <v>43721</v>
      </c>
      <c r="K446" s="30">
        <v>44694</v>
      </c>
      <c r="L446" s="31">
        <f t="shared" si="167"/>
        <v>83.983862900157973</v>
      </c>
      <c r="M446" s="20" t="s">
        <v>259</v>
      </c>
      <c r="N446" s="20" t="s">
        <v>228</v>
      </c>
      <c r="O446" s="20" t="s">
        <v>228</v>
      </c>
      <c r="P446" s="32" t="s">
        <v>260</v>
      </c>
      <c r="Q446" s="20" t="str">
        <f t="shared" si="179"/>
        <v>119 - Investiții în capacitatea instituțională și în eficiența administrațiilor și a serviciilor publice la nivel național, regional și local, în perspectiva realizării de reforme, a unei mai bune legiferări și a bunei guvernanțe</v>
      </c>
      <c r="R446" s="33">
        <f t="shared" si="172"/>
        <v>20491271.68</v>
      </c>
      <c r="S446" s="2">
        <v>16524425.310000001</v>
      </c>
      <c r="T446" s="2">
        <v>3966846.37</v>
      </c>
      <c r="U446" s="33">
        <f t="shared" si="173"/>
        <v>0</v>
      </c>
      <c r="V446" s="2">
        <v>0</v>
      </c>
      <c r="W446" s="2">
        <v>0</v>
      </c>
      <c r="X446" s="33">
        <f t="shared" si="174"/>
        <v>3907786.63</v>
      </c>
      <c r="Y446" s="2">
        <v>2916075.03</v>
      </c>
      <c r="Z446" s="2">
        <v>991711.6</v>
      </c>
      <c r="AA446" s="2">
        <f t="shared" si="175"/>
        <v>0</v>
      </c>
      <c r="AB446" s="2">
        <v>0</v>
      </c>
      <c r="AC446" s="2">
        <v>0</v>
      </c>
      <c r="AD446" s="2">
        <f t="shared" si="176"/>
        <v>24399058.309999999</v>
      </c>
      <c r="AE446" s="2">
        <v>0</v>
      </c>
      <c r="AF446" s="2">
        <f t="shared" si="177"/>
        <v>24399058.309999999</v>
      </c>
      <c r="AG446" s="39" t="s">
        <v>69</v>
      </c>
      <c r="AH446" s="34"/>
      <c r="AI446" s="35">
        <v>0</v>
      </c>
      <c r="AJ446" s="36">
        <v>0</v>
      </c>
      <c r="AK446" s="28">
        <f t="shared" si="160"/>
        <v>20491271.68</v>
      </c>
      <c r="AL446" s="28">
        <f t="shared" si="161"/>
        <v>0</v>
      </c>
      <c r="AM446" s="29">
        <f t="shared" si="162"/>
        <v>0</v>
      </c>
    </row>
    <row r="447" spans="1:39" ht="192" customHeight="1" x14ac:dyDescent="0.25">
      <c r="A447" s="154">
        <v>444</v>
      </c>
      <c r="B447" s="37">
        <v>126983</v>
      </c>
      <c r="C447" s="37">
        <v>589</v>
      </c>
      <c r="D447" s="40" t="s">
        <v>1649</v>
      </c>
      <c r="E447" s="14" t="s">
        <v>1583</v>
      </c>
      <c r="F447" s="40" t="s">
        <v>1720</v>
      </c>
      <c r="G447" s="15" t="s">
        <v>1718</v>
      </c>
      <c r="H447" s="20" t="s">
        <v>35</v>
      </c>
      <c r="I447" s="16" t="s">
        <v>1721</v>
      </c>
      <c r="J447" s="30">
        <v>43721</v>
      </c>
      <c r="K447" s="30">
        <v>44694</v>
      </c>
      <c r="L447" s="31">
        <f t="shared" si="167"/>
        <v>83.983862838975881</v>
      </c>
      <c r="M447" s="20" t="s">
        <v>259</v>
      </c>
      <c r="N447" s="20" t="s">
        <v>228</v>
      </c>
      <c r="O447" s="20" t="s">
        <v>228</v>
      </c>
      <c r="P447" s="32" t="s">
        <v>260</v>
      </c>
      <c r="Q447" s="20" t="str">
        <f t="shared" si="179"/>
        <v>119 - Investiții în capacitatea instituțională și în eficiența administrațiilor și a serviciilor publice la nivel național, regional și local, în perspectiva realizării de reforme, a unei mai bune legiferări și a bunei guvernanțe</v>
      </c>
      <c r="R447" s="33">
        <f t="shared" si="172"/>
        <v>23507069.830000002</v>
      </c>
      <c r="S447" s="2">
        <v>18956403.760000002</v>
      </c>
      <c r="T447" s="2">
        <v>4550666.07</v>
      </c>
      <c r="U447" s="33">
        <f t="shared" si="173"/>
        <v>0</v>
      </c>
      <c r="V447" s="2">
        <v>0</v>
      </c>
      <c r="W447" s="2">
        <v>0</v>
      </c>
      <c r="X447" s="33">
        <f t="shared" si="174"/>
        <v>4482914.24</v>
      </c>
      <c r="Y447" s="2">
        <v>3345247.72</v>
      </c>
      <c r="Z447" s="2">
        <v>1137666.52</v>
      </c>
      <c r="AA447" s="2">
        <f t="shared" si="175"/>
        <v>0</v>
      </c>
      <c r="AB447" s="2">
        <v>0</v>
      </c>
      <c r="AC447" s="2">
        <v>0</v>
      </c>
      <c r="AD447" s="2">
        <f t="shared" si="176"/>
        <v>27989984.07</v>
      </c>
      <c r="AE447" s="2">
        <v>0</v>
      </c>
      <c r="AF447" s="2">
        <f t="shared" si="177"/>
        <v>27989984.07</v>
      </c>
      <c r="AG447" s="39" t="s">
        <v>69</v>
      </c>
      <c r="AH447" s="34"/>
      <c r="AI447" s="35">
        <v>0</v>
      </c>
      <c r="AJ447" s="36">
        <v>0</v>
      </c>
      <c r="AK447" s="28">
        <f t="shared" si="160"/>
        <v>23507069.830000002</v>
      </c>
      <c r="AL447" s="28">
        <f t="shared" si="161"/>
        <v>0</v>
      </c>
      <c r="AM447" s="29">
        <f t="shared" si="162"/>
        <v>0</v>
      </c>
    </row>
    <row r="448" spans="1:39" ht="192" customHeight="1" x14ac:dyDescent="0.25">
      <c r="A448" s="154">
        <v>445</v>
      </c>
      <c r="B448" s="37">
        <v>127577</v>
      </c>
      <c r="C448" s="37">
        <v>598</v>
      </c>
      <c r="D448" s="40" t="s">
        <v>1649</v>
      </c>
      <c r="E448" s="14" t="s">
        <v>1583</v>
      </c>
      <c r="F448" s="40" t="s">
        <v>1722</v>
      </c>
      <c r="G448" s="15" t="s">
        <v>1723</v>
      </c>
      <c r="H448" s="20" t="s">
        <v>1724</v>
      </c>
      <c r="I448" s="16" t="s">
        <v>1725</v>
      </c>
      <c r="J448" s="30">
        <v>43725</v>
      </c>
      <c r="K448" s="30">
        <v>44821</v>
      </c>
      <c r="L448" s="31">
        <f t="shared" si="167"/>
        <v>83.983862948048795</v>
      </c>
      <c r="M448" s="20" t="s">
        <v>259</v>
      </c>
      <c r="N448" s="20" t="s">
        <v>228</v>
      </c>
      <c r="O448" s="20" t="s">
        <v>228</v>
      </c>
      <c r="P448" s="32" t="s">
        <v>260</v>
      </c>
      <c r="Q448" s="20" t="str">
        <f t="shared" si="179"/>
        <v>119 - Investiții în capacitatea instituțională și în eficiența administrațiilor și a serviciilor publice la nivel național, regional și local, în perspectiva realizării de reforme, a unei mai bune legiferări și a bunei guvernanțe</v>
      </c>
      <c r="R448" s="33">
        <f t="shared" si="172"/>
        <v>23213481.339999996</v>
      </c>
      <c r="S448" s="2">
        <v>18719650.239999998</v>
      </c>
      <c r="T448" s="2">
        <v>4493831.0999999996</v>
      </c>
      <c r="U448" s="33">
        <f t="shared" si="173"/>
        <v>50732.75</v>
      </c>
      <c r="V448" s="2">
        <v>37491.93</v>
      </c>
      <c r="W448" s="2">
        <v>13240.82</v>
      </c>
      <c r="X448" s="33">
        <f t="shared" si="174"/>
        <v>4376192.68</v>
      </c>
      <c r="Y448" s="2">
        <v>3265975.71</v>
      </c>
      <c r="Z448" s="2">
        <v>1110216.97</v>
      </c>
      <c r="AA448" s="2">
        <f t="shared" si="175"/>
        <v>0</v>
      </c>
      <c r="AB448" s="2">
        <v>0</v>
      </c>
      <c r="AC448" s="2">
        <v>0</v>
      </c>
      <c r="AD448" s="2">
        <f t="shared" si="176"/>
        <v>27640406.769999996</v>
      </c>
      <c r="AE448" s="2">
        <v>0</v>
      </c>
      <c r="AF448" s="2">
        <f t="shared" si="177"/>
        <v>27640406.769999996</v>
      </c>
      <c r="AG448" s="39" t="s">
        <v>69</v>
      </c>
      <c r="AH448" s="34"/>
      <c r="AI448" s="35">
        <f>1727422.58+344989.77</f>
        <v>2072412.35</v>
      </c>
      <c r="AJ448" s="36">
        <f>203.79+970.06</f>
        <v>1173.8499999999999</v>
      </c>
      <c r="AK448" s="28">
        <f t="shared" si="160"/>
        <v>21141068.989999995</v>
      </c>
      <c r="AL448" s="28">
        <f t="shared" si="161"/>
        <v>49558.9</v>
      </c>
      <c r="AM448" s="29">
        <f t="shared" si="162"/>
        <v>8.9276240803612281E-2</v>
      </c>
    </row>
    <row r="449" spans="1:39" ht="192" customHeight="1" x14ac:dyDescent="0.25">
      <c r="A449" s="154">
        <v>446</v>
      </c>
      <c r="B449" s="37">
        <v>130074</v>
      </c>
      <c r="C449" s="37">
        <v>714</v>
      </c>
      <c r="D449" s="40" t="s">
        <v>254</v>
      </c>
      <c r="E449" s="14" t="s">
        <v>1619</v>
      </c>
      <c r="F449" s="40" t="s">
        <v>1726</v>
      </c>
      <c r="G449" s="15" t="s">
        <v>1727</v>
      </c>
      <c r="H449" s="20" t="s">
        <v>35</v>
      </c>
      <c r="I449" s="16" t="s">
        <v>1728</v>
      </c>
      <c r="J449" s="30">
        <v>43734</v>
      </c>
      <c r="K449" s="30">
        <v>44465</v>
      </c>
      <c r="L449" s="31">
        <f t="shared" si="167"/>
        <v>83.983862788054537</v>
      </c>
      <c r="M449" s="20" t="s">
        <v>259</v>
      </c>
      <c r="N449" s="20" t="s">
        <v>228</v>
      </c>
      <c r="O449" s="20" t="s">
        <v>228</v>
      </c>
      <c r="P449" s="32" t="s">
        <v>260</v>
      </c>
      <c r="Q449" s="20" t="s">
        <v>40</v>
      </c>
      <c r="R449" s="33">
        <f t="shared" si="172"/>
        <v>12261622.399999999</v>
      </c>
      <c r="S449" s="2">
        <v>9887930.1899999995</v>
      </c>
      <c r="T449" s="2">
        <v>2373692.21</v>
      </c>
      <c r="U449" s="33">
        <f t="shared" si="173"/>
        <v>0</v>
      </c>
      <c r="V449" s="2">
        <v>0</v>
      </c>
      <c r="W449" s="2">
        <v>0</v>
      </c>
      <c r="X449" s="33">
        <f t="shared" si="174"/>
        <v>2338351.92</v>
      </c>
      <c r="Y449" s="2">
        <v>1744928.84</v>
      </c>
      <c r="Z449" s="2">
        <v>593423.07999999996</v>
      </c>
      <c r="AA449" s="2">
        <f t="shared" si="175"/>
        <v>0</v>
      </c>
      <c r="AB449" s="2">
        <v>0</v>
      </c>
      <c r="AC449" s="2">
        <v>0</v>
      </c>
      <c r="AD449" s="2">
        <f t="shared" si="176"/>
        <v>14599974.319999998</v>
      </c>
      <c r="AE449" s="2">
        <v>0</v>
      </c>
      <c r="AF449" s="2">
        <f t="shared" si="177"/>
        <v>14599974.319999998</v>
      </c>
      <c r="AG449" s="39" t="s">
        <v>69</v>
      </c>
      <c r="AH449" s="34"/>
      <c r="AI449" s="35">
        <v>129003.07</v>
      </c>
      <c r="AJ449" s="36">
        <v>0</v>
      </c>
      <c r="AK449" s="28">
        <f t="shared" si="160"/>
        <v>12132619.329999998</v>
      </c>
      <c r="AL449" s="28">
        <f t="shared" si="161"/>
        <v>0</v>
      </c>
      <c r="AM449" s="29">
        <f t="shared" si="162"/>
        <v>1.0520880988799657E-2</v>
      </c>
    </row>
    <row r="450" spans="1:39" ht="192" customHeight="1" x14ac:dyDescent="0.25">
      <c r="A450" s="154">
        <v>447</v>
      </c>
      <c r="B450" s="37">
        <v>129720</v>
      </c>
      <c r="C450" s="37">
        <v>711</v>
      </c>
      <c r="D450" s="40" t="s">
        <v>254</v>
      </c>
      <c r="E450" s="14" t="s">
        <v>1619</v>
      </c>
      <c r="F450" s="40" t="s">
        <v>1729</v>
      </c>
      <c r="G450" s="32" t="s">
        <v>853</v>
      </c>
      <c r="H450" s="20" t="s">
        <v>1730</v>
      </c>
      <c r="I450" s="71" t="s">
        <v>1731</v>
      </c>
      <c r="J450" s="30">
        <v>43735</v>
      </c>
      <c r="K450" s="30">
        <v>44466</v>
      </c>
      <c r="L450" s="31">
        <f t="shared" si="167"/>
        <v>83.983862799999997</v>
      </c>
      <c r="M450" s="20" t="s">
        <v>259</v>
      </c>
      <c r="N450" s="20" t="s">
        <v>228</v>
      </c>
      <c r="O450" s="20" t="s">
        <v>228</v>
      </c>
      <c r="P450" s="32" t="s">
        <v>260</v>
      </c>
      <c r="Q450" s="20" t="s">
        <v>40</v>
      </c>
      <c r="R450" s="33">
        <f t="shared" si="172"/>
        <v>16796772.560000002</v>
      </c>
      <c r="S450" s="2">
        <v>13545133.640000001</v>
      </c>
      <c r="T450" s="2">
        <v>3251638.92</v>
      </c>
      <c r="U450" s="33">
        <f t="shared" si="173"/>
        <v>0</v>
      </c>
      <c r="V450" s="2">
        <v>0</v>
      </c>
      <c r="W450" s="2">
        <v>0</v>
      </c>
      <c r="X450" s="33">
        <f t="shared" si="174"/>
        <v>3203227.4400000004</v>
      </c>
      <c r="Y450" s="2">
        <v>2390317.7200000002</v>
      </c>
      <c r="Z450" s="2">
        <v>812909.72</v>
      </c>
      <c r="AA450" s="2">
        <f t="shared" si="175"/>
        <v>0</v>
      </c>
      <c r="AB450" s="2">
        <v>0</v>
      </c>
      <c r="AC450" s="2">
        <v>0</v>
      </c>
      <c r="AD450" s="2">
        <f t="shared" si="176"/>
        <v>20000000.000000004</v>
      </c>
      <c r="AE450" s="2">
        <v>3531910</v>
      </c>
      <c r="AF450" s="2">
        <f t="shared" si="177"/>
        <v>23531910.000000004</v>
      </c>
      <c r="AG450" s="39" t="s">
        <v>69</v>
      </c>
      <c r="AH450" s="34">
        <v>43818</v>
      </c>
      <c r="AI450" s="35">
        <v>1613109.94</v>
      </c>
      <c r="AJ450" s="36">
        <v>0</v>
      </c>
      <c r="AK450" s="28">
        <f t="shared" si="160"/>
        <v>15183662.620000003</v>
      </c>
      <c r="AL450" s="28">
        <f t="shared" si="161"/>
        <v>0</v>
      </c>
      <c r="AM450" s="29">
        <f t="shared" si="162"/>
        <v>9.6036898412345931E-2</v>
      </c>
    </row>
    <row r="451" spans="1:39" ht="192" customHeight="1" x14ac:dyDescent="0.25">
      <c r="A451" s="154">
        <v>448</v>
      </c>
      <c r="B451" s="37">
        <v>129934</v>
      </c>
      <c r="C451" s="37">
        <v>717</v>
      </c>
      <c r="D451" s="40" t="s">
        <v>254</v>
      </c>
      <c r="E451" s="14" t="s">
        <v>1619</v>
      </c>
      <c r="F451" s="40" t="s">
        <v>1732</v>
      </c>
      <c r="G451" s="15" t="s">
        <v>1733</v>
      </c>
      <c r="H451" s="20" t="s">
        <v>1730</v>
      </c>
      <c r="I451" s="71" t="s">
        <v>1734</v>
      </c>
      <c r="J451" s="30">
        <v>43735</v>
      </c>
      <c r="K451" s="30">
        <v>44466</v>
      </c>
      <c r="L451" s="31">
        <f t="shared" si="167"/>
        <v>83.983863006039599</v>
      </c>
      <c r="M451" s="20" t="s">
        <v>259</v>
      </c>
      <c r="N451" s="20" t="s">
        <v>228</v>
      </c>
      <c r="O451" s="20" t="s">
        <v>228</v>
      </c>
      <c r="P451" s="32" t="s">
        <v>260</v>
      </c>
      <c r="Q451" s="20" t="s">
        <v>40</v>
      </c>
      <c r="R451" s="33">
        <f t="shared" si="172"/>
        <v>16734381.93</v>
      </c>
      <c r="S451" s="2">
        <v>13494821.039999999</v>
      </c>
      <c r="T451" s="2">
        <v>3239560.89</v>
      </c>
      <c r="U451" s="33">
        <f t="shared" si="173"/>
        <v>0</v>
      </c>
      <c r="V451" s="2">
        <v>0</v>
      </c>
      <c r="W451" s="2">
        <v>0</v>
      </c>
      <c r="X451" s="33">
        <f t="shared" si="174"/>
        <v>3191329.19</v>
      </c>
      <c r="Y451" s="2">
        <v>2381438.98</v>
      </c>
      <c r="Z451" s="2">
        <v>809890.21</v>
      </c>
      <c r="AA451" s="2">
        <f t="shared" si="175"/>
        <v>0</v>
      </c>
      <c r="AB451" s="2">
        <v>0</v>
      </c>
      <c r="AC451" s="2">
        <v>0</v>
      </c>
      <c r="AD451" s="2">
        <f t="shared" si="176"/>
        <v>19925711.120000001</v>
      </c>
      <c r="AE451" s="2">
        <v>0</v>
      </c>
      <c r="AF451" s="2">
        <f t="shared" si="177"/>
        <v>19925711.120000001</v>
      </c>
      <c r="AG451" s="39" t="s">
        <v>69</v>
      </c>
      <c r="AH451" s="34"/>
      <c r="AI451" s="35">
        <v>0</v>
      </c>
      <c r="AJ451" s="36">
        <v>0</v>
      </c>
      <c r="AK451" s="28">
        <f t="shared" si="160"/>
        <v>16734381.93</v>
      </c>
      <c r="AL451" s="28">
        <f t="shared" si="161"/>
        <v>0</v>
      </c>
      <c r="AM451" s="29">
        <f t="shared" si="162"/>
        <v>0</v>
      </c>
    </row>
    <row r="452" spans="1:39" ht="192" customHeight="1" x14ac:dyDescent="0.25">
      <c r="A452" s="154">
        <v>449</v>
      </c>
      <c r="B452" s="37">
        <v>129864</v>
      </c>
      <c r="C452" s="37">
        <v>712</v>
      </c>
      <c r="D452" s="40" t="s">
        <v>254</v>
      </c>
      <c r="E452" s="14" t="s">
        <v>1619</v>
      </c>
      <c r="F452" s="40" t="s">
        <v>1735</v>
      </c>
      <c r="G452" s="15" t="s">
        <v>1736</v>
      </c>
      <c r="H452" s="20" t="s">
        <v>1730</v>
      </c>
      <c r="I452" s="71" t="s">
        <v>1737</v>
      </c>
      <c r="J452" s="30">
        <v>43739</v>
      </c>
      <c r="K452" s="30">
        <v>44470</v>
      </c>
      <c r="L452" s="31">
        <f t="shared" si="167"/>
        <v>83.983862870547185</v>
      </c>
      <c r="M452" s="20" t="s">
        <v>259</v>
      </c>
      <c r="N452" s="20" t="s">
        <v>228</v>
      </c>
      <c r="O452" s="20" t="s">
        <v>228</v>
      </c>
      <c r="P452" s="32" t="s">
        <v>260</v>
      </c>
      <c r="Q452" s="20" t="s">
        <v>40</v>
      </c>
      <c r="R452" s="33">
        <f t="shared" si="172"/>
        <v>12555453.99</v>
      </c>
      <c r="S452" s="2">
        <v>10124879.76</v>
      </c>
      <c r="T452" s="2">
        <v>2430574.23</v>
      </c>
      <c r="U452" s="33">
        <f t="shared" si="173"/>
        <v>0</v>
      </c>
      <c r="V452" s="2">
        <v>0</v>
      </c>
      <c r="W452" s="2">
        <v>0</v>
      </c>
      <c r="X452" s="33">
        <f t="shared" si="174"/>
        <v>2394387.04</v>
      </c>
      <c r="Y452" s="2">
        <v>1786743.47</v>
      </c>
      <c r="Z452" s="2">
        <v>607643.56999999995</v>
      </c>
      <c r="AA452" s="2">
        <f t="shared" si="175"/>
        <v>0</v>
      </c>
      <c r="AB452" s="2">
        <v>0</v>
      </c>
      <c r="AC452" s="2">
        <v>0</v>
      </c>
      <c r="AD452" s="2">
        <f t="shared" si="176"/>
        <v>14949841.030000001</v>
      </c>
      <c r="AE452" s="2">
        <v>0</v>
      </c>
      <c r="AF452" s="2">
        <f t="shared" si="177"/>
        <v>14949841.030000001</v>
      </c>
      <c r="AG452" s="39" t="s">
        <v>69</v>
      </c>
      <c r="AH452" s="34"/>
      <c r="AI452" s="35">
        <f>64994.98</f>
        <v>64994.98</v>
      </c>
      <c r="AJ452" s="36">
        <v>0</v>
      </c>
      <c r="AK452" s="28">
        <f t="shared" si="160"/>
        <v>12490459.01</v>
      </c>
      <c r="AL452" s="28">
        <f t="shared" si="161"/>
        <v>0</v>
      </c>
      <c r="AM452" s="29">
        <f t="shared" si="162"/>
        <v>5.1766332027313655E-3</v>
      </c>
    </row>
    <row r="453" spans="1:39" ht="192" customHeight="1" x14ac:dyDescent="0.25">
      <c r="A453" s="154">
        <v>450</v>
      </c>
      <c r="B453" s="37">
        <v>129721</v>
      </c>
      <c r="C453" s="37">
        <v>708</v>
      </c>
      <c r="D453" s="40" t="s">
        <v>254</v>
      </c>
      <c r="E453" s="14" t="s">
        <v>1619</v>
      </c>
      <c r="F453" s="40" t="s">
        <v>1738</v>
      </c>
      <c r="G453" s="15" t="s">
        <v>1632</v>
      </c>
      <c r="H453" s="20" t="s">
        <v>1730</v>
      </c>
      <c r="I453" s="71" t="s">
        <v>1739</v>
      </c>
      <c r="J453" s="30">
        <v>43739</v>
      </c>
      <c r="K453" s="30">
        <v>44835</v>
      </c>
      <c r="L453" s="31">
        <f t="shared" si="167"/>
        <v>83.983863005238476</v>
      </c>
      <c r="M453" s="20" t="s">
        <v>259</v>
      </c>
      <c r="N453" s="20" t="s">
        <v>228</v>
      </c>
      <c r="O453" s="20" t="s">
        <v>228</v>
      </c>
      <c r="P453" s="32" t="s">
        <v>260</v>
      </c>
      <c r="Q453" s="20" t="s">
        <v>40</v>
      </c>
      <c r="R453" s="33">
        <f t="shared" si="172"/>
        <v>18405842.150000002</v>
      </c>
      <c r="S453" s="2">
        <v>14842708.050000001</v>
      </c>
      <c r="T453" s="2">
        <v>3563134.1</v>
      </c>
      <c r="U453" s="33">
        <f t="shared" si="173"/>
        <v>0</v>
      </c>
      <c r="V453" s="2">
        <v>0</v>
      </c>
      <c r="W453" s="2">
        <v>0</v>
      </c>
      <c r="X453" s="33">
        <f t="shared" si="174"/>
        <v>3510084.9</v>
      </c>
      <c r="Y453" s="2">
        <v>2619301.42</v>
      </c>
      <c r="Z453" s="2">
        <v>890783.48</v>
      </c>
      <c r="AA453" s="2">
        <f t="shared" si="175"/>
        <v>0</v>
      </c>
      <c r="AB453" s="2">
        <v>0</v>
      </c>
      <c r="AC453" s="2">
        <v>0</v>
      </c>
      <c r="AD453" s="2">
        <f t="shared" si="176"/>
        <v>21915927.050000001</v>
      </c>
      <c r="AE453" s="2">
        <v>0</v>
      </c>
      <c r="AF453" s="2">
        <f t="shared" si="177"/>
        <v>21915927.050000001</v>
      </c>
      <c r="AG453" s="39" t="s">
        <v>69</v>
      </c>
      <c r="AH453" s="34"/>
      <c r="AI453" s="35">
        <v>0</v>
      </c>
      <c r="AJ453" s="36">
        <v>0</v>
      </c>
      <c r="AK453" s="28">
        <f t="shared" ref="AK453:AK480" si="180">R453-AI453</f>
        <v>18405842.150000002</v>
      </c>
      <c r="AL453" s="28">
        <f t="shared" ref="AL453:AL480" si="181">U453-AJ453</f>
        <v>0</v>
      </c>
      <c r="AM453" s="29">
        <f t="shared" ref="AM453:AM481" si="182">AI453/R453</f>
        <v>0</v>
      </c>
    </row>
    <row r="454" spans="1:39" ht="192" customHeight="1" x14ac:dyDescent="0.25">
      <c r="A454" s="154">
        <v>451</v>
      </c>
      <c r="B454" s="37">
        <v>129513</v>
      </c>
      <c r="C454" s="37">
        <v>751</v>
      </c>
      <c r="D454" s="40" t="s">
        <v>861</v>
      </c>
      <c r="E454" s="14" t="s">
        <v>1657</v>
      </c>
      <c r="F454" s="40" t="s">
        <v>1740</v>
      </c>
      <c r="G454" s="15" t="s">
        <v>1604</v>
      </c>
      <c r="H454" s="20" t="s">
        <v>1730</v>
      </c>
      <c r="I454" s="71" t="s">
        <v>1741</v>
      </c>
      <c r="J454" s="30">
        <v>43740</v>
      </c>
      <c r="K454" s="30">
        <v>44836</v>
      </c>
      <c r="L454" s="31">
        <f t="shared" si="167"/>
        <v>83.983862858239434</v>
      </c>
      <c r="M454" s="20" t="s">
        <v>259</v>
      </c>
      <c r="N454" s="20" t="s">
        <v>228</v>
      </c>
      <c r="O454" s="20" t="s">
        <v>228</v>
      </c>
      <c r="P454" s="32" t="s">
        <v>260</v>
      </c>
      <c r="Q454" s="20" t="s">
        <v>40</v>
      </c>
      <c r="R454" s="33">
        <f t="shared" si="172"/>
        <v>60843812.590000004</v>
      </c>
      <c r="S454" s="2">
        <v>49065233.810000002</v>
      </c>
      <c r="T454" s="2">
        <v>11778578.779999999</v>
      </c>
      <c r="U454" s="33">
        <f t="shared" si="173"/>
        <v>0</v>
      </c>
      <c r="V454" s="2">
        <v>0</v>
      </c>
      <c r="W454" s="2">
        <v>0</v>
      </c>
      <c r="X454" s="33">
        <f t="shared" si="174"/>
        <v>11603215.35</v>
      </c>
      <c r="Y454" s="2">
        <v>8658570.6799999997</v>
      </c>
      <c r="Z454" s="2">
        <v>2944644.67</v>
      </c>
      <c r="AA454" s="2">
        <f t="shared" si="175"/>
        <v>0</v>
      </c>
      <c r="AB454" s="2">
        <v>0</v>
      </c>
      <c r="AC454" s="2">
        <v>0</v>
      </c>
      <c r="AD454" s="2">
        <f t="shared" si="176"/>
        <v>72447027.939999998</v>
      </c>
      <c r="AE454" s="2">
        <v>0</v>
      </c>
      <c r="AF454" s="2">
        <f t="shared" si="177"/>
        <v>72447027.939999998</v>
      </c>
      <c r="AG454" s="39" t="s">
        <v>69</v>
      </c>
      <c r="AH454" s="34"/>
      <c r="AI454" s="35">
        <f>130652.02</f>
        <v>130652.02</v>
      </c>
      <c r="AJ454" s="36">
        <v>0</v>
      </c>
      <c r="AK454" s="28">
        <f t="shared" si="180"/>
        <v>60713160.57</v>
      </c>
      <c r="AL454" s="28">
        <f t="shared" si="181"/>
        <v>0</v>
      </c>
      <c r="AM454" s="29">
        <f t="shared" si="182"/>
        <v>2.1473345347440202E-3</v>
      </c>
    </row>
    <row r="455" spans="1:39" ht="192" customHeight="1" x14ac:dyDescent="0.25">
      <c r="A455" s="154">
        <v>452</v>
      </c>
      <c r="B455" s="37">
        <v>127623</v>
      </c>
      <c r="C455" s="37">
        <v>595</v>
      </c>
      <c r="D455" s="20" t="s">
        <v>254</v>
      </c>
      <c r="E455" s="14" t="s">
        <v>1583</v>
      </c>
      <c r="F455" s="40" t="s">
        <v>1742</v>
      </c>
      <c r="G455" s="32" t="s">
        <v>257</v>
      </c>
      <c r="H455" s="20" t="s">
        <v>1730</v>
      </c>
      <c r="I455" s="71" t="s">
        <v>1743</v>
      </c>
      <c r="J455" s="30">
        <v>43747</v>
      </c>
      <c r="K455" s="30">
        <v>44660</v>
      </c>
      <c r="L455" s="31">
        <f t="shared" si="167"/>
        <v>83.983863127601538</v>
      </c>
      <c r="M455" s="20" t="s">
        <v>259</v>
      </c>
      <c r="N455" s="20" t="s">
        <v>228</v>
      </c>
      <c r="O455" s="20" t="s">
        <v>228</v>
      </c>
      <c r="P455" s="32" t="s">
        <v>260</v>
      </c>
      <c r="Q455" s="20" t="s">
        <v>40</v>
      </c>
      <c r="R455" s="33">
        <f t="shared" si="172"/>
        <v>9906922.4600000009</v>
      </c>
      <c r="S455" s="2">
        <v>7989069.8300000001</v>
      </c>
      <c r="T455" s="2">
        <v>1917852.63</v>
      </c>
      <c r="U455" s="33">
        <f t="shared" si="173"/>
        <v>0</v>
      </c>
      <c r="V455" s="2">
        <v>0</v>
      </c>
      <c r="W455" s="2">
        <v>0</v>
      </c>
      <c r="X455" s="33">
        <f t="shared" si="174"/>
        <v>1889298.97</v>
      </c>
      <c r="Y455" s="2">
        <v>1409835.81</v>
      </c>
      <c r="Z455" s="2">
        <v>479463.16</v>
      </c>
      <c r="AA455" s="2">
        <f t="shared" si="175"/>
        <v>0</v>
      </c>
      <c r="AB455" s="2">
        <v>0</v>
      </c>
      <c r="AC455" s="2">
        <v>0</v>
      </c>
      <c r="AD455" s="2">
        <f t="shared" si="176"/>
        <v>11796221.430000002</v>
      </c>
      <c r="AE455" s="2">
        <v>0</v>
      </c>
      <c r="AF455" s="2">
        <f t="shared" si="177"/>
        <v>11796221.430000002</v>
      </c>
      <c r="AG455" s="39" t="s">
        <v>69</v>
      </c>
      <c r="AH455" s="34"/>
      <c r="AI455" s="35">
        <v>132598.51999999999</v>
      </c>
      <c r="AJ455" s="36">
        <v>0</v>
      </c>
      <c r="AK455" s="28">
        <f t="shared" si="180"/>
        <v>9774323.9400000013</v>
      </c>
      <c r="AL455" s="28">
        <f t="shared" si="181"/>
        <v>0</v>
      </c>
      <c r="AM455" s="29">
        <f t="shared" si="182"/>
        <v>1.3384430991095087E-2</v>
      </c>
    </row>
    <row r="456" spans="1:39" ht="192" customHeight="1" x14ac:dyDescent="0.25">
      <c r="A456" s="154">
        <v>453</v>
      </c>
      <c r="B456" s="37">
        <v>127598</v>
      </c>
      <c r="C456" s="37">
        <v>608</v>
      </c>
      <c r="D456" s="20" t="s">
        <v>254</v>
      </c>
      <c r="E456" s="14" t="s">
        <v>1583</v>
      </c>
      <c r="F456" s="40" t="s">
        <v>1744</v>
      </c>
      <c r="G456" s="32" t="s">
        <v>930</v>
      </c>
      <c r="H456" s="20" t="s">
        <v>1745</v>
      </c>
      <c r="I456" s="71" t="s">
        <v>1746</v>
      </c>
      <c r="J456" s="30">
        <v>43749</v>
      </c>
      <c r="K456" s="30">
        <v>44845</v>
      </c>
      <c r="L456" s="31">
        <f t="shared" si="167"/>
        <v>83.983863222222226</v>
      </c>
      <c r="M456" s="20" t="s">
        <v>259</v>
      </c>
      <c r="N456" s="20" t="s">
        <v>228</v>
      </c>
      <c r="O456" s="20" t="s">
        <v>228</v>
      </c>
      <c r="P456" s="32" t="s">
        <v>260</v>
      </c>
      <c r="Q456" s="20" t="s">
        <v>40</v>
      </c>
      <c r="R456" s="33">
        <f t="shared" si="172"/>
        <v>15117095.379999999</v>
      </c>
      <c r="S456" s="2">
        <v>12190620.34</v>
      </c>
      <c r="T456" s="2">
        <v>2926475.04</v>
      </c>
      <c r="U456" s="33">
        <f t="shared" si="173"/>
        <v>1618328.4200000002</v>
      </c>
      <c r="V456" s="2">
        <v>1195958.3700000001</v>
      </c>
      <c r="W456" s="2">
        <v>422370.05</v>
      </c>
      <c r="X456" s="33">
        <f t="shared" si="174"/>
        <v>1264576.2</v>
      </c>
      <c r="Y456" s="2">
        <v>955327.51</v>
      </c>
      <c r="Z456" s="2">
        <v>309248.69</v>
      </c>
      <c r="AA456" s="2">
        <f t="shared" si="175"/>
        <v>0</v>
      </c>
      <c r="AB456" s="2">
        <v>0</v>
      </c>
      <c r="AC456" s="2">
        <v>0</v>
      </c>
      <c r="AD456" s="2">
        <f t="shared" si="176"/>
        <v>18000000</v>
      </c>
      <c r="AE456" s="2">
        <v>0</v>
      </c>
      <c r="AF456" s="2">
        <f t="shared" si="177"/>
        <v>18000000</v>
      </c>
      <c r="AG456" s="39" t="s">
        <v>69</v>
      </c>
      <c r="AH456" s="34"/>
      <c r="AI456" s="35">
        <v>1293948.0499999996</v>
      </c>
      <c r="AJ456" s="36">
        <v>14801.23</v>
      </c>
      <c r="AK456" s="28">
        <f t="shared" si="180"/>
        <v>13823147.33</v>
      </c>
      <c r="AL456" s="28">
        <f t="shared" si="181"/>
        <v>1603527.1900000002</v>
      </c>
      <c r="AM456" s="29">
        <f t="shared" si="182"/>
        <v>8.5595017923343925E-2</v>
      </c>
    </row>
    <row r="457" spans="1:39" ht="192" customHeight="1" x14ac:dyDescent="0.25">
      <c r="A457" s="154">
        <v>454</v>
      </c>
      <c r="B457" s="37">
        <v>129427</v>
      </c>
      <c r="C457" s="37">
        <v>702</v>
      </c>
      <c r="D457" s="40" t="s">
        <v>254</v>
      </c>
      <c r="E457" s="14" t="s">
        <v>1619</v>
      </c>
      <c r="F457" s="15" t="s">
        <v>1747</v>
      </c>
      <c r="G457" s="20" t="s">
        <v>1748</v>
      </c>
      <c r="H457" s="20" t="s">
        <v>35</v>
      </c>
      <c r="I457" s="55" t="s">
        <v>1749</v>
      </c>
      <c r="J457" s="30">
        <v>43749</v>
      </c>
      <c r="K457" s="30">
        <v>44662</v>
      </c>
      <c r="L457" s="31">
        <f t="shared" si="167"/>
        <v>83.983863368336614</v>
      </c>
      <c r="M457" s="20" t="s">
        <v>259</v>
      </c>
      <c r="N457" s="20" t="s">
        <v>228</v>
      </c>
      <c r="O457" s="20" t="s">
        <v>228</v>
      </c>
      <c r="P457" s="32" t="s">
        <v>260</v>
      </c>
      <c r="Q457" s="20" t="s">
        <v>40</v>
      </c>
      <c r="R457" s="33">
        <f t="shared" si="172"/>
        <v>5463727.5500000007</v>
      </c>
      <c r="S457" s="2">
        <v>4406020.2300000004</v>
      </c>
      <c r="T457" s="2">
        <v>1057707.32</v>
      </c>
      <c r="U457" s="33">
        <f t="shared" si="173"/>
        <v>0</v>
      </c>
      <c r="V457" s="2">
        <v>0</v>
      </c>
      <c r="W457" s="2">
        <v>0</v>
      </c>
      <c r="X457" s="33">
        <f t="shared" si="174"/>
        <v>1041959.77</v>
      </c>
      <c r="Y457" s="2">
        <v>777532.96</v>
      </c>
      <c r="Z457" s="2">
        <v>264426.81</v>
      </c>
      <c r="AA457" s="2">
        <f t="shared" si="175"/>
        <v>0</v>
      </c>
      <c r="AB457" s="2">
        <v>0</v>
      </c>
      <c r="AC457" s="2">
        <v>0</v>
      </c>
      <c r="AD457" s="2">
        <f t="shared" si="176"/>
        <v>6505687.3200000003</v>
      </c>
      <c r="AE457" s="2">
        <v>0</v>
      </c>
      <c r="AF457" s="2">
        <f t="shared" si="177"/>
        <v>6505687.3200000003</v>
      </c>
      <c r="AG457" s="39" t="s">
        <v>69</v>
      </c>
      <c r="AH457" s="34"/>
      <c r="AI457" s="35">
        <v>0</v>
      </c>
      <c r="AJ457" s="36">
        <v>0</v>
      </c>
      <c r="AK457" s="28">
        <f t="shared" si="180"/>
        <v>5463727.5500000007</v>
      </c>
      <c r="AL457" s="28">
        <f t="shared" si="181"/>
        <v>0</v>
      </c>
      <c r="AM457" s="29">
        <f t="shared" si="182"/>
        <v>0</v>
      </c>
    </row>
    <row r="458" spans="1:39" ht="192" customHeight="1" x14ac:dyDescent="0.25">
      <c r="A458" s="154">
        <v>455</v>
      </c>
      <c r="B458" s="37">
        <v>129900</v>
      </c>
      <c r="C458" s="37">
        <v>731</v>
      </c>
      <c r="D458" s="40" t="s">
        <v>254</v>
      </c>
      <c r="E458" s="14" t="s">
        <v>1619</v>
      </c>
      <c r="F458" s="40" t="s">
        <v>1750</v>
      </c>
      <c r="G458" s="32" t="s">
        <v>853</v>
      </c>
      <c r="H458" s="20" t="s">
        <v>35</v>
      </c>
      <c r="I458" s="55" t="s">
        <v>1751</v>
      </c>
      <c r="J458" s="30">
        <v>43752</v>
      </c>
      <c r="K458" s="30">
        <v>44544</v>
      </c>
      <c r="L458" s="31">
        <f t="shared" si="167"/>
        <v>83.983863061184252</v>
      </c>
      <c r="M458" s="20" t="s">
        <v>259</v>
      </c>
      <c r="N458" s="20" t="s">
        <v>228</v>
      </c>
      <c r="O458" s="20" t="s">
        <v>228</v>
      </c>
      <c r="P458" s="32" t="s">
        <v>260</v>
      </c>
      <c r="Q458" s="20" t="s">
        <v>40</v>
      </c>
      <c r="R458" s="33">
        <f t="shared" si="172"/>
        <v>10447061.770000001</v>
      </c>
      <c r="S458" s="2">
        <v>8424645.1300000008</v>
      </c>
      <c r="T458" s="2">
        <v>2022416.64</v>
      </c>
      <c r="U458" s="33">
        <f t="shared" si="173"/>
        <v>0</v>
      </c>
      <c r="V458" s="2">
        <v>0</v>
      </c>
      <c r="W458" s="2">
        <v>0</v>
      </c>
      <c r="X458" s="33">
        <f t="shared" si="174"/>
        <v>1992306.21</v>
      </c>
      <c r="Y458" s="2">
        <v>1486702.04</v>
      </c>
      <c r="Z458" s="2">
        <v>505604.17</v>
      </c>
      <c r="AA458" s="2">
        <f t="shared" si="175"/>
        <v>0</v>
      </c>
      <c r="AB458" s="2">
        <v>0</v>
      </c>
      <c r="AC458" s="2">
        <v>0</v>
      </c>
      <c r="AD458" s="2">
        <f t="shared" si="176"/>
        <v>12439367.98</v>
      </c>
      <c r="AE458" s="2">
        <v>0</v>
      </c>
      <c r="AF458" s="2">
        <f t="shared" si="177"/>
        <v>12439367.98</v>
      </c>
      <c r="AG458" s="39" t="s">
        <v>69</v>
      </c>
      <c r="AH458" s="34"/>
      <c r="AI458" s="35">
        <f>8494.97+9887.42</f>
        <v>18382.39</v>
      </c>
      <c r="AJ458" s="36">
        <v>0</v>
      </c>
      <c r="AK458" s="28">
        <f t="shared" si="180"/>
        <v>10428679.380000001</v>
      </c>
      <c r="AL458" s="28">
        <f t="shared" si="181"/>
        <v>0</v>
      </c>
      <c r="AM458" s="29">
        <f t="shared" si="182"/>
        <v>1.7595751231018132E-3</v>
      </c>
    </row>
    <row r="459" spans="1:39" ht="192" customHeight="1" x14ac:dyDescent="0.25">
      <c r="A459" s="154">
        <v>456</v>
      </c>
      <c r="B459" s="37">
        <v>129165</v>
      </c>
      <c r="C459" s="37">
        <v>728</v>
      </c>
      <c r="D459" s="40" t="s">
        <v>254</v>
      </c>
      <c r="E459" s="14" t="s">
        <v>1619</v>
      </c>
      <c r="F459" s="40" t="s">
        <v>1752</v>
      </c>
      <c r="G459" s="20" t="s">
        <v>1632</v>
      </c>
      <c r="H459" s="20" t="s">
        <v>35</v>
      </c>
      <c r="I459" s="55" t="s">
        <v>1753</v>
      </c>
      <c r="J459" s="30">
        <v>43754</v>
      </c>
      <c r="K459" s="30">
        <v>44850</v>
      </c>
      <c r="L459" s="31">
        <f t="shared" si="167"/>
        <v>83.983862982033116</v>
      </c>
      <c r="M459" s="20" t="s">
        <v>259</v>
      </c>
      <c r="N459" s="20" t="s">
        <v>228</v>
      </c>
      <c r="O459" s="20" t="s">
        <v>228</v>
      </c>
      <c r="P459" s="32" t="s">
        <v>260</v>
      </c>
      <c r="Q459" s="20" t="s">
        <v>40</v>
      </c>
      <c r="R459" s="33">
        <f t="shared" si="172"/>
        <v>14670826.32</v>
      </c>
      <c r="S459" s="2">
        <v>11830743.25</v>
      </c>
      <c r="T459" s="2">
        <v>2840083.07</v>
      </c>
      <c r="U459" s="33">
        <f t="shared" si="173"/>
        <v>0</v>
      </c>
      <c r="V459" s="2">
        <v>0</v>
      </c>
      <c r="W459" s="2">
        <v>0</v>
      </c>
      <c r="X459" s="33">
        <f t="shared" si="174"/>
        <v>2797798.96</v>
      </c>
      <c r="Y459" s="2">
        <v>2087778.17</v>
      </c>
      <c r="Z459" s="2">
        <v>710020.79</v>
      </c>
      <c r="AA459" s="2">
        <f t="shared" si="175"/>
        <v>0</v>
      </c>
      <c r="AB459" s="2">
        <v>0</v>
      </c>
      <c r="AC459" s="2">
        <v>0</v>
      </c>
      <c r="AD459" s="2">
        <f t="shared" si="176"/>
        <v>17468625.280000001</v>
      </c>
      <c r="AE459" s="2">
        <v>0</v>
      </c>
      <c r="AF459" s="2">
        <f t="shared" si="177"/>
        <v>17468625.280000001</v>
      </c>
      <c r="AG459" s="39" t="s">
        <v>69</v>
      </c>
      <c r="AH459" s="34"/>
      <c r="AI459" s="35">
        <v>0</v>
      </c>
      <c r="AJ459" s="36">
        <v>0</v>
      </c>
      <c r="AK459" s="28">
        <f t="shared" si="180"/>
        <v>14670826.32</v>
      </c>
      <c r="AL459" s="28">
        <f t="shared" si="181"/>
        <v>0</v>
      </c>
      <c r="AM459" s="29">
        <f t="shared" si="182"/>
        <v>0</v>
      </c>
    </row>
    <row r="460" spans="1:39" ht="192" customHeight="1" x14ac:dyDescent="0.25">
      <c r="A460" s="154">
        <v>457</v>
      </c>
      <c r="B460" s="37">
        <v>130070</v>
      </c>
      <c r="C460" s="37">
        <v>730</v>
      </c>
      <c r="D460" s="40" t="s">
        <v>254</v>
      </c>
      <c r="E460" s="14" t="s">
        <v>1619</v>
      </c>
      <c r="F460" s="40" t="s">
        <v>1754</v>
      </c>
      <c r="G460" s="20" t="s">
        <v>1755</v>
      </c>
      <c r="H460" s="20" t="s">
        <v>35</v>
      </c>
      <c r="I460" s="15" t="s">
        <v>1756</v>
      </c>
      <c r="J460" s="30">
        <v>43755</v>
      </c>
      <c r="K460" s="30">
        <v>44394</v>
      </c>
      <c r="L460" s="31">
        <f t="shared" si="167"/>
        <v>83.983863790383737</v>
      </c>
      <c r="M460" s="20" t="s">
        <v>259</v>
      </c>
      <c r="N460" s="20" t="s">
        <v>228</v>
      </c>
      <c r="O460" s="20" t="s">
        <v>228</v>
      </c>
      <c r="P460" s="32" t="s">
        <v>260</v>
      </c>
      <c r="Q460" s="20" t="s">
        <v>40</v>
      </c>
      <c r="R460" s="33">
        <f t="shared" si="172"/>
        <v>4510953.3099999996</v>
      </c>
      <c r="S460" s="2">
        <v>3637690.8199999994</v>
      </c>
      <c r="T460" s="2">
        <v>873262.49</v>
      </c>
      <c r="U460" s="33">
        <f t="shared" si="173"/>
        <v>0</v>
      </c>
      <c r="V460" s="2">
        <v>0</v>
      </c>
      <c r="W460" s="2">
        <v>0</v>
      </c>
      <c r="X460" s="33">
        <f t="shared" si="174"/>
        <v>860261</v>
      </c>
      <c r="Y460" s="2">
        <v>641945.4</v>
      </c>
      <c r="Z460" s="2">
        <v>218315.6</v>
      </c>
      <c r="AA460" s="2">
        <f t="shared" si="175"/>
        <v>0</v>
      </c>
      <c r="AB460" s="2">
        <v>0</v>
      </c>
      <c r="AC460" s="2">
        <v>0</v>
      </c>
      <c r="AD460" s="2">
        <f t="shared" si="176"/>
        <v>5371214.3099999996</v>
      </c>
      <c r="AE460" s="2">
        <v>0</v>
      </c>
      <c r="AF460" s="2">
        <f t="shared" si="177"/>
        <v>5371214.3099999996</v>
      </c>
      <c r="AG460" s="39" t="s">
        <v>69</v>
      </c>
      <c r="AH460" s="34"/>
      <c r="AI460" s="35">
        <v>0</v>
      </c>
      <c r="AJ460" s="36">
        <v>0</v>
      </c>
      <c r="AK460" s="28">
        <f t="shared" si="180"/>
        <v>4510953.3099999996</v>
      </c>
      <c r="AL460" s="28">
        <f t="shared" si="181"/>
        <v>0</v>
      </c>
      <c r="AM460" s="29">
        <f t="shared" si="182"/>
        <v>0</v>
      </c>
    </row>
    <row r="461" spans="1:39" ht="192" customHeight="1" x14ac:dyDescent="0.25">
      <c r="A461" s="154">
        <v>458</v>
      </c>
      <c r="B461" s="37">
        <v>129717</v>
      </c>
      <c r="C461" s="37">
        <v>713</v>
      </c>
      <c r="D461" s="40" t="s">
        <v>254</v>
      </c>
      <c r="E461" s="14" t="s">
        <v>1619</v>
      </c>
      <c r="F461" s="40" t="s">
        <v>1757</v>
      </c>
      <c r="G461" s="32" t="s">
        <v>853</v>
      </c>
      <c r="H461" s="20" t="s">
        <v>35</v>
      </c>
      <c r="I461" s="55" t="s">
        <v>1758</v>
      </c>
      <c r="J461" s="30">
        <v>43755</v>
      </c>
      <c r="K461" s="30">
        <v>44668</v>
      </c>
      <c r="L461" s="31">
        <f t="shared" si="167"/>
        <v>83.983862834089763</v>
      </c>
      <c r="M461" s="20" t="s">
        <v>259</v>
      </c>
      <c r="N461" s="20" t="s">
        <v>228</v>
      </c>
      <c r="O461" s="20" t="s">
        <v>228</v>
      </c>
      <c r="P461" s="32" t="s">
        <v>260</v>
      </c>
      <c r="Q461" s="20" t="s">
        <v>40</v>
      </c>
      <c r="R461" s="33">
        <f t="shared" si="172"/>
        <v>5038501.16</v>
      </c>
      <c r="S461" s="2">
        <v>4063112.22</v>
      </c>
      <c r="T461" s="2">
        <v>975388.94</v>
      </c>
      <c r="U461" s="33">
        <f t="shared" si="173"/>
        <v>0</v>
      </c>
      <c r="V461" s="2">
        <v>0</v>
      </c>
      <c r="W461" s="2">
        <v>0</v>
      </c>
      <c r="X461" s="33">
        <f t="shared" si="174"/>
        <v>960867.04</v>
      </c>
      <c r="Y461" s="2">
        <v>717019.79</v>
      </c>
      <c r="Z461" s="2">
        <v>243847.25</v>
      </c>
      <c r="AA461" s="2">
        <f t="shared" si="175"/>
        <v>0</v>
      </c>
      <c r="AB461" s="2">
        <v>0</v>
      </c>
      <c r="AC461" s="2">
        <v>0</v>
      </c>
      <c r="AD461" s="2">
        <f t="shared" si="176"/>
        <v>5999368.2000000002</v>
      </c>
      <c r="AE461" s="2">
        <v>0</v>
      </c>
      <c r="AF461" s="2">
        <f t="shared" si="177"/>
        <v>5999368.2000000002</v>
      </c>
      <c r="AG461" s="39" t="s">
        <v>69</v>
      </c>
      <c r="AH461" s="34"/>
      <c r="AI461" s="35">
        <f>129503.12</f>
        <v>129503.12</v>
      </c>
      <c r="AJ461" s="36">
        <v>0</v>
      </c>
      <c r="AK461" s="28">
        <f t="shared" si="180"/>
        <v>4908998.04</v>
      </c>
      <c r="AL461" s="28">
        <f t="shared" si="181"/>
        <v>0</v>
      </c>
      <c r="AM461" s="29">
        <f t="shared" si="182"/>
        <v>2.5702707191596636E-2</v>
      </c>
    </row>
    <row r="462" spans="1:39" ht="192" customHeight="1" x14ac:dyDescent="0.25">
      <c r="A462" s="154">
        <v>459</v>
      </c>
      <c r="B462" s="37">
        <v>130033</v>
      </c>
      <c r="C462" s="37">
        <v>734</v>
      </c>
      <c r="D462" s="40" t="s">
        <v>254</v>
      </c>
      <c r="E462" s="14" t="s">
        <v>1619</v>
      </c>
      <c r="F462" s="40" t="s">
        <v>1759</v>
      </c>
      <c r="G462" s="32" t="s">
        <v>930</v>
      </c>
      <c r="H462" s="20" t="s">
        <v>1760</v>
      </c>
      <c r="I462" s="55" t="s">
        <v>1761</v>
      </c>
      <c r="J462" s="30">
        <v>43755</v>
      </c>
      <c r="K462" s="30">
        <v>44851</v>
      </c>
      <c r="L462" s="31">
        <f t="shared" si="167"/>
        <v>83.983862824652149</v>
      </c>
      <c r="M462" s="20" t="s">
        <v>259</v>
      </c>
      <c r="N462" s="20" t="s">
        <v>228</v>
      </c>
      <c r="O462" s="20" t="s">
        <v>228</v>
      </c>
      <c r="P462" s="32" t="s">
        <v>260</v>
      </c>
      <c r="Q462" s="20" t="s">
        <v>40</v>
      </c>
      <c r="R462" s="33">
        <f t="shared" si="172"/>
        <v>117574048.60000001</v>
      </c>
      <c r="S462" s="2">
        <v>94813226.560000002</v>
      </c>
      <c r="T462" s="2">
        <v>22760822.040000007</v>
      </c>
      <c r="U462" s="33">
        <f t="shared" si="173"/>
        <v>974280.55999999994</v>
      </c>
      <c r="V462" s="2">
        <v>720001.54999999993</v>
      </c>
      <c r="W462" s="2">
        <v>254279.01</v>
      </c>
      <c r="X462" s="33">
        <f t="shared" si="174"/>
        <v>21447670.84</v>
      </c>
      <c r="Y462" s="2">
        <v>16011744.310000001</v>
      </c>
      <c r="Z462" s="2">
        <v>5435926.5300000003</v>
      </c>
      <c r="AA462" s="2">
        <f t="shared" si="175"/>
        <v>0</v>
      </c>
      <c r="AB462" s="2">
        <v>0</v>
      </c>
      <c r="AC462" s="2">
        <v>0</v>
      </c>
      <c r="AD462" s="2">
        <f t="shared" si="176"/>
        <v>139996000</v>
      </c>
      <c r="AE462" s="2">
        <v>0</v>
      </c>
      <c r="AF462" s="2">
        <f t="shared" si="177"/>
        <v>139996000</v>
      </c>
      <c r="AG462" s="39" t="s">
        <v>69</v>
      </c>
      <c r="AH462" s="34" t="s">
        <v>35</v>
      </c>
      <c r="AI462" s="35">
        <f>10931339.59</f>
        <v>10931339.59</v>
      </c>
      <c r="AJ462" s="36">
        <v>0</v>
      </c>
      <c r="AK462" s="28">
        <f t="shared" si="180"/>
        <v>106642709.01000001</v>
      </c>
      <c r="AL462" s="28">
        <f t="shared" si="181"/>
        <v>974280.55999999994</v>
      </c>
      <c r="AM462" s="29">
        <f t="shared" si="182"/>
        <v>9.2974085014199292E-2</v>
      </c>
    </row>
    <row r="463" spans="1:39" ht="192" customHeight="1" x14ac:dyDescent="0.25">
      <c r="A463" s="154">
        <v>460</v>
      </c>
      <c r="B463" s="37">
        <v>129914</v>
      </c>
      <c r="C463" s="37">
        <v>752</v>
      </c>
      <c r="D463" s="40" t="s">
        <v>861</v>
      </c>
      <c r="E463" s="14" t="s">
        <v>1657</v>
      </c>
      <c r="F463" s="40" t="s">
        <v>1762</v>
      </c>
      <c r="G463" s="20" t="s">
        <v>1763</v>
      </c>
      <c r="H463" s="20" t="s">
        <v>1285</v>
      </c>
      <c r="I463" s="55" t="s">
        <v>1764</v>
      </c>
      <c r="J463" s="30">
        <v>43755</v>
      </c>
      <c r="K463" s="30">
        <v>44851</v>
      </c>
      <c r="L463" s="31">
        <f t="shared" si="167"/>
        <v>83.983862838678377</v>
      </c>
      <c r="M463" s="20" t="s">
        <v>259</v>
      </c>
      <c r="N463" s="20" t="s">
        <v>228</v>
      </c>
      <c r="O463" s="20" t="s">
        <v>228</v>
      </c>
      <c r="P463" s="32" t="s">
        <v>260</v>
      </c>
      <c r="Q463" s="20" t="s">
        <v>40</v>
      </c>
      <c r="R463" s="33">
        <f t="shared" si="172"/>
        <v>14490743.199999999</v>
      </c>
      <c r="S463" s="2">
        <v>11685521.85</v>
      </c>
      <c r="T463" s="2">
        <v>2805221.3500000006</v>
      </c>
      <c r="U463" s="33">
        <f t="shared" si="173"/>
        <v>0</v>
      </c>
      <c r="V463" s="2">
        <v>0</v>
      </c>
      <c r="W463" s="2">
        <v>0</v>
      </c>
      <c r="X463" s="33">
        <f t="shared" si="174"/>
        <v>2763456.25</v>
      </c>
      <c r="Y463" s="2">
        <v>2062150.95</v>
      </c>
      <c r="Z463" s="2">
        <v>701305.3</v>
      </c>
      <c r="AA463" s="2">
        <f t="shared" si="175"/>
        <v>0</v>
      </c>
      <c r="AB463" s="2">
        <v>0</v>
      </c>
      <c r="AC463" s="2">
        <v>0</v>
      </c>
      <c r="AD463" s="2">
        <f t="shared" si="176"/>
        <v>17254199.449999999</v>
      </c>
      <c r="AE463" s="2">
        <v>0</v>
      </c>
      <c r="AF463" s="2">
        <f t="shared" si="177"/>
        <v>17254199.449999999</v>
      </c>
      <c r="AG463" s="39" t="s">
        <v>69</v>
      </c>
      <c r="AH463" s="34" t="s">
        <v>35</v>
      </c>
      <c r="AI463" s="35">
        <f>30109.06</f>
        <v>30109.06</v>
      </c>
      <c r="AJ463" s="36">
        <v>0</v>
      </c>
      <c r="AK463" s="28">
        <f t="shared" si="180"/>
        <v>14460634.139999999</v>
      </c>
      <c r="AL463" s="28">
        <f t="shared" si="181"/>
        <v>0</v>
      </c>
      <c r="AM463" s="29">
        <f t="shared" si="182"/>
        <v>2.077813372608798E-3</v>
      </c>
    </row>
    <row r="464" spans="1:39" ht="192" customHeight="1" x14ac:dyDescent="0.25">
      <c r="A464" s="154">
        <v>461</v>
      </c>
      <c r="B464" s="37">
        <v>129605</v>
      </c>
      <c r="C464" s="37">
        <v>723</v>
      </c>
      <c r="D464" s="40" t="s">
        <v>254</v>
      </c>
      <c r="E464" s="14" t="s">
        <v>1619</v>
      </c>
      <c r="F464" s="40" t="s">
        <v>1765</v>
      </c>
      <c r="G464" s="20" t="s">
        <v>1632</v>
      </c>
      <c r="H464" s="20" t="s">
        <v>35</v>
      </c>
      <c r="I464" s="40" t="s">
        <v>1766</v>
      </c>
      <c r="J464" s="30">
        <v>43767</v>
      </c>
      <c r="K464" s="30">
        <v>44863</v>
      </c>
      <c r="L464" s="31">
        <f t="shared" si="167"/>
        <v>83.983862776024722</v>
      </c>
      <c r="M464" s="20" t="s">
        <v>259</v>
      </c>
      <c r="N464" s="20" t="s">
        <v>228</v>
      </c>
      <c r="O464" s="20" t="s">
        <v>228</v>
      </c>
      <c r="P464" s="32" t="s">
        <v>260</v>
      </c>
      <c r="Q464" s="20" t="s">
        <v>40</v>
      </c>
      <c r="R464" s="33">
        <f t="shared" si="172"/>
        <v>17794139.579999998</v>
      </c>
      <c r="S464" s="2">
        <v>14349423.26</v>
      </c>
      <c r="T464" s="2">
        <v>3444716.32</v>
      </c>
      <c r="U464" s="33">
        <f t="shared" si="173"/>
        <v>0</v>
      </c>
      <c r="V464" s="2">
        <v>0</v>
      </c>
      <c r="W464" s="2">
        <v>0</v>
      </c>
      <c r="X464" s="33">
        <f t="shared" si="174"/>
        <v>3393430.26</v>
      </c>
      <c r="Y464" s="2">
        <v>2532251.17</v>
      </c>
      <c r="Z464" s="2">
        <v>861179.09</v>
      </c>
      <c r="AA464" s="2">
        <f t="shared" si="175"/>
        <v>0</v>
      </c>
      <c r="AB464" s="2">
        <v>0</v>
      </c>
      <c r="AC464" s="2">
        <v>0</v>
      </c>
      <c r="AD464" s="2">
        <f t="shared" si="176"/>
        <v>21187569.839999996</v>
      </c>
      <c r="AE464" s="2">
        <v>0</v>
      </c>
      <c r="AF464" s="2">
        <f t="shared" si="177"/>
        <v>21187569.839999996</v>
      </c>
      <c r="AG464" s="39" t="s">
        <v>69</v>
      </c>
      <c r="AH464" s="34"/>
      <c r="AI464" s="35">
        <v>0</v>
      </c>
      <c r="AJ464" s="36">
        <v>0</v>
      </c>
      <c r="AK464" s="28">
        <f t="shared" si="180"/>
        <v>17794139.579999998</v>
      </c>
      <c r="AL464" s="28">
        <f t="shared" si="181"/>
        <v>0</v>
      </c>
      <c r="AM464" s="29">
        <f t="shared" si="182"/>
        <v>0</v>
      </c>
    </row>
    <row r="465" spans="1:39" ht="192" customHeight="1" x14ac:dyDescent="0.25">
      <c r="A465" s="154">
        <v>462</v>
      </c>
      <c r="B465" s="37">
        <v>129988</v>
      </c>
      <c r="C465" s="37">
        <v>722</v>
      </c>
      <c r="D465" s="40" t="s">
        <v>254</v>
      </c>
      <c r="E465" s="14" t="s">
        <v>1619</v>
      </c>
      <c r="F465" s="40" t="s">
        <v>1767</v>
      </c>
      <c r="G465" s="32" t="s">
        <v>853</v>
      </c>
      <c r="H465" s="20" t="s">
        <v>1768</v>
      </c>
      <c r="I465" s="40" t="s">
        <v>1769</v>
      </c>
      <c r="J465" s="30">
        <v>43770</v>
      </c>
      <c r="K465" s="30">
        <v>44378</v>
      </c>
      <c r="L465" s="31">
        <f t="shared" si="167"/>
        <v>83.983862284279382</v>
      </c>
      <c r="M465" s="20" t="s">
        <v>259</v>
      </c>
      <c r="N465" s="20" t="s">
        <v>228</v>
      </c>
      <c r="O465" s="20" t="s">
        <v>228</v>
      </c>
      <c r="P465" s="32" t="s">
        <v>260</v>
      </c>
      <c r="Q465" s="20" t="s">
        <v>40</v>
      </c>
      <c r="R465" s="33">
        <f t="shared" si="172"/>
        <v>3460035.79</v>
      </c>
      <c r="S465" s="2">
        <v>2790217.44</v>
      </c>
      <c r="T465" s="2">
        <v>669818.35</v>
      </c>
      <c r="U465" s="33">
        <f t="shared" si="173"/>
        <v>24320.799999999999</v>
      </c>
      <c r="V465" s="2">
        <v>17973.28</v>
      </c>
      <c r="W465" s="2">
        <v>6347.52</v>
      </c>
      <c r="X465" s="33">
        <f t="shared" si="174"/>
        <v>635525.13</v>
      </c>
      <c r="Y465" s="2">
        <v>474418.02</v>
      </c>
      <c r="Z465" s="2">
        <v>161107.10999999999</v>
      </c>
      <c r="AA465" s="2">
        <f t="shared" si="175"/>
        <v>0</v>
      </c>
      <c r="AB465" s="2">
        <v>0</v>
      </c>
      <c r="AC465" s="2">
        <v>0</v>
      </c>
      <c r="AD465" s="2">
        <f t="shared" si="176"/>
        <v>4119881.7199999997</v>
      </c>
      <c r="AE465" s="2">
        <v>0</v>
      </c>
      <c r="AF465" s="2">
        <f t="shared" si="177"/>
        <v>4119881.7199999997</v>
      </c>
      <c r="AG465" s="39" t="s">
        <v>69</v>
      </c>
      <c r="AH465" s="34"/>
      <c r="AI465" s="35">
        <f>10251.91</f>
        <v>10251.91</v>
      </c>
      <c r="AJ465" s="36">
        <v>0</v>
      </c>
      <c r="AK465" s="28">
        <f t="shared" si="180"/>
        <v>3449783.88</v>
      </c>
      <c r="AL465" s="28">
        <f t="shared" si="181"/>
        <v>24320.799999999999</v>
      </c>
      <c r="AM465" s="29">
        <f t="shared" si="182"/>
        <v>2.9629491202459498E-3</v>
      </c>
    </row>
    <row r="466" spans="1:39" ht="192" customHeight="1" x14ac:dyDescent="0.25">
      <c r="A466" s="154">
        <v>463</v>
      </c>
      <c r="B466" s="37">
        <v>126131</v>
      </c>
      <c r="C466" s="37">
        <v>575</v>
      </c>
      <c r="D466" s="40" t="s">
        <v>254</v>
      </c>
      <c r="E466" s="14" t="s">
        <v>1583</v>
      </c>
      <c r="F466" s="40" t="s">
        <v>1770</v>
      </c>
      <c r="G466" s="20" t="s">
        <v>885</v>
      </c>
      <c r="H466" s="20" t="s">
        <v>173</v>
      </c>
      <c r="I466" s="40" t="s">
        <v>1771</v>
      </c>
      <c r="J466" s="30">
        <v>43770</v>
      </c>
      <c r="K466" s="30">
        <v>44501</v>
      </c>
      <c r="L466" s="31">
        <f t="shared" si="167"/>
        <v>83.983863089302972</v>
      </c>
      <c r="M466" s="20" t="s">
        <v>1772</v>
      </c>
      <c r="N466" s="20" t="s">
        <v>228</v>
      </c>
      <c r="O466" s="20" t="s">
        <v>229</v>
      </c>
      <c r="P466" s="32" t="s">
        <v>260</v>
      </c>
      <c r="Q466" s="20" t="s">
        <v>1773</v>
      </c>
      <c r="R466" s="33">
        <f t="shared" si="172"/>
        <v>6244262.1000000006</v>
      </c>
      <c r="S466" s="2">
        <v>5035453.3600000003</v>
      </c>
      <c r="T466" s="2">
        <v>1208808.74</v>
      </c>
      <c r="U466" s="33">
        <f t="shared" si="173"/>
        <v>0</v>
      </c>
      <c r="V466" s="2">
        <v>0</v>
      </c>
      <c r="W466" s="2">
        <v>0</v>
      </c>
      <c r="X466" s="33">
        <f t="shared" si="174"/>
        <v>1190811.58</v>
      </c>
      <c r="Y466" s="2">
        <v>888609.39</v>
      </c>
      <c r="Z466" s="2">
        <v>302202.19</v>
      </c>
      <c r="AA466" s="2">
        <f t="shared" si="175"/>
        <v>0</v>
      </c>
      <c r="AB466" s="2">
        <v>0</v>
      </c>
      <c r="AC466" s="2">
        <v>0</v>
      </c>
      <c r="AD466" s="2">
        <f t="shared" si="176"/>
        <v>7435073.6800000006</v>
      </c>
      <c r="AE466" s="2">
        <v>0</v>
      </c>
      <c r="AF466" s="2">
        <f t="shared" si="177"/>
        <v>7435073.6800000006</v>
      </c>
      <c r="AG466" s="39" t="s">
        <v>69</v>
      </c>
      <c r="AH466" s="34"/>
      <c r="AI466" s="35">
        <f>47548.09+115299.26</f>
        <v>162847.34999999998</v>
      </c>
      <c r="AJ466" s="36">
        <v>0</v>
      </c>
      <c r="AK466" s="28">
        <f t="shared" si="180"/>
        <v>6081414.7500000009</v>
      </c>
      <c r="AL466" s="28">
        <f t="shared" si="181"/>
        <v>0</v>
      </c>
      <c r="AM466" s="29">
        <f t="shared" si="182"/>
        <v>2.6079518667225701E-2</v>
      </c>
    </row>
    <row r="467" spans="1:39" ht="192" customHeight="1" x14ac:dyDescent="0.25">
      <c r="A467" s="154">
        <v>464</v>
      </c>
      <c r="B467" s="37">
        <v>127024</v>
      </c>
      <c r="C467" s="37">
        <v>597</v>
      </c>
      <c r="D467" s="40" t="s">
        <v>254</v>
      </c>
      <c r="E467" s="14" t="s">
        <v>1583</v>
      </c>
      <c r="F467" s="40" t="s">
        <v>1774</v>
      </c>
      <c r="G467" s="20" t="s">
        <v>1775</v>
      </c>
      <c r="H467" s="20" t="s">
        <v>173</v>
      </c>
      <c r="I467" s="43" t="s">
        <v>1776</v>
      </c>
      <c r="J467" s="30">
        <v>43780</v>
      </c>
      <c r="K467" s="30">
        <v>44450</v>
      </c>
      <c r="L467" s="31">
        <f t="shared" si="167"/>
        <v>83.98386356517679</v>
      </c>
      <c r="M467" s="20" t="s">
        <v>1772</v>
      </c>
      <c r="N467" s="20" t="s">
        <v>228</v>
      </c>
      <c r="O467" s="20" t="s">
        <v>229</v>
      </c>
      <c r="P467" s="32" t="s">
        <v>260</v>
      </c>
      <c r="Q467" s="20" t="s">
        <v>1773</v>
      </c>
      <c r="R467" s="33">
        <f t="shared" si="172"/>
        <v>7226660.4399999995</v>
      </c>
      <c r="S467" s="2">
        <v>5827672.0499999998</v>
      </c>
      <c r="T467" s="2">
        <v>1398988.39</v>
      </c>
      <c r="U467" s="33">
        <f t="shared" si="173"/>
        <v>0</v>
      </c>
      <c r="V467" s="2">
        <v>0</v>
      </c>
      <c r="W467" s="2">
        <v>0</v>
      </c>
      <c r="X467" s="33">
        <f t="shared" si="174"/>
        <v>1378159.74</v>
      </c>
      <c r="Y467" s="2">
        <v>1028412.62</v>
      </c>
      <c r="Z467" s="2">
        <v>349747.12</v>
      </c>
      <c r="AA467" s="2">
        <f t="shared" si="175"/>
        <v>0</v>
      </c>
      <c r="AB467" s="2">
        <v>0</v>
      </c>
      <c r="AC467" s="2">
        <v>0</v>
      </c>
      <c r="AD467" s="2">
        <f t="shared" si="176"/>
        <v>8604820.1799999997</v>
      </c>
      <c r="AE467" s="2">
        <v>0</v>
      </c>
      <c r="AF467" s="2">
        <f t="shared" si="177"/>
        <v>8604820.1799999997</v>
      </c>
      <c r="AG467" s="39" t="s">
        <v>69</v>
      </c>
      <c r="AH467" s="34"/>
      <c r="AI467" s="35">
        <v>15455.18</v>
      </c>
      <c r="AJ467" s="36">
        <v>0</v>
      </c>
      <c r="AK467" s="28">
        <f t="shared" si="180"/>
        <v>7211205.2599999998</v>
      </c>
      <c r="AL467" s="28">
        <f t="shared" si="181"/>
        <v>0</v>
      </c>
      <c r="AM467" s="29">
        <f t="shared" si="182"/>
        <v>2.1386337615165439E-3</v>
      </c>
    </row>
    <row r="468" spans="1:39" ht="192" customHeight="1" x14ac:dyDescent="0.25">
      <c r="A468" s="154">
        <v>465</v>
      </c>
      <c r="B468" s="37">
        <v>129872</v>
      </c>
      <c r="C468" s="37">
        <v>715</v>
      </c>
      <c r="D468" s="40" t="s">
        <v>254</v>
      </c>
      <c r="E468" s="14" t="s">
        <v>1619</v>
      </c>
      <c r="F468" s="171" t="s">
        <v>1777</v>
      </c>
      <c r="G468" s="20" t="s">
        <v>1778</v>
      </c>
      <c r="H468" s="20" t="s">
        <v>1779</v>
      </c>
      <c r="I468" s="172" t="s">
        <v>1780</v>
      </c>
      <c r="J468" s="30">
        <v>43838</v>
      </c>
      <c r="K468" s="30">
        <v>44934</v>
      </c>
      <c r="L468" s="31">
        <f t="shared" si="167"/>
        <v>83.983862516378821</v>
      </c>
      <c r="M468" s="20" t="s">
        <v>1772</v>
      </c>
      <c r="N468" s="20" t="s">
        <v>228</v>
      </c>
      <c r="O468" s="20" t="s">
        <v>229</v>
      </c>
      <c r="P468" s="32" t="s">
        <v>260</v>
      </c>
      <c r="Q468" s="20" t="s">
        <v>1773</v>
      </c>
      <c r="R468" s="33">
        <f t="shared" si="172"/>
        <v>14298114.229999993</v>
      </c>
      <c r="S468" s="2">
        <v>11530183.469999993</v>
      </c>
      <c r="T468" s="2">
        <v>2767930.76</v>
      </c>
      <c r="U468" s="33">
        <f t="shared" si="173"/>
        <v>2244193.1599999983</v>
      </c>
      <c r="V468" s="2">
        <v>1658477.4299999981</v>
      </c>
      <c r="W468" s="2">
        <v>585715.7300000001</v>
      </c>
      <c r="X468" s="33">
        <f t="shared" si="174"/>
        <v>482527.86000000016</v>
      </c>
      <c r="Y468" s="2">
        <v>376260.8002169386</v>
      </c>
      <c r="Z468" s="2">
        <v>106267.05978306157</v>
      </c>
      <c r="AA468" s="2">
        <f t="shared" si="175"/>
        <v>0</v>
      </c>
      <c r="AB468" s="2">
        <v>0</v>
      </c>
      <c r="AC468" s="2">
        <v>0</v>
      </c>
      <c r="AD468" s="2">
        <f t="shared" si="176"/>
        <v>17024835.249999993</v>
      </c>
      <c r="AE468" s="2">
        <v>0</v>
      </c>
      <c r="AF468" s="2">
        <f t="shared" si="177"/>
        <v>17024835.249999993</v>
      </c>
      <c r="AG468" s="39" t="s">
        <v>69</v>
      </c>
      <c r="AH468" s="34" t="s">
        <v>35</v>
      </c>
      <c r="AI468" s="35">
        <v>1601151.52</v>
      </c>
      <c r="AJ468" s="36">
        <v>0</v>
      </c>
      <c r="AK468" s="28">
        <f t="shared" si="180"/>
        <v>12696962.709999993</v>
      </c>
      <c r="AL468" s="28">
        <f t="shared" si="181"/>
        <v>2244193.1599999983</v>
      </c>
      <c r="AM468" s="29">
        <f t="shared" si="182"/>
        <v>0.11198340524098616</v>
      </c>
    </row>
    <row r="469" spans="1:39" ht="192" customHeight="1" x14ac:dyDescent="0.25">
      <c r="A469" s="154">
        <v>466</v>
      </c>
      <c r="B469" s="37">
        <v>129752</v>
      </c>
      <c r="C469" s="37">
        <v>707</v>
      </c>
      <c r="D469" s="40" t="s">
        <v>254</v>
      </c>
      <c r="E469" s="14" t="s">
        <v>1619</v>
      </c>
      <c r="F469" s="40" t="s">
        <v>1781</v>
      </c>
      <c r="G469" s="20" t="s">
        <v>885</v>
      </c>
      <c r="H469" s="20" t="s">
        <v>35</v>
      </c>
      <c r="I469" s="40" t="s">
        <v>1782</v>
      </c>
      <c r="J469" s="30">
        <v>43791</v>
      </c>
      <c r="K469" s="30">
        <v>44703</v>
      </c>
      <c r="L469" s="31">
        <f t="shared" si="167"/>
        <v>83.983863478914273</v>
      </c>
      <c r="M469" s="20" t="s">
        <v>1772</v>
      </c>
      <c r="N469" s="20" t="s">
        <v>228</v>
      </c>
      <c r="O469" s="20" t="s">
        <v>229</v>
      </c>
      <c r="P469" s="32" t="s">
        <v>260</v>
      </c>
      <c r="Q469" s="20" t="s">
        <v>1773</v>
      </c>
      <c r="R469" s="33">
        <f t="shared" si="172"/>
        <v>5269881.79</v>
      </c>
      <c r="S469" s="2">
        <v>4249700.58</v>
      </c>
      <c r="T469" s="2">
        <v>1020181.21</v>
      </c>
      <c r="U469" s="33">
        <f t="shared" si="173"/>
        <v>0</v>
      </c>
      <c r="V469" s="2">
        <v>0</v>
      </c>
      <c r="W469" s="2">
        <v>0</v>
      </c>
      <c r="X469" s="33">
        <f t="shared" si="174"/>
        <v>1004992.42</v>
      </c>
      <c r="Y469" s="2">
        <v>749947.06</v>
      </c>
      <c r="Z469" s="2">
        <v>255045.36</v>
      </c>
      <c r="AA469" s="2">
        <v>0</v>
      </c>
      <c r="AB469" s="2">
        <v>0</v>
      </c>
      <c r="AC469" s="2">
        <v>0</v>
      </c>
      <c r="AD469" s="2">
        <f t="shared" si="176"/>
        <v>6274874.21</v>
      </c>
      <c r="AE469" s="2">
        <v>0</v>
      </c>
      <c r="AF469" s="2">
        <f t="shared" si="177"/>
        <v>6274874.21</v>
      </c>
      <c r="AG469" s="39" t="s">
        <v>69</v>
      </c>
      <c r="AH469" s="34"/>
      <c r="AI469" s="35">
        <v>544225.81000000006</v>
      </c>
      <c r="AJ469" s="36">
        <v>0</v>
      </c>
      <c r="AK469" s="28">
        <f t="shared" si="180"/>
        <v>4725655.9800000004</v>
      </c>
      <c r="AL469" s="28">
        <f t="shared" si="181"/>
        <v>0</v>
      </c>
      <c r="AM469" s="29">
        <f t="shared" si="182"/>
        <v>0.10327097109326243</v>
      </c>
    </row>
    <row r="470" spans="1:39" ht="192" customHeight="1" x14ac:dyDescent="0.25">
      <c r="A470" s="154">
        <v>467</v>
      </c>
      <c r="B470" s="37">
        <v>129166</v>
      </c>
      <c r="C470" s="37">
        <v>696</v>
      </c>
      <c r="D470" s="40" t="s">
        <v>254</v>
      </c>
      <c r="E470" s="14" t="s">
        <v>1619</v>
      </c>
      <c r="F470" s="40" t="s">
        <v>1783</v>
      </c>
      <c r="G470" s="20" t="s">
        <v>912</v>
      </c>
      <c r="H470" s="20" t="s">
        <v>35</v>
      </c>
      <c r="I470" s="40" t="s">
        <v>1784</v>
      </c>
      <c r="J470" s="30">
        <v>43797</v>
      </c>
      <c r="K470" s="30">
        <v>44893</v>
      </c>
      <c r="L470" s="31">
        <f t="shared" si="167"/>
        <v>83.98386275414363</v>
      </c>
      <c r="M470" s="20" t="s">
        <v>1772</v>
      </c>
      <c r="N470" s="20" t="s">
        <v>228</v>
      </c>
      <c r="O470" s="20" t="s">
        <v>229</v>
      </c>
      <c r="P470" s="32" t="s">
        <v>260</v>
      </c>
      <c r="Q470" s="20" t="s">
        <v>1773</v>
      </c>
      <c r="R470" s="33">
        <f t="shared" si="172"/>
        <v>11173608.689999999</v>
      </c>
      <c r="S470" s="2">
        <v>9010541.9199999999</v>
      </c>
      <c r="T470" s="2">
        <v>2163066.77</v>
      </c>
      <c r="U470" s="33">
        <f t="shared" si="173"/>
        <v>0</v>
      </c>
      <c r="V470" s="2">
        <v>0</v>
      </c>
      <c r="W470" s="2">
        <v>0</v>
      </c>
      <c r="X470" s="33">
        <f t="shared" si="174"/>
        <v>2130862.34</v>
      </c>
      <c r="Y470" s="2">
        <v>1590095.63</v>
      </c>
      <c r="Z470" s="2">
        <v>540766.71</v>
      </c>
      <c r="AA470" s="2">
        <v>0</v>
      </c>
      <c r="AB470" s="2">
        <v>0</v>
      </c>
      <c r="AC470" s="2">
        <v>0</v>
      </c>
      <c r="AD470" s="2">
        <f t="shared" si="176"/>
        <v>13304471.029999999</v>
      </c>
      <c r="AE470" s="2">
        <v>0</v>
      </c>
      <c r="AF470" s="2">
        <f t="shared" si="177"/>
        <v>13304471.029999999</v>
      </c>
      <c r="AG470" s="39" t="s">
        <v>69</v>
      </c>
      <c r="AH470" s="34"/>
      <c r="AI470" s="35">
        <v>0</v>
      </c>
      <c r="AJ470" s="36">
        <v>0</v>
      </c>
      <c r="AK470" s="28">
        <f t="shared" si="180"/>
        <v>11173608.689999999</v>
      </c>
      <c r="AL470" s="28">
        <f t="shared" si="181"/>
        <v>0</v>
      </c>
      <c r="AM470" s="29">
        <f t="shared" si="182"/>
        <v>0</v>
      </c>
    </row>
    <row r="471" spans="1:39" ht="267.75" x14ac:dyDescent="0.25">
      <c r="A471" s="154">
        <v>468</v>
      </c>
      <c r="B471" s="37">
        <v>130073</v>
      </c>
      <c r="C471" s="37">
        <v>740</v>
      </c>
      <c r="D471" s="40" t="s">
        <v>254</v>
      </c>
      <c r="E471" s="14" t="s">
        <v>1619</v>
      </c>
      <c r="F471" s="40" t="s">
        <v>1785</v>
      </c>
      <c r="G471" s="20" t="s">
        <v>1786</v>
      </c>
      <c r="H471" s="20" t="s">
        <v>35</v>
      </c>
      <c r="I471" s="40" t="s">
        <v>1787</v>
      </c>
      <c r="J471" s="30">
        <v>43802</v>
      </c>
      <c r="K471" s="30">
        <v>44898</v>
      </c>
      <c r="L471" s="31">
        <f t="shared" si="167"/>
        <v>83.983863192268686</v>
      </c>
      <c r="M471" s="20" t="s">
        <v>1772</v>
      </c>
      <c r="N471" s="20" t="s">
        <v>228</v>
      </c>
      <c r="O471" s="20" t="s">
        <v>229</v>
      </c>
      <c r="P471" s="32" t="s">
        <v>260</v>
      </c>
      <c r="Q471" s="20" t="s">
        <v>1773</v>
      </c>
      <c r="R471" s="33">
        <f t="shared" si="172"/>
        <v>10894851.5</v>
      </c>
      <c r="S471" s="2">
        <v>8785748.5</v>
      </c>
      <c r="T471" s="2">
        <v>2109103</v>
      </c>
      <c r="U471" s="33">
        <f t="shared" si="173"/>
        <v>1818250.83</v>
      </c>
      <c r="V471" s="2">
        <v>1343702.7</v>
      </c>
      <c r="W471" s="2">
        <v>474548.13</v>
      </c>
      <c r="X471" s="33">
        <f t="shared" si="174"/>
        <v>259451.07</v>
      </c>
      <c r="Y471" s="2">
        <v>206723.48</v>
      </c>
      <c r="Z471" s="2">
        <v>52727.59</v>
      </c>
      <c r="AA471" s="2">
        <v>0</v>
      </c>
      <c r="AB471" s="2">
        <v>0</v>
      </c>
      <c r="AC471" s="2">
        <v>0</v>
      </c>
      <c r="AD471" s="2">
        <f t="shared" si="176"/>
        <v>12972553.4</v>
      </c>
      <c r="AE471" s="2">
        <v>0</v>
      </c>
      <c r="AF471" s="2">
        <f t="shared" si="177"/>
        <v>12972553.4</v>
      </c>
      <c r="AG471" s="39" t="s">
        <v>69</v>
      </c>
      <c r="AH471" s="34"/>
      <c r="AI471" s="35">
        <v>1307041.33</v>
      </c>
      <c r="AJ471" s="36">
        <v>22158.67</v>
      </c>
      <c r="AK471" s="28">
        <f t="shared" si="180"/>
        <v>9587810.1699999999</v>
      </c>
      <c r="AL471" s="28">
        <f t="shared" si="181"/>
        <v>1796092.1600000001</v>
      </c>
      <c r="AM471" s="29">
        <f t="shared" si="182"/>
        <v>0.11996871458046032</v>
      </c>
    </row>
    <row r="472" spans="1:39" ht="192" customHeight="1" x14ac:dyDescent="0.25">
      <c r="A472" s="37">
        <v>469</v>
      </c>
      <c r="B472" s="37">
        <v>129751</v>
      </c>
      <c r="C472" s="37">
        <v>719</v>
      </c>
      <c r="D472" s="40" t="s">
        <v>254</v>
      </c>
      <c r="E472" s="14" t="s">
        <v>1619</v>
      </c>
      <c r="F472" s="40" t="s">
        <v>1788</v>
      </c>
      <c r="G472" s="20" t="s">
        <v>1621</v>
      </c>
      <c r="H472" s="20" t="s">
        <v>1789</v>
      </c>
      <c r="I472" s="40" t="s">
        <v>1790</v>
      </c>
      <c r="J472" s="30">
        <v>43808</v>
      </c>
      <c r="K472" s="30">
        <v>44904</v>
      </c>
      <c r="L472" s="31">
        <f t="shared" si="167"/>
        <v>83.983863200175961</v>
      </c>
      <c r="M472" s="20" t="s">
        <v>1772</v>
      </c>
      <c r="N472" s="20" t="s">
        <v>228</v>
      </c>
      <c r="O472" s="20" t="s">
        <v>229</v>
      </c>
      <c r="P472" s="32" t="s">
        <v>260</v>
      </c>
      <c r="Q472" s="20" t="s">
        <v>1773</v>
      </c>
      <c r="R472" s="33">
        <f t="shared" si="172"/>
        <v>12249086.76</v>
      </c>
      <c r="S472" s="2">
        <v>9877821.2400000002</v>
      </c>
      <c r="T472" s="2">
        <v>2371265.52</v>
      </c>
      <c r="U472" s="33">
        <f t="shared" si="173"/>
        <v>0</v>
      </c>
      <c r="V472" s="2">
        <v>0</v>
      </c>
      <c r="W472" s="2">
        <v>0</v>
      </c>
      <c r="X472" s="33">
        <f t="shared" si="174"/>
        <v>2335961.2399999998</v>
      </c>
      <c r="Y472" s="2">
        <v>1743144.91</v>
      </c>
      <c r="Z472" s="2">
        <v>592816.32999999996</v>
      </c>
      <c r="AA472" s="2">
        <v>0</v>
      </c>
      <c r="AB472" s="2">
        <v>0</v>
      </c>
      <c r="AC472" s="2">
        <v>0</v>
      </c>
      <c r="AD472" s="2">
        <f t="shared" si="176"/>
        <v>14585048</v>
      </c>
      <c r="AE472" s="2">
        <v>0</v>
      </c>
      <c r="AF472" s="2">
        <f t="shared" si="177"/>
        <v>14585048</v>
      </c>
      <c r="AG472" s="39" t="s">
        <v>69</v>
      </c>
      <c r="AH472" s="34"/>
      <c r="AI472" s="35">
        <v>0</v>
      </c>
      <c r="AJ472" s="36">
        <v>0</v>
      </c>
      <c r="AK472" s="28">
        <f t="shared" si="180"/>
        <v>12249086.76</v>
      </c>
      <c r="AL472" s="28">
        <f t="shared" si="181"/>
        <v>0</v>
      </c>
      <c r="AM472" s="29">
        <f t="shared" si="182"/>
        <v>0</v>
      </c>
    </row>
    <row r="473" spans="1:39" ht="192" customHeight="1" x14ac:dyDescent="0.25">
      <c r="A473" s="37">
        <v>470</v>
      </c>
      <c r="B473" s="37">
        <v>128013</v>
      </c>
      <c r="C473" s="20">
        <v>593</v>
      </c>
      <c r="D473" s="40" t="s">
        <v>254</v>
      </c>
      <c r="E473" s="14" t="s">
        <v>1583</v>
      </c>
      <c r="F473" s="171" t="s">
        <v>1791</v>
      </c>
      <c r="G473" s="20" t="s">
        <v>1792</v>
      </c>
      <c r="H473" s="20" t="s">
        <v>1793</v>
      </c>
      <c r="I473" s="43" t="s">
        <v>1794</v>
      </c>
      <c r="J473" s="30">
        <v>43817</v>
      </c>
      <c r="K473" s="30">
        <v>44730</v>
      </c>
      <c r="L473" s="31">
        <f t="shared" si="167"/>
        <v>83.983862832153392</v>
      </c>
      <c r="M473" s="20" t="s">
        <v>1772</v>
      </c>
      <c r="N473" s="20" t="s">
        <v>228</v>
      </c>
      <c r="O473" s="20" t="s">
        <v>229</v>
      </c>
      <c r="P473" s="32" t="s">
        <v>260</v>
      </c>
      <c r="Q473" s="20" t="s">
        <v>1773</v>
      </c>
      <c r="R473" s="33">
        <f t="shared" si="172"/>
        <v>25152543.590000004</v>
      </c>
      <c r="S473" s="2">
        <v>20283335.010000002</v>
      </c>
      <c r="T473" s="2">
        <v>4869208.58</v>
      </c>
      <c r="U473" s="33">
        <f t="shared" si="173"/>
        <v>1562953.45</v>
      </c>
      <c r="V473" s="2">
        <v>1155035.78</v>
      </c>
      <c r="W473" s="2">
        <v>407917.67</v>
      </c>
      <c r="X473" s="33">
        <f t="shared" si="174"/>
        <v>3233760.76</v>
      </c>
      <c r="Y473" s="2">
        <v>2424376.25</v>
      </c>
      <c r="Z473" s="2">
        <v>809384.51</v>
      </c>
      <c r="AA473" s="2">
        <v>0</v>
      </c>
      <c r="AB473" s="2">
        <v>0</v>
      </c>
      <c r="AC473" s="2">
        <v>0</v>
      </c>
      <c r="AD473" s="2">
        <f t="shared" si="176"/>
        <v>29949257.800000004</v>
      </c>
      <c r="AE473" s="2">
        <v>0</v>
      </c>
      <c r="AF473" s="2">
        <f t="shared" si="177"/>
        <v>29949257.800000004</v>
      </c>
      <c r="AG473" s="39" t="s">
        <v>69</v>
      </c>
      <c r="AH473" s="34"/>
      <c r="AI473" s="35">
        <v>0</v>
      </c>
      <c r="AJ473" s="36">
        <v>0</v>
      </c>
      <c r="AK473" s="28">
        <f t="shared" si="180"/>
        <v>25152543.590000004</v>
      </c>
      <c r="AL473" s="28">
        <f t="shared" si="181"/>
        <v>1562953.45</v>
      </c>
      <c r="AM473" s="29">
        <f t="shared" si="182"/>
        <v>0</v>
      </c>
    </row>
    <row r="474" spans="1:39" ht="267.75" x14ac:dyDescent="0.25">
      <c r="A474" s="37">
        <v>471</v>
      </c>
      <c r="B474" s="37">
        <v>127465</v>
      </c>
      <c r="C474" s="37">
        <v>594</v>
      </c>
      <c r="D474" s="40" t="s">
        <v>254</v>
      </c>
      <c r="E474" s="14" t="s">
        <v>1583</v>
      </c>
      <c r="F474" s="171" t="s">
        <v>1795</v>
      </c>
      <c r="G474" s="20" t="s">
        <v>1796</v>
      </c>
      <c r="H474" s="15" t="s">
        <v>1797</v>
      </c>
      <c r="I474" s="43" t="s">
        <v>1798</v>
      </c>
      <c r="J474" s="30">
        <v>43817</v>
      </c>
      <c r="K474" s="30">
        <v>44730</v>
      </c>
      <c r="L474" s="31">
        <f t="shared" si="167"/>
        <v>83.983864179507265</v>
      </c>
      <c r="M474" s="20" t="s">
        <v>1772</v>
      </c>
      <c r="N474" s="20" t="s">
        <v>228</v>
      </c>
      <c r="O474" s="20" t="s">
        <v>229</v>
      </c>
      <c r="P474" s="32" t="s">
        <v>260</v>
      </c>
      <c r="Q474" s="20" t="s">
        <v>1773</v>
      </c>
      <c r="R474" s="33">
        <f t="shared" si="172"/>
        <v>12707993.02</v>
      </c>
      <c r="S474" s="2">
        <v>10247889.17</v>
      </c>
      <c r="T474" s="2">
        <v>2460103.85</v>
      </c>
      <c r="U474" s="33">
        <f t="shared" si="173"/>
        <v>384595.77</v>
      </c>
      <c r="V474" s="2">
        <v>284219.5</v>
      </c>
      <c r="W474" s="2">
        <v>100376.27</v>
      </c>
      <c r="X474" s="33">
        <f t="shared" si="174"/>
        <v>2038880.98</v>
      </c>
      <c r="Y474" s="2">
        <v>1524231.35</v>
      </c>
      <c r="Z474" s="2">
        <v>514649.63</v>
      </c>
      <c r="AA474" s="2">
        <f>AB474+AC474</f>
        <v>0</v>
      </c>
      <c r="AB474" s="2">
        <v>0</v>
      </c>
      <c r="AC474" s="2">
        <v>0</v>
      </c>
      <c r="AD474" s="2">
        <f t="shared" si="176"/>
        <v>15131469.77</v>
      </c>
      <c r="AE474" s="2">
        <v>0</v>
      </c>
      <c r="AF474" s="2">
        <f t="shared" si="177"/>
        <v>15131469.77</v>
      </c>
      <c r="AG474" s="39" t="s">
        <v>69</v>
      </c>
      <c r="AH474" s="34"/>
      <c r="AI474" s="35">
        <v>0</v>
      </c>
      <c r="AJ474" s="36">
        <v>0</v>
      </c>
      <c r="AK474" s="28">
        <f t="shared" si="180"/>
        <v>12707993.02</v>
      </c>
      <c r="AL474" s="28">
        <f t="shared" si="181"/>
        <v>384595.77</v>
      </c>
      <c r="AM474" s="29">
        <f t="shared" si="182"/>
        <v>0</v>
      </c>
    </row>
    <row r="475" spans="1:39" ht="409.5" x14ac:dyDescent="0.25">
      <c r="A475" s="37">
        <v>472</v>
      </c>
      <c r="B475" s="37">
        <v>127579</v>
      </c>
      <c r="C475" s="37">
        <v>610</v>
      </c>
      <c r="D475" s="40" t="s">
        <v>254</v>
      </c>
      <c r="E475" s="14" t="s">
        <v>1583</v>
      </c>
      <c r="F475" s="171" t="s">
        <v>1799</v>
      </c>
      <c r="G475" s="20" t="s">
        <v>1796</v>
      </c>
      <c r="H475" s="15" t="s">
        <v>1800</v>
      </c>
      <c r="I475" s="43" t="s">
        <v>1801</v>
      </c>
      <c r="J475" s="30">
        <v>43817</v>
      </c>
      <c r="K475" s="30">
        <v>44730</v>
      </c>
      <c r="L475" s="31">
        <f t="shared" si="167"/>
        <v>83.983862449652818</v>
      </c>
      <c r="M475" s="20" t="s">
        <v>1772</v>
      </c>
      <c r="N475" s="20" t="s">
        <v>228</v>
      </c>
      <c r="O475" s="20" t="s">
        <v>229</v>
      </c>
      <c r="P475" s="32" t="s">
        <v>260</v>
      </c>
      <c r="Q475" s="20" t="s">
        <v>1773</v>
      </c>
      <c r="R475" s="33">
        <f t="shared" si="172"/>
        <v>14797731.890000001</v>
      </c>
      <c r="S475" s="2">
        <v>11933081.6</v>
      </c>
      <c r="T475" s="2">
        <v>2864650.29</v>
      </c>
      <c r="U475" s="33">
        <f t="shared" si="173"/>
        <v>488856.33</v>
      </c>
      <c r="V475" s="2">
        <v>361268.94</v>
      </c>
      <c r="W475" s="2">
        <v>127587.39</v>
      </c>
      <c r="X475" s="33">
        <f t="shared" si="174"/>
        <v>2333144.2599999998</v>
      </c>
      <c r="Y475" s="2">
        <v>1744568.95</v>
      </c>
      <c r="Z475" s="2">
        <v>588575.31000000006</v>
      </c>
      <c r="AA475" s="2">
        <f>AB475+AC475</f>
        <v>0</v>
      </c>
      <c r="AB475" s="2">
        <v>0</v>
      </c>
      <c r="AC475" s="2">
        <v>0</v>
      </c>
      <c r="AD475" s="2">
        <f t="shared" si="176"/>
        <v>17619732.48</v>
      </c>
      <c r="AE475" s="2">
        <v>0</v>
      </c>
      <c r="AF475" s="2">
        <f t="shared" si="177"/>
        <v>17619732.48</v>
      </c>
      <c r="AG475" s="39" t="s">
        <v>69</v>
      </c>
      <c r="AH475" s="34"/>
      <c r="AI475" s="35">
        <v>0</v>
      </c>
      <c r="AJ475" s="36">
        <v>0</v>
      </c>
      <c r="AK475" s="28">
        <f t="shared" si="180"/>
        <v>14797731.890000001</v>
      </c>
      <c r="AL475" s="28">
        <f t="shared" si="181"/>
        <v>488856.33</v>
      </c>
      <c r="AM475" s="29">
        <f t="shared" si="182"/>
        <v>0</v>
      </c>
    </row>
    <row r="476" spans="1:39" ht="267.75" x14ac:dyDescent="0.25">
      <c r="A476" s="37">
        <v>473</v>
      </c>
      <c r="B476" s="37">
        <v>129170</v>
      </c>
      <c r="C476" s="37">
        <v>724</v>
      </c>
      <c r="D476" s="40" t="s">
        <v>254</v>
      </c>
      <c r="E476" s="14" t="s">
        <v>1619</v>
      </c>
      <c r="F476" s="171" t="s">
        <v>1802</v>
      </c>
      <c r="G476" s="20" t="s">
        <v>1632</v>
      </c>
      <c r="H476" s="15" t="s">
        <v>1803</v>
      </c>
      <c r="I476" s="43" t="s">
        <v>1804</v>
      </c>
      <c r="J476" s="30">
        <v>43819</v>
      </c>
      <c r="K476" s="30">
        <v>44732</v>
      </c>
      <c r="L476" s="31">
        <f t="shared" si="167"/>
        <v>83.983863218572864</v>
      </c>
      <c r="M476" s="20" t="s">
        <v>1772</v>
      </c>
      <c r="N476" s="20" t="s">
        <v>228</v>
      </c>
      <c r="O476" s="20" t="s">
        <v>229</v>
      </c>
      <c r="P476" s="32" t="s">
        <v>260</v>
      </c>
      <c r="Q476" s="20" t="s">
        <v>1773</v>
      </c>
      <c r="R476" s="33">
        <f t="shared" si="172"/>
        <v>19868936.969999999</v>
      </c>
      <c r="S476" s="2">
        <v>16022566.539999999</v>
      </c>
      <c r="T476" s="2">
        <v>3846370.43</v>
      </c>
      <c r="U476" s="33">
        <f t="shared" si="173"/>
        <v>1348294.18</v>
      </c>
      <c r="V476" s="2">
        <v>996400.74</v>
      </c>
      <c r="W476" s="2">
        <v>351893.44</v>
      </c>
      <c r="X476" s="33">
        <f t="shared" si="174"/>
        <v>2440810.06</v>
      </c>
      <c r="Y476" s="2">
        <v>1831110.97</v>
      </c>
      <c r="Z476" s="2">
        <v>609699.09</v>
      </c>
      <c r="AA476" s="2">
        <f>AB476+AC476</f>
        <v>0</v>
      </c>
      <c r="AB476" s="2">
        <v>0</v>
      </c>
      <c r="AC476" s="2">
        <v>0</v>
      </c>
      <c r="AD476" s="2">
        <f t="shared" si="176"/>
        <v>23658041.209999997</v>
      </c>
      <c r="AE476" s="2">
        <v>0</v>
      </c>
      <c r="AF476" s="2">
        <f t="shared" si="177"/>
        <v>23658041.209999997</v>
      </c>
      <c r="AG476" s="39" t="s">
        <v>69</v>
      </c>
      <c r="AH476" s="34"/>
      <c r="AI476" s="35">
        <v>0</v>
      </c>
      <c r="AJ476" s="36">
        <v>0</v>
      </c>
      <c r="AK476" s="28">
        <f t="shared" si="180"/>
        <v>19868936.969999999</v>
      </c>
      <c r="AL476" s="28">
        <f t="shared" si="181"/>
        <v>1348294.18</v>
      </c>
      <c r="AM476" s="29">
        <f t="shared" si="182"/>
        <v>0</v>
      </c>
    </row>
    <row r="477" spans="1:39" ht="267.75" x14ac:dyDescent="0.25">
      <c r="A477" s="37">
        <v>474</v>
      </c>
      <c r="B477" s="37">
        <v>127548</v>
      </c>
      <c r="C477" s="37">
        <v>591</v>
      </c>
      <c r="D477" s="40" t="s">
        <v>254</v>
      </c>
      <c r="E477" s="14" t="s">
        <v>1583</v>
      </c>
      <c r="F477" s="171" t="s">
        <v>1805</v>
      </c>
      <c r="G477" s="20" t="s">
        <v>1806</v>
      </c>
      <c r="H477" s="20" t="s">
        <v>173</v>
      </c>
      <c r="I477" s="43" t="s">
        <v>1807</v>
      </c>
      <c r="J477" s="30">
        <v>43822</v>
      </c>
      <c r="K477" s="30">
        <v>44918</v>
      </c>
      <c r="L477" s="31">
        <f t="shared" si="167"/>
        <v>83.983862716414038</v>
      </c>
      <c r="M477" s="20" t="s">
        <v>1772</v>
      </c>
      <c r="N477" s="20" t="s">
        <v>228</v>
      </c>
      <c r="O477" s="20" t="s">
        <v>229</v>
      </c>
      <c r="P477" s="32" t="s">
        <v>260</v>
      </c>
      <c r="Q477" s="20" t="s">
        <v>1773</v>
      </c>
      <c r="R477" s="33">
        <f t="shared" si="172"/>
        <v>14578975.969999999</v>
      </c>
      <c r="S477" s="2">
        <v>11756673.939999999</v>
      </c>
      <c r="T477" s="2">
        <v>2822302.03</v>
      </c>
      <c r="U477" s="33">
        <f t="shared" si="173"/>
        <v>0</v>
      </c>
      <c r="V477" s="2">
        <v>0</v>
      </c>
      <c r="W477" s="2">
        <v>0</v>
      </c>
      <c r="X477" s="33">
        <f t="shared" si="174"/>
        <v>2780282.7</v>
      </c>
      <c r="Y477" s="2">
        <v>2074707.17</v>
      </c>
      <c r="Z477" s="2">
        <v>705575.53</v>
      </c>
      <c r="AA477" s="2">
        <f>AB477+AC477</f>
        <v>0</v>
      </c>
      <c r="AB477" s="2">
        <v>0</v>
      </c>
      <c r="AC477" s="2">
        <v>0</v>
      </c>
      <c r="AD477" s="2">
        <f t="shared" si="176"/>
        <v>17359258.669999998</v>
      </c>
      <c r="AE477" s="2">
        <v>0</v>
      </c>
      <c r="AF477" s="2">
        <f t="shared" si="177"/>
        <v>17359258.669999998</v>
      </c>
      <c r="AG477" s="39" t="s">
        <v>69</v>
      </c>
      <c r="AH477" s="34"/>
      <c r="AI477" s="35">
        <v>0</v>
      </c>
      <c r="AJ477" s="36">
        <v>0</v>
      </c>
      <c r="AK477" s="28">
        <f t="shared" si="180"/>
        <v>14578975.969999999</v>
      </c>
      <c r="AL477" s="28">
        <f t="shared" si="181"/>
        <v>0</v>
      </c>
      <c r="AM477" s="29">
        <f t="shared" si="182"/>
        <v>0</v>
      </c>
    </row>
    <row r="478" spans="1:39" ht="346.5" x14ac:dyDescent="0.25">
      <c r="A478" s="37">
        <v>475</v>
      </c>
      <c r="B478" s="37">
        <v>130709</v>
      </c>
      <c r="C478" s="37">
        <v>753</v>
      </c>
      <c r="D478" s="40" t="s">
        <v>840</v>
      </c>
      <c r="E478" s="14" t="s">
        <v>1808</v>
      </c>
      <c r="F478" s="40" t="s">
        <v>1809</v>
      </c>
      <c r="G478" s="20" t="s">
        <v>1810</v>
      </c>
      <c r="H478" s="20" t="s">
        <v>1811</v>
      </c>
      <c r="I478" s="15" t="s">
        <v>1812</v>
      </c>
      <c r="J478" s="30">
        <v>43783</v>
      </c>
      <c r="K478" s="30">
        <v>44879</v>
      </c>
      <c r="L478" s="31">
        <f t="shared" si="167"/>
        <v>83.983862922190696</v>
      </c>
      <c r="M478" s="20" t="s">
        <v>1772</v>
      </c>
      <c r="N478" s="20" t="s">
        <v>228</v>
      </c>
      <c r="O478" s="20" t="s">
        <v>229</v>
      </c>
      <c r="P478" s="32" t="s">
        <v>260</v>
      </c>
      <c r="Q478" s="20" t="s">
        <v>1773</v>
      </c>
      <c r="R478" s="33">
        <f t="shared" si="172"/>
        <v>41943831.82</v>
      </c>
      <c r="S478" s="2">
        <v>33824045.990000002</v>
      </c>
      <c r="T478" s="2">
        <v>8119785.8299999982</v>
      </c>
      <c r="U478" s="33">
        <f t="shared" si="173"/>
        <v>0</v>
      </c>
      <c r="V478" s="2">
        <v>0</v>
      </c>
      <c r="W478" s="2">
        <v>0</v>
      </c>
      <c r="X478" s="33">
        <f t="shared" si="174"/>
        <v>7998895.6999999993</v>
      </c>
      <c r="Y478" s="2">
        <v>5968949.2599999998</v>
      </c>
      <c r="Z478" s="2">
        <v>2029946.44</v>
      </c>
      <c r="AA478" s="2">
        <v>0</v>
      </c>
      <c r="AB478" s="2">
        <v>0</v>
      </c>
      <c r="AC478" s="2">
        <v>0</v>
      </c>
      <c r="AD478" s="2">
        <f t="shared" si="176"/>
        <v>49942727.519999996</v>
      </c>
      <c r="AE478" s="2">
        <v>50507.95</v>
      </c>
      <c r="AF478" s="2">
        <f t="shared" si="177"/>
        <v>49993235.469999999</v>
      </c>
      <c r="AG478" s="39" t="s">
        <v>69</v>
      </c>
      <c r="AH478" s="34"/>
      <c r="AI478" s="35">
        <f>564656.74</f>
        <v>564656.74</v>
      </c>
      <c r="AJ478" s="36">
        <v>0</v>
      </c>
      <c r="AK478" s="28">
        <f t="shared" si="180"/>
        <v>41379175.079999998</v>
      </c>
      <c r="AL478" s="28">
        <f t="shared" si="181"/>
        <v>0</v>
      </c>
      <c r="AM478" s="29">
        <f t="shared" si="182"/>
        <v>1.3462211617269449E-2</v>
      </c>
    </row>
    <row r="479" spans="1:39" ht="315" x14ac:dyDescent="0.25">
      <c r="A479" s="37">
        <v>476</v>
      </c>
      <c r="B479" s="37">
        <v>130048</v>
      </c>
      <c r="C479" s="37">
        <v>729</v>
      </c>
      <c r="D479" s="40" t="s">
        <v>1813</v>
      </c>
      <c r="E479" s="14" t="s">
        <v>1619</v>
      </c>
      <c r="F479" s="171" t="s">
        <v>1814</v>
      </c>
      <c r="G479" s="20" t="s">
        <v>1815</v>
      </c>
      <c r="H479" s="20"/>
      <c r="I479" s="43" t="s">
        <v>1816</v>
      </c>
      <c r="J479" s="30">
        <v>43858</v>
      </c>
      <c r="K479" s="30">
        <v>44954</v>
      </c>
      <c r="L479" s="31">
        <f t="shared" si="167"/>
        <v>83.983862842436835</v>
      </c>
      <c r="M479" s="20" t="s">
        <v>1772</v>
      </c>
      <c r="N479" s="20" t="s">
        <v>228</v>
      </c>
      <c r="O479" s="20" t="s">
        <v>229</v>
      </c>
      <c r="P479" s="32" t="s">
        <v>260</v>
      </c>
      <c r="Q479" s="20" t="s">
        <v>1773</v>
      </c>
      <c r="R479" s="33">
        <f t="shared" si="172"/>
        <v>85646819.920000002</v>
      </c>
      <c r="S479" s="2">
        <v>69066698.280000001</v>
      </c>
      <c r="T479" s="2">
        <v>16580121.640000001</v>
      </c>
      <c r="U479" s="33">
        <f t="shared" si="173"/>
        <v>0</v>
      </c>
      <c r="V479" s="2">
        <v>0</v>
      </c>
      <c r="W479" s="2">
        <v>0</v>
      </c>
      <c r="X479" s="33">
        <f t="shared" si="174"/>
        <v>16333271.279999999</v>
      </c>
      <c r="Y479" s="2">
        <v>12188240.859999999</v>
      </c>
      <c r="Z479" s="2">
        <v>4145030.42</v>
      </c>
      <c r="AA479" s="2">
        <f t="shared" ref="AA479:AA481" si="183">AB479+AC479</f>
        <v>0</v>
      </c>
      <c r="AB479" s="2">
        <v>0</v>
      </c>
      <c r="AC479" s="2">
        <v>0</v>
      </c>
      <c r="AD479" s="2">
        <f t="shared" si="176"/>
        <v>101980091.2</v>
      </c>
      <c r="AE479" s="2">
        <v>0</v>
      </c>
      <c r="AF479" s="2">
        <f t="shared" si="177"/>
        <v>101980091.2</v>
      </c>
      <c r="AG479" s="39" t="s">
        <v>69</v>
      </c>
      <c r="AH479" s="34" t="s">
        <v>35</v>
      </c>
      <c r="AI479" s="35">
        <v>0</v>
      </c>
      <c r="AJ479" s="36">
        <v>0</v>
      </c>
      <c r="AK479" s="28">
        <f t="shared" si="180"/>
        <v>85646819.920000002</v>
      </c>
      <c r="AL479" s="28">
        <f t="shared" si="181"/>
        <v>0</v>
      </c>
      <c r="AM479" s="29">
        <f>AI479/R479</f>
        <v>0</v>
      </c>
    </row>
    <row r="480" spans="1:39" ht="409.5" x14ac:dyDescent="0.25">
      <c r="A480" s="37">
        <v>477</v>
      </c>
      <c r="B480" s="37">
        <v>127559</v>
      </c>
      <c r="C480" s="37">
        <v>601</v>
      </c>
      <c r="D480" s="40" t="s">
        <v>254</v>
      </c>
      <c r="E480" s="14" t="s">
        <v>1583</v>
      </c>
      <c r="F480" s="171" t="s">
        <v>1817</v>
      </c>
      <c r="G480" s="20" t="s">
        <v>1796</v>
      </c>
      <c r="H480" s="20" t="s">
        <v>1670</v>
      </c>
      <c r="I480" s="43" t="s">
        <v>1818</v>
      </c>
      <c r="J480" s="30">
        <v>43867</v>
      </c>
      <c r="K480" s="30">
        <v>44598</v>
      </c>
      <c r="L480" s="31">
        <f t="shared" si="167"/>
        <v>83.983863045863743</v>
      </c>
      <c r="M480" s="20" t="s">
        <v>1772</v>
      </c>
      <c r="N480" s="20" t="s">
        <v>228</v>
      </c>
      <c r="O480" s="20" t="s">
        <v>229</v>
      </c>
      <c r="P480" s="32" t="s">
        <v>260</v>
      </c>
      <c r="Q480" s="20" t="s">
        <v>1773</v>
      </c>
      <c r="R480" s="33">
        <f t="shared" si="172"/>
        <v>9288170.129999999</v>
      </c>
      <c r="S480" s="2">
        <v>7490100.0199999996</v>
      </c>
      <c r="T480" s="2">
        <v>1798070.11</v>
      </c>
      <c r="U480" s="33">
        <f t="shared" si="173"/>
        <v>735571.09</v>
      </c>
      <c r="V480" s="2">
        <v>543593.19999999995</v>
      </c>
      <c r="W480" s="2">
        <v>191977.89</v>
      </c>
      <c r="X480" s="33">
        <f t="shared" si="174"/>
        <v>1035728.77</v>
      </c>
      <c r="Y480" s="2">
        <v>778189.08</v>
      </c>
      <c r="Z480" s="2">
        <v>257539.69</v>
      </c>
      <c r="AA480" s="2">
        <f t="shared" si="183"/>
        <v>0</v>
      </c>
      <c r="AB480" s="2">
        <v>0</v>
      </c>
      <c r="AC480" s="2">
        <v>0</v>
      </c>
      <c r="AD480" s="2">
        <f t="shared" si="176"/>
        <v>11059469.989999998</v>
      </c>
      <c r="AE480" s="2">
        <v>0</v>
      </c>
      <c r="AF480" s="2">
        <f t="shared" si="177"/>
        <v>11059469.989999998</v>
      </c>
      <c r="AG480" s="39" t="s">
        <v>69</v>
      </c>
      <c r="AH480" s="34"/>
      <c r="AI480" s="35">
        <v>0</v>
      </c>
      <c r="AJ480" s="36">
        <v>0</v>
      </c>
      <c r="AK480" s="28">
        <f t="shared" si="180"/>
        <v>9288170.129999999</v>
      </c>
      <c r="AL480" s="28">
        <f t="shared" si="181"/>
        <v>735571.09</v>
      </c>
      <c r="AM480" s="29">
        <f t="shared" si="182"/>
        <v>0</v>
      </c>
    </row>
    <row r="481" spans="1:39" ht="267.75" x14ac:dyDescent="0.25">
      <c r="A481" s="37">
        <v>478</v>
      </c>
      <c r="B481" s="37">
        <v>129439</v>
      </c>
      <c r="C481" s="37">
        <v>733</v>
      </c>
      <c r="D481" s="40" t="s">
        <v>1813</v>
      </c>
      <c r="E481" s="14" t="s">
        <v>1619</v>
      </c>
      <c r="F481" s="171" t="s">
        <v>1819</v>
      </c>
      <c r="G481" s="20" t="s">
        <v>1820</v>
      </c>
      <c r="H481" s="20" t="s">
        <v>1821</v>
      </c>
      <c r="I481" s="43" t="s">
        <v>1822</v>
      </c>
      <c r="J481" s="30">
        <v>43892</v>
      </c>
      <c r="K481" s="30">
        <v>44987</v>
      </c>
      <c r="L481" s="31">
        <f t="shared" ref="L481" si="184">R481/AD481*100</f>
        <v>83.684692489870656</v>
      </c>
      <c r="M481" s="20" t="s">
        <v>1772</v>
      </c>
      <c r="N481" s="20" t="s">
        <v>228</v>
      </c>
      <c r="O481" s="20" t="s">
        <v>229</v>
      </c>
      <c r="P481" s="32" t="s">
        <v>260</v>
      </c>
      <c r="Q481" s="20" t="s">
        <v>1773</v>
      </c>
      <c r="R481" s="33">
        <f t="shared" si="172"/>
        <v>21087715.459999997</v>
      </c>
      <c r="S481" s="2">
        <v>17005405.329999998</v>
      </c>
      <c r="T481" s="2">
        <v>4082310.13</v>
      </c>
      <c r="U481" s="33">
        <f t="shared" si="173"/>
        <v>704463.35</v>
      </c>
      <c r="V481" s="2">
        <v>525685.84</v>
      </c>
      <c r="W481" s="2">
        <v>178777.51</v>
      </c>
      <c r="X481" s="33">
        <f t="shared" si="174"/>
        <v>3317067.9699999997</v>
      </c>
      <c r="Y481" s="2">
        <v>2475267.92</v>
      </c>
      <c r="Z481" s="2">
        <v>841800.05</v>
      </c>
      <c r="AA481" s="2">
        <f t="shared" si="183"/>
        <v>89764.93</v>
      </c>
      <c r="AB481" s="2">
        <v>71522.179999999993</v>
      </c>
      <c r="AC481" s="2">
        <v>18242.75</v>
      </c>
      <c r="AD481" s="2">
        <f t="shared" si="176"/>
        <v>25199011.709999997</v>
      </c>
      <c r="AE481" s="2">
        <v>0</v>
      </c>
      <c r="AF481" s="2">
        <f t="shared" si="177"/>
        <v>25199011.709999997</v>
      </c>
      <c r="AG481" s="39" t="s">
        <v>69</v>
      </c>
      <c r="AH481" s="34"/>
      <c r="AI481" s="35">
        <v>0</v>
      </c>
      <c r="AJ481" s="36">
        <v>0</v>
      </c>
      <c r="AK481" s="19" t="s">
        <v>1697</v>
      </c>
      <c r="AL481" s="14" t="s">
        <v>1697</v>
      </c>
      <c r="AM481" s="29">
        <f t="shared" si="182"/>
        <v>0</v>
      </c>
    </row>
    <row r="482" spans="1:39" x14ac:dyDescent="0.25">
      <c r="E482" s="14"/>
      <c r="R482" s="9">
        <f>SUM(R4:R481)</f>
        <v>2628343262.5700011</v>
      </c>
      <c r="S482" s="9">
        <f t="shared" ref="S482:AF482" si="185">SUM(S4:S481)</f>
        <v>2177613179.8999996</v>
      </c>
      <c r="T482" s="9">
        <f t="shared" si="185"/>
        <v>450730082.67000002</v>
      </c>
      <c r="U482" s="9">
        <f t="shared" si="185"/>
        <v>110146166.21000002</v>
      </c>
      <c r="V482" s="9">
        <f t="shared" si="185"/>
        <v>89113961.410000011</v>
      </c>
      <c r="W482" s="9">
        <f t="shared" si="185"/>
        <v>21032204.800000023</v>
      </c>
      <c r="X482" s="9">
        <f t="shared" si="185"/>
        <v>386619994.32999992</v>
      </c>
      <c r="Y482" s="9">
        <f t="shared" si="185"/>
        <v>295065012.21231538</v>
      </c>
      <c r="Z482" s="9">
        <f t="shared" si="185"/>
        <v>91554982.117684543</v>
      </c>
      <c r="AA482" s="9">
        <f t="shared" si="185"/>
        <v>3835791.6138636647</v>
      </c>
      <c r="AB482" s="9">
        <f t="shared" si="185"/>
        <v>3116709.231527932</v>
      </c>
      <c r="AC482" s="9">
        <f t="shared" si="185"/>
        <v>719082.38233572943</v>
      </c>
      <c r="AD482" s="9">
        <f t="shared" si="185"/>
        <v>3128945214.7238655</v>
      </c>
      <c r="AE482" s="9">
        <f t="shared" si="185"/>
        <v>19019175.290000003</v>
      </c>
      <c r="AF482" s="9">
        <f t="shared" si="185"/>
        <v>3144213614.5438643</v>
      </c>
      <c r="AI482" s="9">
        <f>SUM(AI4:AI481)</f>
        <v>657053019.3599999</v>
      </c>
      <c r="AJ482" s="9">
        <f>SUM(AJ4:AJ481)</f>
        <v>28461121.243600015</v>
      </c>
    </row>
  </sheetData>
  <protectedRanges>
    <protectedRange sqref="AH303:AJ303 AE301:AE303 S301:T303 V301:W303 Y302:Z303 AB301:AC303 Y7:Z11 V7:W11 S7:T11 AE7:AE11 B23:C23 S17:T18 V17:W18 Y17:Z18 AB17:AC18 AE17:AE18 C377:C389 W23 Z23 AB23:AC23 F381:K389 B134:C140 AE23 AE377:AE396 AH23 S51:T55 S183:T183 S156 V156 Y156 M95:Q96 AE112:AE116 AH114:AH116 AB125:AC127 H119:K120 S171:T174 AE134 W119:W120 S176:T181 AE78:AE82 O136 M156 AB78:AC82 F80:K82 Y100:Z101 T119:T120 B146:C149 AE118:AE120 B83:B85 F119:F120 V125:W127 T125:T127 S118:T118 V118:W118 Y118:Z118 AH127 S134:T134 V134:W134 Y134:Z134 C152 AB100:AC101 B192:C196 C155 M100:M101 O100:O101 AH156:AH157 AB159:AC160 AE159:AE160 S159:T160 V176:W181 V188:Z189 C182 B153:K154 AE51:AE55 F51:F55 F301:K302 B26:C29 T305 E303:K303 E305:K305 V305:W317 S306:T317 AE305:AE317 F306:K307 Y305:Z314 V27:W29 AB34:AC36 Y27:Z29 AB27:AC29 D317:K317 D310:K310 E311:K316 F318:K318 S318:AF318 AB320:AC322 Y176:Z181 AB172:AC174 W78 E329 Y326:Z328 V319:W328 S319:T328 AE319:AE328 C207 AB324:AC328 E326:K328 AH320:AJ321 M162 B17:C18 D330:K333 M330:O334 E334:K337 C203 AH332:AJ332 M335:M337 C191 B122:B124 M125:M127 D338:K341 Q342 E342:K343 E45:F45 Q330:Q339 R69:T69 W69 F155:K155 AE156:AE157 AB156:AC157 E134:K134 R23:T23 M307:O328 Q310:Q328 F171 E23:K23 E345:K359 H360:K360 AH344:AJ344 AB77:AF77 B34:C36 W191:Z191 K191:K196 E191:I195 I34:K36 M23:P23 S152:T154 AE153:AE154 AH152:AH154 B100:C101 F69:K70 AE125:AE127 AH134 E137:K140 E100:G101 E152:K152 M17:M18 AE27:AE29 E12:E13 AE100:AE101 M134:P134 M163:N163 M176:Q176 H162:K163 P162:Q163 C305:C328 Y51:Z55 F6:K8 E17:K18 P17:P18 AH17:AH18 Q345:Q351 N374:O375 V395:W396 AE168 AB395:AC396 E26:K29 F377:K377 G380 F208:K208 F378:G379 Q377:Q396 F118:K118 B94:C94 R77:T78 AB57:AC59 E378:E385 F168:K168 C197:C198 E94:K94 B204:C206 C210 D335:D337 E207:K207 E176:K176 E162:F163 E308:K309 D319:K325 D413 B51:C55 S168:T168 Y168:Z168 E389:E396 F391:K396 M168:O168 R184:T184 E125:K127 Y125:Z127 AH46:AH47 AH94:AH96 AH181:AJ185 AH146:AH150 D156:K156 E197:K197 AH200:AJ213 C301:C303 M69:P69 M40:P40 S27:T29 F77:K78 E57:K58 D368 D390 D344:K344 D360:F360 M94:P94 E203:K205 E398:E400 D79:K79 AE167:AF167 M377:O396 Y377:Z396 AB377:AC377 S377:T396 V377:W393 H378:K380 AB209:AC212 H177:K177 E177:F177 E222:K223 D71:K71 E72:K72 AB51:AC55 AB118:AC120 AB112:AC114 M112:M114 P114 O125:P127 Z119:Z120 Y112:Z116 S112:T116 M118:M120 S146:T149 AB146:AC149 AE146:AE149 AH172 AE172:AE174 I183:K183 E135:F136 H135:K136 S135 V135 Y135 M135:N136 D183:F183 B162:C166 E172:G172 I171:K174 Q171 C188:C189 AE188:AE189 AB188:AC189 E188:K189 AB7:AC11 V70:W72 AB72:AC72 AB218:AC218 AH307 AH309 AH311:AH315 AH318:AH319 AH325:AJ325 AH322:AH324 AH326:AH328 AH330:AH331 AH334:AJ334 AH333 AH336:AJ337 AH335 AH338:AH343 AH347:AJ347 AH345:AH346 AH353:AJ353 AH348:AH352 AH354:AH358 AH362:AH363 AH383:AH384 AI381:AJ384 N24:N25 P24:P25 N183 AH7:AH11 M42:P42 AB45:AC47 D46:F47 D178:K178 I45:K47 AH169 V182:Z182 Y45:Z47 AE45:AE47 S45:T47 F182:K182 E402:E411 AB223:AC226 AE222:AE226 M159:Q160 E225:K226 M108:P108 AE229:AE230 AH159:AH160 B229:C230 E159:K160 AE57:AE72 AB192:AC198 AE191:AE198 F229:G230 R229:T230 V229:Z230 AB229:AC230 I229:K230 AE169:AF169 B200:K202 D206:K206 Y171:Z174 AB98:AC98 M98:Q98 B95:K96 S100:T101 I100:K101 AB162:AC165 S162:T166 AE162:AE166 E52:E55 H51:K55 O51:O55 H84:H85 B103:C110 E209:K213 V103:W109 AE103:AE110 AB103:AC105 Y103:Z110 S103:T110 B40:C42 AH106:AH110 E103:K108 F109:K110 M79:T82 E147:E149 F146:K149 B183:C184 M109:Q110 S137:T140 Y137:Z140 AB137:AC138 V137:W140 E43 H43 M41:Q41 E40:K42 AE40:AE42 AH40:AH42 AB151:AC154 S151 H151 E151 S40:T43 Y40:Z43 AB40:AC43 W110 S200:T213 V200:W213 Y200:Z213 AE200:AE213 AB200:AC203 M200:M202 O200:P202 B176:C181 Y14:Z14 S14:T14 AB14:AC14 AH14:AH15 E14:K14 M137:O140 B62:B68 F59:K61 S57:T68 E91:E92 O146:O149 M146:M149 AH57:AH72 E164:K166 M164:Q166 M152:P154 E414:E426 V94:W98 F97:K97 M97:O97 AB94:AC96 AE94:AE98 S94:T98 C185 E184:K185 C332:C375 Q185 S185:T185 V183:W185 AE176:AE185 Y183:Z185 AB176:AC185 M185:O185 M338:O373 AB330:AC335 Y331:Z375 AE330:AE375 V330:W375 S330:T375 Q355:Q373 E361:K375 AH222:AJ226 V222:Z226 V151:W154 AH230:AJ230 D198:K198 AB306:AC309 AH162:AH167 B167:K167 Y162:Z166 AB31:AC32 I31:K32 E31:G31 M31:M32 E112:K116 M115:P116 H190 M184:P184 M26:P29 M77:P78 M203:Q203 M204:P204 M169:T169 M70:T72 M188:T189 M182:T182 M229:O230 AH197:AJ198 M197:T198 M167:T167 V100:W101 AB131:AC132 AH129:AH132 E131:E132 G75 M106:Q107 P20 G20 E34:G36 M34:P36 AE14 E179:K181 B208:C209 V45:W47 V112:W116 V159:W160 V14:W14 AH316:AJ317 V40:W43 V51:W55 V57:W68 V77:W77 B77:C82 V146:W149 V171:W174 Y57:Z70 Y71:AC71 Y72:Z72 Y159:Z160 Y94:Z98 Y146:Z149 Y151:Z154 Y167:AC167 Y169:AC169 AI229:AJ229 B69:C72 B125:C127 E218:E221 AH176:AH180 B159:C160 AH308:AJ308 AH359:AJ361 Y77:Z82 B222:C226 B6:C11 C391:C396 AH310:AJ310 B171:C174 E443:E454 AB140:AC140 AB205:AC207 AB311:AC316 AB337:AC358 AB360:AC360 AB362:AC375 AB380:AC389 AB391:AC393 AB61:AC62 AB64:AC70 AB107:AC110 AB116:AC116 E38:E39 AH188:AJ189 B45:C47 AH377:AJ380 V79:W82 B211:C213 M205:Q213 B98:K98 AH98 B57:C61 B112:C116 B118:C120 C168 B14:C14 AH77:AH82 V162:W169 C97 D157:I157 B156:C157 E173:F174 E428:E441 AH364:AJ375 AH385:AJ397 B31:C32 E9:K11 E457:E481 H62:K68 M57:Q68 B169:K169 AI305:AJ305 G150 F196:I196 M191:P196 R191:T196 V192:Z198 F32:G32 O31:P32 F224:K224 M222:T226" name="maria" securityDescriptor="O:WDG:WDD:(A;;CC;;;S-1-5-21-3048853270-2157241324-869001692-3245)(A;;CC;;;S-1-5-21-3048853270-2157241324-869001692-1007)"/>
    <protectedRange sqref="R4:AH4 AA5:AA11 R12:T13 AA14 AB5:AC5 AH44 AH173:AH174 AE12:AE13 AH12:AH13 V12:W13 Y12:AC13 AG5:AG481" name="maria_1_1_1" securityDescriptor="O:WDG:WDD:(A;;CC;;;S-1-5-21-3048853270-2157241324-869001692-3245)(A;;CC;;;S-1-5-21-3048853270-2157241324-869001692-1007)"/>
    <protectedRange sqref="AE5:AE6 S5:T6 V5:W6 Y5:Z6 AB6:AC6 E168 AH168 E5:K5 AH381:AH382 M14:O14 M5:O11 AH6 AH5:AJ5 B5:C5 AI6:AJ180" name="maria_3" securityDescriptor="O:WDG:WDD:(A;;CC;;;S-1-5-21-3048853270-2157241324-869001692-3245)(A;;CC;;;S-1-5-21-3048853270-2157241324-869001692-1007)"/>
    <protectedRange sqref="P5:Q6 Q168 Q50 Q94 Q123:Q124 Q204 Q295 Q352:Q354 Q375 P7:P11 Q192:Q196 P14" name="maria_1_3" securityDescriptor="O:WDG:WDD:(A;;CC;;;S-1-5-21-3048853270-2157241324-869001692-3245)(A;;CC;;;S-1-5-21-3048853270-2157241324-869001692-1007)"/>
    <protectedRange sqref="R5:R11 R14 AD5:AD14 AF5:AF14 U5:U14 X5:X14 X16:X75 AD16:AD36 AF16:AF36 U16:U75 X77:X149 U77:U149 U151:U181 X151:X181" name="maria_1_1_2" securityDescriptor="O:WDG:WDD:(A;;CC;;;S-1-5-21-3048853270-2157241324-869001692-3245)(A;;CC;;;S-1-5-21-3048853270-2157241324-869001692-1007)"/>
    <protectedRange sqref="AE16 S16:T16 V16:W16 Y16:AA16 E19:K19 AA17:AA18 M16:O16 B19:C19 N17:O18 E6 E16:K16 AE19 S19:T19 V19:W19 Y19:AA19 M19:O20 B16:C16" name="maria_4" securityDescriptor="O:WDG:WDD:(A;;CC;;;S-1-5-21-3048853270-2157241324-869001692-3245)(A;;CC;;;S-1-5-21-3048853270-2157241324-869001692-1007)"/>
    <protectedRange sqref="P16:Q16 Q17:Q18 P19:Q19 Q7:Q11 Q23:Q29 Q14 Q31:Q32 Q20 Q34:Q36" name="maria_1_4" securityDescriptor="O:WDG:WDD:(A;;CC;;;S-1-5-21-3048853270-2157241324-869001692-3245)(A;;CC;;;S-1-5-21-3048853270-2157241324-869001692-1007)"/>
    <protectedRange sqref="AH16 R16:R19 AH19" name="maria_1_1_3" securityDescriptor="O:WDG:WDD:(A;;CC;;;S-1-5-21-3048853270-2157241324-869001692-3245)(A;;CC;;;S-1-5-21-3048853270-2157241324-869001692-1007)"/>
    <protectedRange sqref="E21 T22 D18 D7:E8 D58:D59 D77:D78 D94 D104 D191 D197 D205 D208:E208 D177 D222:D223 D72 D225:D226 D159:D160 M22:O22 AB22:AC22 Y22:Z22 V22:W22 B21 AE22 D125:D127 D184 D189 D27:D29 D211:D213 D100:D101 D118:D120 D193:D195 D130 D51:D55 D209 D146:D147 D217:D220 D106:D110 D41 D151 D149 B22:K22 D134:D140 D179:D182 D163:D166 D31 D112:D116 AE73:AE75 S73:T75 V73:W75 Y73:Z75 AB74:AC75 AH73:AH76 E73:K74 M73:O75 E75:F75 H75:K75 D35:D36 D171:D174 D61:D70 B73:C75" name="maria_5" securityDescriptor="O:WDG:WDD:(A;;CC;;;S-1-5-21-3048853270-2157241324-869001692-3245)(A;;CC;;;S-1-5-21-3048853270-2157241324-869001692-1007)"/>
    <protectedRange sqref="P22:Q22 P73:Q75 AD73:AD75" name="maria_1_5" securityDescriptor="O:WDG:WDD:(A;;CC;;;S-1-5-21-3048853270-2157241324-869001692-3245)(A;;CC;;;S-1-5-21-3048853270-2157241324-869001692-1007)"/>
    <protectedRange sqref="AA31:AA32 F21:G21 AA22:AA23 R22:S22 AA34:AA36 V23 Y23 AH21 I21:K21 AA27:AA29 R27:R29 S34:S36 V34:V36 Y34:Y36 S31:S32 V31:V32 Y31:Y32 M21:T21 R73:R75 AA73:AA75 AF73:AF75 AE21 V21:W21 Y21:AA21 C21" name="maria_1_1_4" securityDescriptor="O:WDG:WDD:(A;;CC;;;S-1-5-21-3048853270-2157241324-869001692-3245)(A;;CC;;;S-1-5-21-3048853270-2157241324-869001692-1007)"/>
    <protectedRange sqref="B33:C33 H34:H36 H183 H45:H47 H31:H32 E33:K33 E37:K37 M33:O33 F38:K39 M37:O39 B37:C39" name="maria_6" securityDescriptor="O:WDG:WDD:(A;;CC;;;S-1-5-21-3048853270-2157241324-869001692-3245)(A;;CC;;;S-1-5-21-3048853270-2157241324-869001692-1007)"/>
    <protectedRange sqref="P33:Q33 Q40 Q42 P37:Q39" name="maria_1_6" securityDescriptor="O:WDG:WDD:(A;;CC;;;S-1-5-21-3048853270-2157241324-869001692-3245)(A;;CC;;;S-1-5-21-3048853270-2157241324-869001692-1007)"/>
    <protectedRange sqref="Z34:Z36 R26:T26 R33:T33 AH22 AH33:AH39 AH26:AH29 AA41:AA43 AD41:AD43 R41:R43 AF41:AF43 W34:W36 T34:T36 R34:R36 Z31:Z32 W31:W32 T31:T32 AE26 AE31:AE36 V26:W26 V33:W33 V37:W39 Y26:AC26 Y33:AA33 Y39:AF39 R37:T39 Y37:AA38 AD37:AF38 R31:R32" name="maria_1_1_5" securityDescriptor="O:WDG:WDD:(A;;CC;;;S-1-5-21-3048853270-2157241324-869001692-3245)(A;;CC;;;S-1-5-21-3048853270-2157241324-869001692-1007)"/>
    <protectedRange sqref="M48:O48 E48:K48 N49:N55 B48:C48" name="maria_8" securityDescriptor="O:WDG:WDD:(A;;CC;;;S-1-5-21-3048853270-2157241324-869001692-3245)(A;;CC;;;S-1-5-21-3048853270-2157241324-869001692-1007)"/>
    <protectedRange sqref="P48:Q48" name="maria_1_8" securityDescriptor="O:WDG:WDD:(A;;CC;;;S-1-5-21-3048853270-2157241324-869001692-3245)(A;;CC;;;S-1-5-21-3048853270-2157241324-869001692-1007)"/>
    <protectedRange sqref="R48:T48 V48:W48 AB48:AF48 AH48 AF168 AF377:AF396 AF229:AF230 AF443:AF481 AF398:AF412 AF133:AF140 AF144:AF149 AF170:AF182 AF415:AF426 AF319:AF375 AF49:AF72 AF184:AF189 AF234:AF317 AF151:AF166 Y48:Z48 AF78:AF128 AF428:AF441 AF191:AF226" name="maria_1_1_7" securityDescriptor="O:WDG:WDD:(A;;CC;;;S-1-5-21-3048853270-2157241324-869001692-3245)(A;;CC;;;S-1-5-21-3048853270-2157241324-869001692-1007)"/>
    <protectedRange sqref="AE49:AE50 S49:T50 V49:W50 Y49:Z50 AB49:AC50 O49:O50 E49:K50 AH49:AH55 G51:G55 M49:M55 B49:C50" name="maria_9" securityDescriptor="O:WDG:WDD:(A;;CC;;;S-1-5-21-3048853270-2157241324-869001692-3245)(A;;CC;;;S-1-5-21-3048853270-2157241324-869001692-1007)"/>
    <protectedRange sqref="P49:Q49 P50:P55" name="maria_1_9" securityDescriptor="O:WDG:WDD:(A;;CC;;;S-1-5-21-3048853270-2157241324-869001692-3245)(A;;CC;;;S-1-5-21-3048853270-2157241324-869001692-1007)"/>
    <protectedRange sqref="AD71:AD72 R49:R55 AD49:AD55" name="maria_1_1_8" securityDescriptor="O:WDG:WDD:(A;;CC;;;S-1-5-21-3048853270-2157241324-869001692-3245)(A;;CC;;;S-1-5-21-3048853270-2157241324-869001692-1007)"/>
    <protectedRange sqref="AH56 AE56 S56:T56 V56:W56 Y56:Z56 M56:O56 AB56:AC56 E56:K56 B56:C56" name="maria_10" securityDescriptor="O:WDG:WDD:(A;;CC;;;S-1-5-21-3048853270-2157241324-869001692-3245)(A;;CC;;;S-1-5-21-3048853270-2157241324-869001692-1007)"/>
    <protectedRange sqref="P56:Q56 Q51:Q55" name="maria_1_10" securityDescriptor="O:WDG:WDD:(A;;CC;;;S-1-5-21-3048853270-2157241324-869001692-3245)(A;;CC;;;S-1-5-21-3048853270-2157241324-869001692-1007)"/>
    <protectedRange sqref="AD56:AD70 R56:R68 AD78:AD82" name="maria_1_1_9" securityDescriptor="O:WDG:WDD:(A;;CC;;;S-1-5-21-3048853270-2157241324-869001692-3245)(A;;CC;;;S-1-5-21-3048853270-2157241324-869001692-1007)"/>
    <protectedRange sqref="AH83:AH85 AE83:AE85 S83:T85 V83:W85 Y83:Z85 M83:O85 AB83:AC85 E83:K83 F84:G85 I84:K85 C83:C85" name="maria_11" securityDescriptor="O:WDG:WDD:(A;;CC;;;S-1-5-21-3048853270-2157241324-869001692-3245)(A;;CC;;;S-1-5-21-3048853270-2157241324-869001692-1007)"/>
    <protectedRange sqref="Q69 Q77:Q78 Q118:Q120 P83:Q85" name="maria_1_11" securityDescriptor="O:WDG:WDD:(A;;CC;;;S-1-5-21-3048853270-2157241324-869001692-3245)(A;;CC;;;S-1-5-21-3048853270-2157241324-869001692-1007)"/>
    <protectedRange sqref="R83:R92 AD83:AD92" name="maria_1_1_10" securityDescriptor="O:WDG:WDD:(A;;CC;;;S-1-5-21-3048853270-2157241324-869001692-3245)(A;;CC;;;S-1-5-21-3048853270-2157241324-869001692-1007)"/>
    <protectedRange sqref="M86:Q86 V86:W86 AH86 S86:T86 Y86:Z86 AE86 E86:K86 B86:C86" name="maria_12" securityDescriptor="O:WDG:WDD:(A;;CC;;;S-1-5-21-3048853270-2157241324-869001692-3245)(A;;CC;;;S-1-5-21-3048853270-2157241324-869001692-1007)"/>
    <protectedRange sqref="AH87 AE87 S87:T87 V87:W87 Y87:Z87 M87:O87 E87:K87 B87:C87" name="maria_13" securityDescriptor="O:WDG:WDD:(A;;CC;;;S-1-5-21-3048853270-2157241324-869001692-3245)(A;;CC;;;S-1-5-21-3048853270-2157241324-869001692-1007)"/>
    <protectedRange sqref="P87:Q87" name="maria_1_12" securityDescriptor="O:WDG:WDD:(A;;CC;;;S-1-5-21-3048853270-2157241324-869001692-3245)(A;;CC;;;S-1-5-21-3048853270-2157241324-869001692-1007)"/>
    <protectedRange sqref="S88:T92 V88:W92 Y88:Z92 AB88:AC92 B88:C92 AH88:AH91 E109:E110 E88:K90 F91:K92 M88:O92 AE88:AE92 E84:E85 E80:E82" name="maria_14" securityDescriptor="O:WDG:WDD:(A;;CC;;;S-1-5-21-3048853270-2157241324-869001692-3245)(A;;CC;;;S-1-5-21-3048853270-2157241324-869001692-1007)"/>
    <protectedRange sqref="P88:Q92" name="maria_1_13" securityDescriptor="O:WDG:WDD:(A;;CC;;;S-1-5-21-3048853270-2157241324-869001692-3245)(A;;CC;;;S-1-5-21-3048853270-2157241324-869001692-1007)"/>
    <protectedRange sqref="AE93 S93:T93 V93:W93 Y93:Z93 M93:O93 AB93:AC93 E93:K93 AH92:AH93 B93:C93" name="maria_15" securityDescriptor="O:WDG:WDD:(A;;CC;;;S-1-5-21-3048853270-2157241324-869001692-3245)(A;;CC;;;S-1-5-21-3048853270-2157241324-869001692-1007)"/>
    <protectedRange sqref="P93:Q93" name="maria_1_14" securityDescriptor="O:WDG:WDD:(A;;CC;;;S-1-5-21-3048853270-2157241324-869001692-3245)(A;;CC;;;S-1-5-21-3048853270-2157241324-869001692-1007)"/>
    <protectedRange sqref="AD93:AD96 R93:R96 R98 AD98" name="maria_1_1_13" securityDescriptor="O:WDG:WDD:(A;;CC;;;S-1-5-21-3048853270-2157241324-869001692-3245)(A;;CC;;;S-1-5-21-3048853270-2157241324-869001692-1007)"/>
    <protectedRange sqref="AE99 Y99:Z99 V99:W99 N100:N101 E99:K99 K161 K214 AH99:AH100 H100:H101 M99:T99 P100:R101 B99:C99" name="maria_16" securityDescriptor="O:WDG:WDD:(A;;CC;;;S-1-5-21-3048853270-2157241324-869001692-3245)(A;;CC;;;S-1-5-21-3048853270-2157241324-869001692-1007)"/>
    <protectedRange sqref="AD99:AD101" name="maria_1_15" securityDescriptor="O:WDG:WDD:(A;;CC;;;S-1-5-21-3048853270-2157241324-869001692-3245)(A;;CC;;;S-1-5-21-3048853270-2157241324-869001692-1007)"/>
    <protectedRange sqref="V111:W111 AD111:AE111 N112:R113 AD377:AD396 AH111:AH113 B111:C111 N114:O114 E111:K111 K238 AD398:AD412 AD229:AD230 AD144:AD149 AD97 AD319:AD375 AD184:AD189 AD234:AD317 Q114:R116 M111:T111 AD415:AD441 AD112:AD140 Y111:Z111 AD151:AD182 AD443:AD481 AD191:AD226" name="maria_17" securityDescriptor="O:WDG:WDD:(A;;CC;;;S-1-5-21-3048853270-2157241324-869001692-3245)(A;;CC;;;S-1-5-21-3048853270-2157241324-869001692-1007)"/>
    <protectedRange sqref="M102:O105 E102:K102 B102:C102" name="maria_18" securityDescriptor="O:WDG:WDD:(A;;CC;;;S-1-5-21-3048853270-2157241324-869001692-3245)(A;;CC;;;S-1-5-21-3048853270-2157241324-869001692-1007)"/>
    <protectedRange sqref="P102:Q105" name="maria_1_16" securityDescriptor="O:WDG:WDD:(A;;CC;;;S-1-5-21-3048853270-2157241324-869001692-3245)(A;;CC;;;S-1-5-21-3048853270-2157241324-869001692-1007)"/>
    <protectedRange sqref="R102:T102 V102:W102 AD102:AE102 AH102:AH105 R103:R110 AD103:AD110 Y102:Z102" name="maria_1_1_14" securityDescriptor="O:WDG:WDD:(A;;CC;;;S-1-5-21-3048853270-2157241324-869001692-3245)(A;;CC;;;S-1-5-21-3048853270-2157241324-869001692-1007)"/>
    <protectedRange sqref="AH121 AE121 S121:T121 V121:W121 Y121:Z121 M121:O121 N122:O124 E121:K121 N125:N127 C121" name="maria_19" securityDescriptor="O:WDG:WDD:(A;;CC;;;S-1-5-21-3048853270-2157241324-869001692-3245)(A;;CC;;;S-1-5-21-3048853270-2157241324-869001692-1007)"/>
    <protectedRange sqref="P121:Q121" name="maria_1_17" securityDescriptor="O:WDG:WDD:(A;;CC;;;S-1-5-21-3048853270-2157241324-869001692-3245)(A;;CC;;;S-1-5-21-3048853270-2157241324-869001692-1007)"/>
    <protectedRange sqref="R121:R127 S125:S127" name="maria_1_1_15" securityDescriptor="O:WDG:WDD:(A;;CC;;;S-1-5-21-3048853270-2157241324-869001692-3245)(A;;CC;;;S-1-5-21-3048853270-2157241324-869001692-1007)"/>
    <protectedRange sqref="AE117 S117:T117 V117:W117 Y117:Z117 B121 E117:K117 G119:G120 AH117:AH120 N118:O120 M117:O117 B117:C117" name="maria_20" securityDescriptor="O:WDG:WDD:(A;;CC;;;S-1-5-21-3048853270-2157241324-869001692-3245)(A;;CC;;;S-1-5-21-3048853270-2157241324-869001692-1007)"/>
    <protectedRange sqref="P117:Q117 P118:P120" name="maria_1_18" securityDescriptor="O:WDG:WDD:(A;;CC;;;S-1-5-21-3048853270-2157241324-869001692-3245)(A;;CC;;;S-1-5-21-3048853270-2157241324-869001692-1007)"/>
    <protectedRange sqref="Y119:Y120 S119:S120 R117:R120" name="maria_1_1_16" securityDescriptor="O:WDG:WDD:(A;;CC;;;S-1-5-21-3048853270-2157241324-869001692-3245)(A;;CC;;;S-1-5-21-3048853270-2157241324-869001692-1007)"/>
    <protectedRange sqref="M133:O133 B152 B155 B158 B144:B145 E133:K133 G135:G136 O135 B133:C133" name="maria_21" securityDescriptor="O:WDG:WDD:(A;;CC;;;S-1-5-21-3048853270-2157241324-869001692-3245)(A;;CC;;;S-1-5-21-3048853270-2157241324-869001692-1007)"/>
    <protectedRange sqref="P133:Q133 P135:P140 P131:P132" name="maria_1_19" securityDescriptor="O:WDG:WDD:(A;;CC;;;S-1-5-21-3048853270-2157241324-869001692-3245)(A;;CC;;;S-1-5-21-3048853270-2157241324-869001692-1007)"/>
    <protectedRange sqref="R133:T133 V133:W133 AE133 AH133 W135 R134:R135 T135 Z135 R136:T136 V136:W136 AB136:AC136 AH135:AH140 R137:R140 AE135:AE140 Y133:Z133 Y136:Z136" name="maria_1_1_17" securityDescriptor="O:WDG:WDD:(A;;CC;;;S-1-5-21-3048853270-2157241324-869001692-3245)(A;;CC;;;S-1-5-21-3048853270-2157241324-869001692-1007)"/>
    <protectedRange sqref="M128 O128 E128:K128 B128:C128" name="maria_22" securityDescriptor="O:WDG:WDD:(A;;CC;;;S-1-5-21-3048853270-2157241324-869001692-3245)(A;;CC;;;S-1-5-21-3048853270-2157241324-869001692-1007)"/>
    <protectedRange sqref="P128:Q128" name="maria_1_20" securityDescriptor="O:WDG:WDD:(A;;CC;;;S-1-5-21-3048853270-2157241324-869001692-3245)(A;;CC;;;S-1-5-21-3048853270-2157241324-869001692-1007)"/>
    <protectedRange sqref="R128:T128 V128:W128 AH128 AE128:AE132 R129:R132 Y128:Z128" name="maria_1_1_18" securityDescriptor="O:WDG:WDD:(A;;CC;;;S-1-5-21-3048853270-2157241324-869001692-3245)(A;;CC;;;S-1-5-21-3048853270-2157241324-869001692-1007)"/>
    <protectedRange sqref="AE144:AE145 T144:T145 V144:W145 Y144:Z145 AB145:AC145 E146 M144:O145 E144:K145 AH144:AH145 N146:N149 C144:C145" name="maria_23" securityDescriptor="O:WDG:WDD:(A;;CC;;;S-1-5-21-3048853270-2157241324-869001692-3245)(A;;CC;;;S-1-5-21-3048853270-2157241324-869001692-1007)"/>
    <protectedRange sqref="Q43 Q151 P144:Q149" name="maria_1_21" securityDescriptor="O:WDG:WDD:(A;;CC;;;S-1-5-21-3048853270-2157241324-869001692-3245)(A;;CC;;;S-1-5-21-3048853270-2157241324-869001692-1007)"/>
    <protectedRange sqref="R144:S145 R146:R149 R151:R154 R156:R157" name="maria_1_1_19" securityDescriptor="O:WDG:WDD:(A;;CC;;;S-1-5-21-3048853270-2157241324-869001692-3245)(A;;CC;;;S-1-5-21-3048853270-2157241324-869001692-1007)"/>
    <protectedRange sqref="AH158 AE158 S158:T158 V158:W158 Y158:Z158 M158:O158 AH155 AE155 S155:T155 V155:W155 Y155:Z155 M155:O155 AB155:AC155 AE152 Z156 E155 E158:K158 N156:O156 T156 W156 C158" name="maria_24" securityDescriptor="O:WDG:WDD:(A;;CC;;;S-1-5-21-3048853270-2157241324-869001692-3245)(A;;CC;;;S-1-5-21-3048853270-2157241324-869001692-1007)"/>
    <protectedRange sqref="P158:Q158 P155:Q156 Q152:Q154" name="maria_1_22" securityDescriptor="O:WDG:WDD:(A;;CC;;;S-1-5-21-3048853270-2157241324-869001692-3245)(A;;CC;;;S-1-5-21-3048853270-2157241324-869001692-1007)"/>
    <protectedRange sqref="R155 R158:R160 R164:R166" name="maria_1_1_20" securityDescriptor="O:WDG:WDD:(A;;CC;;;S-1-5-21-3048853270-2157241324-869001692-3245)(A;;CC;;;S-1-5-21-3048853270-2157241324-869001692-1007)"/>
    <protectedRange sqref="S170:T170 V170:W170 Y170:Z170 M170:O174 B175 B182 B191 B197:B199 B203 B210 B207 G171 E171 AE170:AE171 AH170:AH171 E170:K170 E182 B188:B189 H171:H172 G173:H174 B170:C170" name="maria_25" securityDescriptor="O:WDG:WDD:(A;;CC;;;S-1-5-21-3048853270-2157241324-869001692-3245)(A;;CC;;;S-1-5-21-3048853270-2157241324-869001692-1007)"/>
    <protectedRange sqref="P170:Q170 P171:P172 Q172 P173:Q174" name="maria_1_23" securityDescriptor="O:WDG:WDD:(A;;CC;;;S-1-5-21-3048853270-2157241324-869001692-3245)(A;;CC;;;S-1-5-21-3048853270-2157241324-869001692-1007)"/>
    <protectedRange sqref="R170:R174" name="maria_1_1_21" securityDescriptor="O:WDG:WDD:(A;;CC;;;S-1-5-21-3048853270-2157241324-869001692-3245)(A;;CC;;;S-1-5-21-3048853270-2157241324-869001692-1007)"/>
    <protectedRange sqref="AE44 S44:T44 V44:W44 Y44:AA44 AA234:AA242 AA40 E44:K44 G183 M183 AA72 Q44:Q47 G45:G47 O183 AA229:AA230 Q183:Q184 AA188:AA189 B44:C44 AA144:AA146 AA77:AA96 AA170:AA184 M44:O47 AA98:AA140 AA152:AA166 AH45 AA45:AA70 AA191:AA226" name="maria_26" securityDescriptor="O:WDG:WDD:(A;;CC;;;S-1-5-21-3048853270-2157241324-869001692-3245)(A;;CC;;;S-1-5-21-3048853270-2157241324-869001692-1007)"/>
    <protectedRange sqref="P183 P44:P47" name="maria_1_24" securityDescriptor="O:WDG:WDD:(A;;CC;;;S-1-5-21-3048853270-2157241324-869001692-3245)(A;;CC;;;S-1-5-21-3048853270-2157241324-869001692-1007)"/>
    <protectedRange sqref="V119:V120 U182:U184 V69 R40 AD40 AF40 V191 V78 U229:U230 R183 AD183 AF183 AF44:AF47 X183:X184 AD44:AD47 R44:R47 U188:U189 U191:U226" name="maria_1_1_22" securityDescriptor="O:WDG:WDD:(A;;CC;;;S-1-5-21-3048853270-2157241324-869001692-3245)(A;;CC;;;S-1-5-21-3048853270-2157241324-869001692-1007)"/>
    <protectedRange sqref="R215:R221 V214:Z214 AE214 AH214 M214:T214 E97 E214:J214 B214:C214 X215:X221" name="maria_28" securityDescriptor="O:WDG:WDD:(A;;CC;;;S-1-5-21-3048853270-2157241324-869001692-3245)(A;;CC;;;S-1-5-21-3048853270-2157241324-869001692-1007)"/>
    <protectedRange sqref="S215:T221 V215:W221 Y215:Z221 F218:K221 E51 E77:E78 E59:E70 E215:K217 AB219:AC219 AH215:AH216 E118:E120 E130 M215:O221 AB221:AC221 B215:C221 AH217:AJ221 AE215:AE221" name="maria_29" securityDescriptor="O:WDG:WDD:(A;;CC;;;S-1-5-21-3048853270-2157241324-869001692-3245)(A;;CC;;;S-1-5-21-3048853270-2157241324-869001692-1007)"/>
    <protectedRange sqref="Q125:Q127 Q131:Q132 Q134:Q140 P215:Q221" name="maria_1_25" securityDescriptor="O:WDG:WDD:(A;;CC;;;S-1-5-21-3048853270-2157241324-869001692-3245)(A;;CC;;;S-1-5-21-3048853270-2157241324-869001692-1007)"/>
    <protectedRange sqref="AH199 AE199 S199:T199 V199:W199 Y199:Z199 AH191:AJ196 E199:K199 J191:J196 N200:N202 M199:O199 C199" name="maria_30" securityDescriptor="O:WDG:WDD:(A;;CC;;;S-1-5-21-3048853270-2157241324-869001692-3245)(A;;CC;;;S-1-5-21-3048853270-2157241324-869001692-1007)"/>
    <protectedRange sqref="P199:Q199 Q191 Q200:Q202" name="maria_1_26" securityDescriptor="O:WDG:WDD:(A;;CC;;;S-1-5-21-3048853270-2157241324-869001692-3245)(A;;CC;;;S-1-5-21-3048853270-2157241324-869001692-1007)"/>
    <protectedRange sqref="R199:R213 X199:X213" name="maria_1_1_24" securityDescriptor="O:WDG:WDD:(A;;CC;;;S-1-5-21-3048853270-2157241324-869001692-3245)(A;;CC;;;S-1-5-21-3048853270-2157241324-869001692-1007)"/>
    <protectedRange sqref="AH175 AE175 S175:T175 V175:W175 Y175:Z175 M177:O181 E175:K175 G177 M175:O175 C175" name="maria_31" securityDescriptor="O:WDG:WDD:(A;;CC;;;S-1-5-21-3048853270-2157241324-869001692-3245)(A;;CC;;;S-1-5-21-3048853270-2157241324-869001692-1007)"/>
    <protectedRange sqref="P175:Q175 Q108 P177:Q181" name="maria_1_27" securityDescriptor="O:WDG:WDD:(A;;CC;;;S-1-5-21-3048853270-2157241324-869001692-3245)(A;;CC;;;S-1-5-21-3048853270-2157241324-869001692-1007)"/>
    <protectedRange sqref="R162 R175:R181" name="maria_1_1_25" securityDescriptor="O:WDG:WDD:(A;;CC;;;S-1-5-21-3048853270-2157241324-869001692-3245)(A;;CC;;;S-1-5-21-3048853270-2157241324-869001692-1007)"/>
    <protectedRange sqref="B161 E161" name="maria_32" securityDescriptor="O:WDG:WDD:(A;;CC;;;S-1-5-21-3048853270-2157241324-869001692-3245)(A;;CC;;;S-1-5-21-3048853270-2157241324-869001692-1007)"/>
    <protectedRange sqref="Y161:Z161 F161:G161 V161:W161 AE161 AH161 R163 N162:O162 G162:G163 O163 I161:J161 M161:T161 C161" name="maria_1_28" securityDescriptor="O:WDG:WDD:(A;;CC;;;S-1-5-21-3048853270-2157241324-869001692-3245)(A;;CC;;;S-1-5-21-3048853270-2157241324-869001692-1007)"/>
    <protectedRange sqref="D278:G278 I270:K270 S236:T282 V252:W282 Y252:Z282 H235:K237 AE234:AE282 AB243:AC243 V235:Z251 M236:Q282 M235:T235 C330:C331 AA168 B168 R168 I278:K282 B391:B397 U377:U396 R377:R396 B377:B389 AA377:AA396 X377:X396 H239:K269 H238:J238 AH234 X398:X412 U398:U412 R398:R412 R414 X414 T151 R418:AC426 R97 B97 AA97 R336:R375 B332:B375 AA319:AA375 X320:X375 U319:U375 B30 AA30 R30 B185:B187 U185:U187 X185:X187 AA185:AA187 R185:R187 R236:R334 AA243:AA317 X252:X317 U235:U317 B235:B328 AA398:AA412 R427 U427 X427 AA427 M234:Z234 R428:AC433 Y444 AA443:AC444 Y443:Z443 R443:X444 R434:AA434 AB248:AC248 AB270:AC270 R415:AA417 R435:AC441 D235:G270 D271:K277 G292 G304 G408:G410 G416 G418 R445:AC468 D279:H282 R469:R481 U469:X481 AA469:AC481 B234:K234 C235:C282 AH235:AJ282 A401:A471" name="maria_33" securityDescriptor="O:WDG:WDD:(A;;CC;;;S-1-5-21-3048853270-2157241324-869001692-3245)(A;;CC;;;S-1-5-21-3048853270-2157241324-869001692-1007)"/>
    <protectedRange sqref="AH283 AE283 S283:T283 V283:W283 Y283:Z283 AB283:AC283 M283:O283 D349:D352 C283:K283" name="maria_34" securityDescriptor="O:WDG:WDD:(A;;CC;;;S-1-5-21-3048853270-2157241324-869001692-3245)(A;;CC;;;S-1-5-21-3048853270-2157241324-869001692-1007)"/>
    <protectedRange sqref="P283:Q283" name="maria_1_29" securityDescriptor="O:WDG:WDD:(A;;CC;;;S-1-5-21-3048853270-2157241324-869001692-3245)(A;;CC;;;S-1-5-21-3048853270-2157241324-869001692-1007)"/>
    <protectedRange sqref="E30:K30 M186 Q186:Q187 AE186:AE187 S186:T187 V186:W187 Y187:Z187 Q97 Q340:Q341 Q343:Q344 M187:N187 C30 E186:K187 AH186:AH187 AH97 Q30 AE30 S30:T30 V30:W30 Y30:Z30 M30:O30 AH30:AH32 Z186 AH101 AB191:AC191 AB204:AC204 AB208:AC208 AB213:AC217 AB220:AC220 AB222:AC222 AB234:AC242 AB244:AC247 AB271:AC282 AB305:AC305 AB310:AC310 AB317:AC317 AB336:AC336 AB359:AC359 AB361:AC361 AB376:AC376 AB378:AC379 AB390:AC390 AB415:AC417 AB434:AC434 AB16:AC16 AB19:AC19 AB21:AC21 AB30:AC30 AB33:AC33 AB37:AC38 AB44:AC44 AB60:AC60 AB63:AC63 AB73:AC73 AB86:AC87 AB97:AC97 AB99:AC99 AB102:AC102 AB106:AC106 AB111:AC111 AB115:AC115 AB117:AC117 AB121:AC123 AB133:AC135 AB139:AC139 AB144:AC144 AB158:AC158 AB161:AC161 AB166:AC166 AB168:AC168 AB170:AC171 AB175:AC175 AB186:AC187 AB128:AC130 AB249:AC269 N31:N32 C186:C187" name="maria_35" securityDescriptor="O:WDG:WDD:(A;;CC;;;S-1-5-21-3048853270-2157241324-869001692-3245)(A;;CC;;;S-1-5-21-3048853270-2157241324-869001692-1007)"/>
    <protectedRange sqref="P186:P187 P30" name="maria_1_30" securityDescriptor="O:WDG:WDD:(A;;CC;;;S-1-5-21-3048853270-2157241324-869001692-3245)(A;;CC;;;S-1-5-21-3048853270-2157241324-869001692-1007)"/>
    <protectedRange sqref="Y186" name="maria_1_1_27" securityDescriptor="O:WDG:WDD:(A;;CC;;;S-1-5-21-3048853270-2157241324-869001692-3245)(A;;CC;;;S-1-5-21-3048853270-2157241324-869001692-1007)"/>
    <protectedRange sqref="AE284:AE291 S284:T291 V284:W291 Y284:Z291 AB284:AC291 M284:O291 D295 D300:D302 D306:D307 D309 D311:D315 D318 D326:D328 D334 D342:D343 D345:D348 D374:D375 D378:D385 D353:D359 D210 D207 D203:D204 D192 D176 D162 D152 D123:D124 D105 D50 D45 D34 D17 D6 D103 D389 D369:D372 D391:D396 D188 AH284:AH291 D23:D26 D408:D409 D412:E412 D9:D11 D14 D42:D43 D148 D221 D420:D426 D185 D361:D367 D131:D132 D20 D38:D40 D428:D441 D443:D454 D457:D481 C284:K291" name="maria_36" securityDescriptor="O:WDG:WDD:(A;;CC;;;S-1-5-21-3048853270-2157241324-869001692-3245)(A;;CC;;;S-1-5-21-3048853270-2157241324-869001692-1007)"/>
    <protectedRange sqref="P284:Q291" name="maria_1_31" securityDescriptor="O:WDG:WDD:(A;;CC;;;S-1-5-21-3048853270-2157241324-869001692-3245)(A;;CC;;;S-1-5-21-3048853270-2157241324-869001692-1007)"/>
    <protectedRange sqref="AE292:AE293 S292:T293 V292:W293 Y293 Z292:Z293 D293:K293 AB292:AC293 M292:O293 AE304 S304:T304 V304:W304 Z304 AB304:AC304 AH304:AJ304 D303 D305 M304:O305 AH305 D316 D308 AH293 D410 D292:F292 H292:K292 H304:K304 C304:F304 C292:C293 AH292:AJ292" name="maria_37" securityDescriptor="O:WDG:WDD:(A;;CC;;;S-1-5-21-3048853270-2157241324-869001692-3245)(A;;CC;;;S-1-5-21-3048853270-2157241324-869001692-1007)"/>
    <protectedRange sqref="P292:Q293 P304:Q305" name="maria_1_32" securityDescriptor="O:WDG:WDD:(A;;CC;;;S-1-5-21-3048853270-2157241324-869001692-3245)(A;;CC;;;S-1-5-21-3048853270-2157241324-869001692-1007)"/>
    <protectedRange sqref="Y292 Y304" name="maria_1_1_29" securityDescriptor="O:WDG:WDD:(A;;CC;;;S-1-5-21-3048853270-2157241324-869001692-3245)(A;;CC;;;S-1-5-21-3048853270-2157241324-869001692-1007)"/>
    <protectedRange sqref="AE294:AE295 S294:T295 V294:W295 Y295:Z295 AB294:AC295 D294:K294 M294:O295 E295:K295 AH294:AH295 C294:C295" name="maria_38" securityDescriptor="O:WDG:WDD:(A;;CC;;;S-1-5-21-3048853270-2157241324-869001692-3245)(A;;CC;;;S-1-5-21-3048853270-2157241324-869001692-1007)"/>
    <protectedRange sqref="P294:Q294 P295" name="maria_1_33" securityDescriptor="O:WDG:WDD:(A;;CC;;;S-1-5-21-3048853270-2157241324-869001692-3245)(A;;CC;;;S-1-5-21-3048853270-2157241324-869001692-1007)"/>
    <protectedRange sqref="G298:H298 F296:H297 AE296:AE298 S296:T298 V296:W298 Y296:Z298 I296:K298 AB296:AC298 M303:O303 M296:O298 AH296:AH297 C296:E298 AH298:AJ298" name="maria_39" securityDescriptor="O:WDG:WDD:(A;;CC;;;S-1-5-21-3048853270-2157241324-869001692-3245)(A;;CC;;;S-1-5-21-3048853270-2157241324-869001692-1007)"/>
    <protectedRange sqref="P296:Q298 Q303" name="maria_1_34" securityDescriptor="O:WDG:WDD:(A;;CC;;;S-1-5-21-3048853270-2157241324-869001692-3245)(A;;CC;;;S-1-5-21-3048853270-2157241324-869001692-1007)"/>
    <protectedRange sqref="AE299:AE300 S299:T300 V299:W300 D299:K299 AB299:AC300 Y299:Z301 AH301:AJ301 M299:O302 AH306 M306:O306 AH302 E300:K300 E301:E302 E306:E307 E318 AH300 C299:C300 AH299:AJ299" name="maria_40" securityDescriptor="O:WDG:WDD:(A;;CC;;;S-1-5-21-3048853270-2157241324-869001692-3245)(A;;CC;;;S-1-5-21-3048853270-2157241324-869001692-1007)"/>
    <protectedRange sqref="P299:Q302 P306:Q306 Q307:Q309" name="maria_1_35" securityDescriptor="O:WDG:WDD:(A;;CC;;;S-1-5-21-3048853270-2157241324-869001692-3245)(A;;CC;;;S-1-5-21-3048853270-2157241324-869001692-1007)"/>
    <protectedRange sqref="AE122:AE124 S122:T124 V122:W124 Y122:Z124 AB124:AC124 E122:K124 AH122:AH126 M122:M124 C122:C124" name="maria_42" securityDescriptor="O:WDG:WDD:(A;;CC;;;S-1-5-21-3048853270-2157241324-869001692-3245)(A;;CC;;;S-1-5-21-3048853270-2157241324-869001692-1007)"/>
    <protectedRange sqref="P122:Q122 P123:P124" name="maria_1_37" securityDescriptor="O:WDG:WDD:(A;;CC;;;S-1-5-21-3048853270-2157241324-869001692-3245)(A;;CC;;;S-1-5-21-3048853270-2157241324-869001692-1007)"/>
    <protectedRange sqref="S376:T376 V376:W376 AE376 Y376:Z376 M376:O376 AH376 E376:K376 E377 E386:E388 C376" name="maria_7" securityDescriptor="O:WDG:WDD:(A;;CC;;;S-1-5-21-3048853270-2157241324-869001692-3245)(A;;CC;;;S-1-5-21-3048853270-2157241324-869001692-1007)"/>
    <protectedRange sqref="P376" name="maria_1_7" securityDescriptor="O:WDG:WDD:(A;;CC;;;S-1-5-21-3048853270-2157241324-869001692-3245)(A;;CC;;;S-1-5-21-3048853270-2157241324-869001692-1007)"/>
    <protectedRange sqref="AF376" name="maria_1_1_7_1" securityDescriptor="O:WDG:WDD:(A;;CC;;;S-1-5-21-3048853270-2157241324-869001692-3245)(A;;CC;;;S-1-5-21-3048853270-2157241324-869001692-1007)"/>
    <protectedRange sqref="AD376" name="maria_17_1" securityDescriptor="O:WDG:WDD:(A;;CC;;;S-1-5-21-3048853270-2157241324-869001692-3245)(A;;CC;;;S-1-5-21-3048853270-2157241324-869001692-1007)"/>
    <protectedRange sqref="U376 X376 AA376 B376 R376" name="maria_33_1" securityDescriptor="O:WDG:WDD:(A;;CC;;;S-1-5-21-3048853270-2157241324-869001692-3245)(A;;CC;;;S-1-5-21-3048853270-2157241324-869001692-1007)"/>
    <protectedRange sqref="D376:D377 D386:D388" name="maria_36_1" securityDescriptor="O:WDG:WDD:(A;;CC;;;S-1-5-21-3048853270-2157241324-869001692-3245)(A;;CC;;;S-1-5-21-3048853270-2157241324-869001692-1007)"/>
    <protectedRange sqref="S413:T413 V413:W413 AE413 Y413:Z413 AB413:AC413 C413 E413:F413 AH413:AJ413" name="maria_27" securityDescriptor="O:WDG:WDD:(A;;CC;;;S-1-5-21-3048853270-2157241324-869001692-3245)(A;;CC;;;S-1-5-21-3048853270-2157241324-869001692-1007)"/>
    <protectedRange sqref="AF413:AF414" name="maria_1_1_7_2" securityDescriptor="O:WDG:WDD:(A;;CC;;;S-1-5-21-3048853270-2157241324-869001692-3245)(A;;CC;;;S-1-5-21-3048853270-2157241324-869001692-1007)"/>
    <protectedRange sqref="AD413:AD414" name="maria_17_2" securityDescriptor="O:WDG:WDD:(A;;CC;;;S-1-5-21-3048853270-2157241324-869001692-3245)(A;;CC;;;S-1-5-21-3048853270-2157241324-869001692-1007)"/>
    <protectedRange sqref="X413 B413 R413 AA413:AA414 U413:U414" name="maria_33_2" securityDescriptor="O:WDG:WDD:(A;;CC;;;S-1-5-21-3048853270-2157241324-869001692-3245)(A;;CC;;;S-1-5-21-3048853270-2157241324-869001692-1007)"/>
    <protectedRange sqref="N413:O413" name="maria_10_1" securityDescriptor="O:WDG:WDD:(A;;CC;;;S-1-5-21-3048853270-2157241324-869001692-3245)(A;;CC;;;S-1-5-21-3048853270-2157241324-869001692-1007)"/>
    <protectedRange sqref="F129:G132 B129:C132" name="maria_41" securityDescriptor="O:WDG:WDD:(A;;CC;;;S-1-5-21-3048853270-2157241324-869001692-3245)(A;;CC;;;S-1-5-21-3048853270-2157241324-869001692-1007)"/>
    <protectedRange sqref="E129" name="maria_22_1" securityDescriptor="O:WDG:WDD:(A;;CC;;;S-1-5-21-3048853270-2157241324-869001692-3245)(A;;CC;;;S-1-5-21-3048853270-2157241324-869001692-1007)"/>
    <protectedRange sqref="I129:I132" name="maria_43" securityDescriptor="O:WDG:WDD:(A;;CC;;;S-1-5-21-3048853270-2157241324-869001692-3245)(A;;CC;;;S-1-5-21-3048853270-2157241324-869001692-1007)"/>
    <protectedRange sqref="H129:H132" name="maria_22_2" securityDescriptor="O:WDG:WDD:(A;;CC;;;S-1-5-21-3048853270-2157241324-869001692-3245)(A;;CC;;;S-1-5-21-3048853270-2157241324-869001692-1007)"/>
    <protectedRange sqref="J129:K132" name="maria_44" securityDescriptor="O:WDG:WDD:(A;;CC;;;S-1-5-21-3048853270-2157241324-869001692-3245)(A;;CC;;;S-1-5-21-3048853270-2157241324-869001692-1007)"/>
    <protectedRange sqref="O129 M129:M132" name="maria_22_3" securityDescriptor="O:WDG:WDD:(A;;CC;;;S-1-5-21-3048853270-2157241324-869001692-3245)(A;;CC;;;S-1-5-21-3048853270-2157241324-869001692-1007)"/>
    <protectedRange sqref="P129:Q130" name="maria_1_20_1" securityDescriptor="O:WDG:WDD:(A;;CC;;;S-1-5-21-3048853270-2157241324-869001692-3245)(A;;CC;;;S-1-5-21-3048853270-2157241324-869001692-1007)"/>
    <protectedRange sqref="S129:T132" name="maria_45" securityDescriptor="O:WDG:WDD:(A;;CC;;;S-1-5-21-3048853270-2157241324-869001692-3245)(A;;CC;;;S-1-5-21-3048853270-2157241324-869001692-1007)"/>
    <protectedRange sqref="V129:W132" name="maria_46" securityDescriptor="O:WDG:WDD:(A;;CC;;;S-1-5-21-3048853270-2157241324-869001692-3245)(A;;CC;;;S-1-5-21-3048853270-2157241324-869001692-1007)"/>
    <protectedRange sqref="Y129:Z132" name="maria_47" securityDescriptor="O:WDG:WDD:(A;;CC;;;S-1-5-21-3048853270-2157241324-869001692-3245)(A;;CC;;;S-1-5-21-3048853270-2157241324-869001692-1007)"/>
    <protectedRange sqref="AF129:AF132" name="maria_1_1_7_3" securityDescriptor="O:WDG:WDD:(A;;CC;;;S-1-5-21-3048853270-2157241324-869001692-3245)(A;;CC;;;S-1-5-21-3048853270-2157241324-869001692-1007)"/>
    <protectedRange sqref="V397:W397 AE397 AB397:AC397 N443:O481 S397:T397 Y397:Z397 E397:K397 N401:O401 M397:O400 Q397:Q400 Q402:Q405 M402:O412 N43:O43 N151:O151 N414:O441 N442 C397" name="maria_48" securityDescriptor="O:WDG:WDD:(A;;CC;;;S-1-5-21-3048853270-2157241324-869001692-3245)(A;;CC;;;S-1-5-21-3048853270-2157241324-869001692-1007)"/>
    <protectedRange sqref="P397:P412" name="maria_1_36" securityDescriptor="O:WDG:WDD:(A;;CC;;;S-1-5-21-3048853270-2157241324-869001692-3245)(A;;CC;;;S-1-5-21-3048853270-2157241324-869001692-1007)"/>
    <protectedRange sqref="AF397" name="maria_1_1_7_4" securityDescriptor="O:WDG:WDD:(A;;CC;;;S-1-5-21-3048853270-2157241324-869001692-3245)(A;;CC;;;S-1-5-21-3048853270-2157241324-869001692-1007)"/>
    <protectedRange sqref="AD397" name="maria_17_3" securityDescriptor="O:WDG:WDD:(A;;CC;;;S-1-5-21-3048853270-2157241324-869001692-3245)(A;;CC;;;S-1-5-21-3048853270-2157241324-869001692-1007)"/>
    <protectedRange sqref="X397 AA397 R397 U397" name="maria_33_3" securityDescriptor="O:WDG:WDD:(A;;CC;;;S-1-5-21-3048853270-2157241324-869001692-3245)(A;;CC;;;S-1-5-21-3048853270-2157241324-869001692-1007)"/>
    <protectedRange sqref="D397" name="maria_36_2" securityDescriptor="O:WDG:WDD:(A;;CC;;;S-1-5-21-3048853270-2157241324-869001692-3245)(A;;CC;;;S-1-5-21-3048853270-2157241324-869001692-1007)"/>
    <protectedRange sqref="D373" name="maria_1_4_1" securityDescriptor="O:WDG:WDD:(A;;CC;;;S-1-5-21-3048853270-2157241324-869001692-3245)(A;;CC;;;S-1-5-21-3048853270-2157241324-869001692-1007)"/>
    <protectedRange sqref="D401" name="maria_1_1" securityDescriptor="O:WDG:WDD:(A;;CC;;;S-1-5-21-3048853270-2157241324-869001692-3245)(A;;CC;;;S-1-5-21-3048853270-2157241324-869001692-1007)"/>
    <protectedRange sqref="E401" name="maria_49" securityDescriptor="O:WDG:WDD:(A;;CC;;;S-1-5-21-3048853270-2157241324-869001692-3245)(A;;CC;;;S-1-5-21-3048853270-2157241324-869001692-1007)"/>
    <protectedRange sqref="M401" name="maria_2_1" securityDescriptor="O:WDG:WDD:(A;;CC;;;S-1-5-21-3048853270-2157241324-869001692-3245)(A;;CC;;;S-1-5-21-3048853270-2157241324-869001692-1007)"/>
    <protectedRange sqref="Q401 Q406:Q412" name="maria_3_1" securityDescriptor="O:WDG:WDD:(A;;CC;;;S-1-5-21-3048853270-2157241324-869001692-3245)(A;;CC;;;S-1-5-21-3048853270-2157241324-869001692-1007)"/>
    <protectedRange sqref="AI283:AJ283" name="maria_34_2" securityDescriptor="O:WDG:WDD:(A;;CC;;;S-1-5-21-3048853270-2157241324-869001692-3245)(A;;CC;;;S-1-5-21-3048853270-2157241324-869001692-1007)"/>
    <protectedRange sqref="AI284:AJ284" name="maria_36_4" securityDescriptor="O:WDG:WDD:(A;;CC;;;S-1-5-21-3048853270-2157241324-869001692-3245)(A;;CC;;;S-1-5-21-3048853270-2157241324-869001692-1007)"/>
    <protectedRange sqref="AI285:AJ285" name="maria_36_6" securityDescriptor="O:WDG:WDD:(A;;CC;;;S-1-5-21-3048853270-2157241324-869001692-3245)(A;;CC;;;S-1-5-21-3048853270-2157241324-869001692-1007)"/>
    <protectedRange sqref="AI286:AJ286" name="maria_36_7" securityDescriptor="O:WDG:WDD:(A;;CC;;;S-1-5-21-3048853270-2157241324-869001692-3245)(A;;CC;;;S-1-5-21-3048853270-2157241324-869001692-1007)"/>
    <protectedRange sqref="AI287:AJ287" name="maria_36_8" securityDescriptor="O:WDG:WDD:(A;;CC;;;S-1-5-21-3048853270-2157241324-869001692-3245)(A;;CC;;;S-1-5-21-3048853270-2157241324-869001692-1007)"/>
    <protectedRange sqref="AI288:AJ288" name="maria_36_9" securityDescriptor="O:WDG:WDD:(A;;CC;;;S-1-5-21-3048853270-2157241324-869001692-3245)(A;;CC;;;S-1-5-21-3048853270-2157241324-869001692-1007)"/>
    <protectedRange sqref="AI289:AJ289" name="maria_36_10" securityDescriptor="O:WDG:WDD:(A;;CC;;;S-1-5-21-3048853270-2157241324-869001692-3245)(A;;CC;;;S-1-5-21-3048853270-2157241324-869001692-1007)"/>
    <protectedRange sqref="AI290:AJ290" name="maria_36_12" securityDescriptor="O:WDG:WDD:(A;;CC;;;S-1-5-21-3048853270-2157241324-869001692-3245)(A;;CC;;;S-1-5-21-3048853270-2157241324-869001692-1007)"/>
    <protectedRange sqref="AI291:AJ291" name="maria_36_14" securityDescriptor="O:WDG:WDD:(A;;CC;;;S-1-5-21-3048853270-2157241324-869001692-3245)(A;;CC;;;S-1-5-21-3048853270-2157241324-869001692-1007)"/>
    <protectedRange sqref="AI293:AJ293" name="maria_37_1" securityDescriptor="O:WDG:WDD:(A;;CC;;;S-1-5-21-3048853270-2157241324-869001692-3245)(A;;CC;;;S-1-5-21-3048853270-2157241324-869001692-1007)"/>
    <protectedRange sqref="AI294:AJ294" name="maria_38_1" securityDescriptor="O:WDG:WDD:(A;;CC;;;S-1-5-21-3048853270-2157241324-869001692-3245)(A;;CC;;;S-1-5-21-3048853270-2157241324-869001692-1007)"/>
    <protectedRange sqref="AI295:AJ295" name="maria_38_3" securityDescriptor="O:WDG:WDD:(A;;CC;;;S-1-5-21-3048853270-2157241324-869001692-3245)(A;;CC;;;S-1-5-21-3048853270-2157241324-869001692-1007)"/>
    <protectedRange sqref="AI296:AJ296" name="maria_39_2" securityDescriptor="O:WDG:WDD:(A;;CC;;;S-1-5-21-3048853270-2157241324-869001692-3245)(A;;CC;;;S-1-5-21-3048853270-2157241324-869001692-1007)"/>
    <protectedRange sqref="AI297:AJ297" name="maria_39_3" securityDescriptor="O:WDG:WDD:(A;;CC;;;S-1-5-21-3048853270-2157241324-869001692-3245)(A;;CC;;;S-1-5-21-3048853270-2157241324-869001692-1007)"/>
    <protectedRange sqref="AI300:AJ300" name="maria_40_1" securityDescriptor="O:WDG:WDD:(A;;CC;;;S-1-5-21-3048853270-2157241324-869001692-3245)(A;;CC;;;S-1-5-21-3048853270-2157241324-869001692-1007)"/>
    <protectedRange sqref="AI302:AJ302" name="maria_40_2" securityDescriptor="O:WDG:WDD:(A;;CC;;;S-1-5-21-3048853270-2157241324-869001692-3245)(A;;CC;;;S-1-5-21-3048853270-2157241324-869001692-1007)"/>
    <protectedRange sqref="AI306:AJ306" name="maria_40_4" securityDescriptor="O:WDG:WDD:(A;;CC;;;S-1-5-21-3048853270-2157241324-869001692-3245)(A;;CC;;;S-1-5-21-3048853270-2157241324-869001692-1007)"/>
    <protectedRange sqref="AI307:AJ307" name="maria_50" securityDescriptor="O:WDG:WDD:(A;;CC;;;S-1-5-21-3048853270-2157241324-869001692-3245)(A;;CC;;;S-1-5-21-3048853270-2157241324-869001692-1007)"/>
    <protectedRange sqref="AI309:AJ309" name="maria_51" securityDescriptor="O:WDG:WDD:(A;;CC;;;S-1-5-21-3048853270-2157241324-869001692-3245)(A;;CC;;;S-1-5-21-3048853270-2157241324-869001692-1007)"/>
    <protectedRange sqref="AI311:AJ311" name="maria_52" securityDescriptor="O:WDG:WDD:(A;;CC;;;S-1-5-21-3048853270-2157241324-869001692-3245)(A;;CC;;;S-1-5-21-3048853270-2157241324-869001692-1007)"/>
    <protectedRange sqref="AI312:AJ312" name="maria_53" securityDescriptor="O:WDG:WDD:(A;;CC;;;S-1-5-21-3048853270-2157241324-869001692-3245)(A;;CC;;;S-1-5-21-3048853270-2157241324-869001692-1007)"/>
    <protectedRange sqref="AI313:AJ313" name="maria_54" securityDescriptor="O:WDG:WDD:(A;;CC;;;S-1-5-21-3048853270-2157241324-869001692-3245)(A;;CC;;;S-1-5-21-3048853270-2157241324-869001692-1007)"/>
    <protectedRange sqref="AI314:AJ314" name="maria_55" securityDescriptor="O:WDG:WDD:(A;;CC;;;S-1-5-21-3048853270-2157241324-869001692-3245)(A;;CC;;;S-1-5-21-3048853270-2157241324-869001692-1007)"/>
    <protectedRange sqref="AI315:AJ315" name="maria_57" securityDescriptor="O:WDG:WDD:(A;;CC;;;S-1-5-21-3048853270-2157241324-869001692-3245)(A;;CC;;;S-1-5-21-3048853270-2157241324-869001692-1007)"/>
    <protectedRange sqref="AI318:AJ318" name="maria_58" securityDescriptor="O:WDG:WDD:(A;;CC;;;S-1-5-21-3048853270-2157241324-869001692-3245)(A;;CC;;;S-1-5-21-3048853270-2157241324-869001692-1007)"/>
    <protectedRange sqref="AI319:AJ319" name="maria_60" securityDescriptor="O:WDG:WDD:(A;;CC;;;S-1-5-21-3048853270-2157241324-869001692-3245)(A;;CC;;;S-1-5-21-3048853270-2157241324-869001692-1007)"/>
    <protectedRange sqref="AI322:AJ322" name="maria_62" securityDescriptor="O:WDG:WDD:(A;;CC;;;S-1-5-21-3048853270-2157241324-869001692-3245)(A;;CC;;;S-1-5-21-3048853270-2157241324-869001692-1007)"/>
    <protectedRange sqref="AI323:AJ323" name="maria_64" securityDescriptor="O:WDG:WDD:(A;;CC;;;S-1-5-21-3048853270-2157241324-869001692-3245)(A;;CC;;;S-1-5-21-3048853270-2157241324-869001692-1007)"/>
    <protectedRange sqref="AI324:AJ324" name="maria_65" securityDescriptor="O:WDG:WDD:(A;;CC;;;S-1-5-21-3048853270-2157241324-869001692-3245)(A;;CC;;;S-1-5-21-3048853270-2157241324-869001692-1007)"/>
    <protectedRange sqref="AI326:AJ326" name="maria_66" securityDescriptor="O:WDG:WDD:(A;;CC;;;S-1-5-21-3048853270-2157241324-869001692-3245)(A;;CC;;;S-1-5-21-3048853270-2157241324-869001692-1007)"/>
    <protectedRange sqref="AI327:AJ327" name="maria_68" securityDescriptor="O:WDG:WDD:(A;;CC;;;S-1-5-21-3048853270-2157241324-869001692-3245)(A;;CC;;;S-1-5-21-3048853270-2157241324-869001692-1007)"/>
    <protectedRange sqref="AI328:AJ328" name="maria_69" securityDescriptor="O:WDG:WDD:(A;;CC;;;S-1-5-21-3048853270-2157241324-869001692-3245)(A;;CC;;;S-1-5-21-3048853270-2157241324-869001692-1007)"/>
    <protectedRange sqref="AI330:AJ330" name="maria_70" securityDescriptor="O:WDG:WDD:(A;;CC;;;S-1-5-21-3048853270-2157241324-869001692-3245)(A;;CC;;;S-1-5-21-3048853270-2157241324-869001692-1007)"/>
    <protectedRange sqref="AI331:AJ331" name="maria_71" securityDescriptor="O:WDG:WDD:(A;;CC;;;S-1-5-21-3048853270-2157241324-869001692-3245)(A;;CC;;;S-1-5-21-3048853270-2157241324-869001692-1007)"/>
    <protectedRange sqref="AI333:AJ333" name="maria_72" securityDescriptor="O:WDG:WDD:(A;;CC;;;S-1-5-21-3048853270-2157241324-869001692-3245)(A;;CC;;;S-1-5-21-3048853270-2157241324-869001692-1007)"/>
    <protectedRange sqref="AI335:AJ335" name="maria_74" securityDescriptor="O:WDG:WDD:(A;;CC;;;S-1-5-21-3048853270-2157241324-869001692-3245)(A;;CC;;;S-1-5-21-3048853270-2157241324-869001692-1007)"/>
    <protectedRange sqref="AI338:AJ338" name="maria_76" securityDescriptor="O:WDG:WDD:(A;;CC;;;S-1-5-21-3048853270-2157241324-869001692-3245)(A;;CC;;;S-1-5-21-3048853270-2157241324-869001692-1007)"/>
    <protectedRange sqref="AI339:AJ339" name="maria_77" securityDescriptor="O:WDG:WDD:(A;;CC;;;S-1-5-21-3048853270-2157241324-869001692-3245)(A;;CC;;;S-1-5-21-3048853270-2157241324-869001692-1007)"/>
    <protectedRange sqref="AI340:AJ340" name="maria_78" securityDescriptor="O:WDG:WDD:(A;;CC;;;S-1-5-21-3048853270-2157241324-869001692-3245)(A;;CC;;;S-1-5-21-3048853270-2157241324-869001692-1007)"/>
    <protectedRange sqref="AI341:AJ341" name="maria_79" securityDescriptor="O:WDG:WDD:(A;;CC;;;S-1-5-21-3048853270-2157241324-869001692-3245)(A;;CC;;;S-1-5-21-3048853270-2157241324-869001692-1007)"/>
    <protectedRange sqref="AI342:AJ342" name="maria_80" securityDescriptor="O:WDG:WDD:(A;;CC;;;S-1-5-21-3048853270-2157241324-869001692-3245)(A;;CC;;;S-1-5-21-3048853270-2157241324-869001692-1007)"/>
    <protectedRange sqref="AI343:AJ343" name="maria_81" securityDescriptor="O:WDG:WDD:(A;;CC;;;S-1-5-21-3048853270-2157241324-869001692-3245)(A;;CC;;;S-1-5-21-3048853270-2157241324-869001692-1007)"/>
    <protectedRange sqref="AI345:AJ345" name="maria_82" securityDescriptor="O:WDG:WDD:(A;;CC;;;S-1-5-21-3048853270-2157241324-869001692-3245)(A;;CC;;;S-1-5-21-3048853270-2157241324-869001692-1007)"/>
    <protectedRange sqref="AI346:AJ346" name="maria_83" securityDescriptor="O:WDG:WDD:(A;;CC;;;S-1-5-21-3048853270-2157241324-869001692-3245)(A;;CC;;;S-1-5-21-3048853270-2157241324-869001692-1007)"/>
    <protectedRange sqref="AI348:AJ348" name="maria_84" securityDescriptor="O:WDG:WDD:(A;;CC;;;S-1-5-21-3048853270-2157241324-869001692-3245)(A;;CC;;;S-1-5-21-3048853270-2157241324-869001692-1007)"/>
    <protectedRange sqref="AI349:AJ349" name="maria_85" securityDescriptor="O:WDG:WDD:(A;;CC;;;S-1-5-21-3048853270-2157241324-869001692-3245)(A;;CC;;;S-1-5-21-3048853270-2157241324-869001692-1007)"/>
    <protectedRange sqref="AI350:AJ350" name="maria_87" securityDescriptor="O:WDG:WDD:(A;;CC;;;S-1-5-21-3048853270-2157241324-869001692-3245)(A;;CC;;;S-1-5-21-3048853270-2157241324-869001692-1007)"/>
    <protectedRange sqref="AI351:AJ351" name="maria_88" securityDescriptor="O:WDG:WDD:(A;;CC;;;S-1-5-21-3048853270-2157241324-869001692-3245)(A;;CC;;;S-1-5-21-3048853270-2157241324-869001692-1007)"/>
    <protectedRange sqref="AI352:AJ352" name="maria_89" securityDescriptor="O:WDG:WDD:(A;;CC;;;S-1-5-21-3048853270-2157241324-869001692-3245)(A;;CC;;;S-1-5-21-3048853270-2157241324-869001692-1007)"/>
    <protectedRange sqref="AI354:AJ354" name="maria_91" securityDescriptor="O:WDG:WDD:(A;;CC;;;S-1-5-21-3048853270-2157241324-869001692-3245)(A;;CC;;;S-1-5-21-3048853270-2157241324-869001692-1007)"/>
    <protectedRange sqref="AI355:AJ355" name="maria_92" securityDescriptor="O:WDG:WDD:(A;;CC;;;S-1-5-21-3048853270-2157241324-869001692-3245)(A;;CC;;;S-1-5-21-3048853270-2157241324-869001692-1007)"/>
    <protectedRange sqref="AI356:AJ356" name="maria_93" securityDescriptor="O:WDG:WDD:(A;;CC;;;S-1-5-21-3048853270-2157241324-869001692-3245)(A;;CC;;;S-1-5-21-3048853270-2157241324-869001692-1007)"/>
    <protectedRange sqref="AI357:AJ357" name="maria_95" securityDescriptor="O:WDG:WDD:(A;;CC;;;S-1-5-21-3048853270-2157241324-869001692-3245)(A;;CC;;;S-1-5-21-3048853270-2157241324-869001692-1007)"/>
    <protectedRange sqref="AI358:AJ358" name="maria_96" securityDescriptor="O:WDG:WDD:(A;;CC;;;S-1-5-21-3048853270-2157241324-869001692-3245)(A;;CC;;;S-1-5-21-3048853270-2157241324-869001692-1007)"/>
    <protectedRange sqref="AI362:AJ362" name="maria_98" securityDescriptor="O:WDG:WDD:(A;;CC;;;S-1-5-21-3048853270-2157241324-869001692-3245)(A;;CC;;;S-1-5-21-3048853270-2157241324-869001692-1007)"/>
    <protectedRange sqref="AI363:AJ363" name="maria_99" securityDescriptor="O:WDG:WDD:(A;;CC;;;S-1-5-21-3048853270-2157241324-869001692-3245)(A;;CC;;;S-1-5-21-3048853270-2157241324-869001692-1007)"/>
    <protectedRange sqref="AI376:AJ376" name="maria_7_1" securityDescriptor="O:WDG:WDD:(A;;CC;;;S-1-5-21-3048853270-2157241324-869001692-3245)(A;;CC;;;S-1-5-21-3048853270-2157241324-869001692-1007)"/>
    <protectedRange sqref="AI199:AJ199" name="maria_30_1" securityDescriptor="O:WDG:WDD:(A;;CC;;;S-1-5-21-3048853270-2157241324-869001692-3245)(A;;CC;;;S-1-5-21-3048853270-2157241324-869001692-1007)"/>
    <protectedRange sqref="AI214:AJ214" name="maria_28_1" securityDescriptor="O:WDG:WDD:(A;;CC;;;S-1-5-21-3048853270-2157241324-869001692-3245)(A;;CC;;;S-1-5-21-3048853270-2157241324-869001692-1007)"/>
    <protectedRange sqref="AI215:AJ215" name="maria_29_1" securityDescriptor="O:WDG:WDD:(A;;CC;;;S-1-5-21-3048853270-2157241324-869001692-3245)(A;;CC;;;S-1-5-21-3048853270-2157241324-869001692-1007)"/>
    <protectedRange sqref="AI216:AJ216" name="maria_29_2" securityDescriptor="O:WDG:WDD:(A;;CC;;;S-1-5-21-3048853270-2157241324-869001692-3245)(A;;CC;;;S-1-5-21-3048853270-2157241324-869001692-1007)"/>
    <protectedRange sqref="AI186:AJ186" name="maria_35_3" securityDescriptor="O:WDG:WDD:(A;;CC;;;S-1-5-21-3048853270-2157241324-869001692-3245)(A;;CC;;;S-1-5-21-3048853270-2157241324-869001692-1007)"/>
    <protectedRange sqref="AI187:AJ187" name="maria_35_4" securityDescriptor="O:WDG:WDD:(A;;CC;;;S-1-5-21-3048853270-2157241324-869001692-3245)(A;;CC;;;S-1-5-21-3048853270-2157241324-869001692-1007)"/>
    <protectedRange sqref="AI234:AJ234" name="maria_33_4" securityDescriptor="O:WDG:WDD:(A;;CC;;;S-1-5-21-3048853270-2157241324-869001692-3245)(A;;CC;;;S-1-5-21-3048853270-2157241324-869001692-1007)"/>
    <protectedRange sqref="E227:E230 P227:Q230" name="maria_56" securityDescriptor="O:WDG:WDD:(A;;CC;;;S-1-5-21-3048853270-2157241324-869001692-3245)(A;;CC;;;S-1-5-21-3048853270-2157241324-869001692-1007)"/>
    <protectedRange sqref="D227:D230" name="maria_5_1" securityDescriptor="O:WDG:WDD:(A;;CC;;;S-1-5-21-3048853270-2157241324-869001692-3245)(A;;CC;;;S-1-5-21-3048853270-2157241324-869001692-1007)"/>
    <protectedRange sqref="AF227:AF228" name="maria_1_1_7_5" securityDescriptor="O:WDG:WDD:(A;;CC;;;S-1-5-21-3048853270-2157241324-869001692-3245)(A;;CC;;;S-1-5-21-3048853270-2157241324-869001692-1007)"/>
    <protectedRange sqref="AD227:AD228" name="maria_17_4" securityDescriptor="O:WDG:WDD:(A;;CC;;;S-1-5-21-3048853270-2157241324-869001692-3245)(A;;CC;;;S-1-5-21-3048853270-2157241324-869001692-1007)"/>
    <protectedRange sqref="R227:AC228" name="maria_33_5" securityDescriptor="O:WDG:WDD:(A;;CC;;;S-1-5-21-3048853270-2157241324-869001692-3245)(A;;CC;;;S-1-5-21-3048853270-2157241324-869001692-1007)"/>
    <protectedRange sqref="M227:O228" name="maria_48_1" securityDescriptor="O:WDG:WDD:(A;;CC;;;S-1-5-21-3048853270-2157241324-869001692-3245)(A;;CC;;;S-1-5-21-3048853270-2157241324-869001692-1007)"/>
    <protectedRange sqref="AE231:AE233 F231:G233 M231:O233 R231:T233 V231:Z233 AB231:AC233 I231:K233 B231:C233 AH231:AJ233" name="maria_59" securityDescriptor="O:WDG:WDD:(A;;CC;;;S-1-5-21-3048853270-2157241324-869001692-3245)(A;;CC;;;S-1-5-21-3048853270-2157241324-869001692-1007)"/>
    <protectedRange sqref="AF231:AF233" name="maria_1_1_7_6" securityDescriptor="O:WDG:WDD:(A;;CC;;;S-1-5-21-3048853270-2157241324-869001692-3245)(A;;CC;;;S-1-5-21-3048853270-2157241324-869001692-1007)"/>
    <protectedRange sqref="AD231:AD233" name="maria_17_5" securityDescriptor="O:WDG:WDD:(A;;CC;;;S-1-5-21-3048853270-2157241324-869001692-3245)(A;;CC;;;S-1-5-21-3048853270-2157241324-869001692-1007)"/>
    <protectedRange sqref="AA231:AA233" name="maria_26_2" securityDescriptor="O:WDG:WDD:(A;;CC;;;S-1-5-21-3048853270-2157241324-869001692-3245)(A;;CC;;;S-1-5-21-3048853270-2157241324-869001692-1007)"/>
    <protectedRange sqref="U231:U233" name="maria_1_1_22_1" securityDescriptor="O:WDG:WDD:(A;;CC;;;S-1-5-21-3048853270-2157241324-869001692-3245)(A;;CC;;;S-1-5-21-3048853270-2157241324-869001692-1007)"/>
    <protectedRange sqref="E231:E233 P231:Q233" name="maria_56_1" securityDescriptor="O:WDG:WDD:(A;;CC;;;S-1-5-21-3048853270-2157241324-869001692-3245)(A;;CC;;;S-1-5-21-3048853270-2157241324-869001692-1007)"/>
    <protectedRange sqref="D231:D233" name="maria_5_1_1" securityDescriptor="O:WDG:WDD:(A;;CC;;;S-1-5-21-3048853270-2157241324-869001692-3245)(A;;CC;;;S-1-5-21-3048853270-2157241324-869001692-1007)"/>
    <protectedRange sqref="V110" name="maria_61" securityDescriptor="O:WDG:WDD:(A;;CC;;;S-1-5-21-3048853270-2157241324-869001692-3245)(A;;CC;;;S-1-5-21-3048853270-2157241324-869001692-1007)"/>
    <protectedRange algorithmName="SHA-512" hashValue="lGxgJO7OrK4RnR9Q5GyLdphtXSoKHWuU/DeqTwJZs4H1lZxtBvfwyidbkva9W10WZdVConxSMgW/uAS6mxdKPg==" saltValue="rUT2GzIQhp6pti72S74yRQ==" spinCount="100000" sqref="C62" name="Aurelian" securityDescriptor="O:WDG:WDD:(A;;CC;;;S-1-5-21-3048853270-2157241324-869001692-3245)"/>
    <protectedRange algorithmName="SHA-512" hashValue="lGxgJO7OrK4RnR9Q5GyLdphtXSoKHWuU/DeqTwJZs4H1lZxtBvfwyidbkva9W10WZdVConxSMgW/uAS6mxdKPg==" saltValue="rUT2GzIQhp6pti72S74yRQ==" spinCount="100000" sqref="C63:C64" name="Aurelian_1" securityDescriptor="O:WDG:WDD:(A;;CC;;;S-1-5-21-3048853270-2157241324-869001692-3245)"/>
    <protectedRange algorithmName="SHA-512" hashValue="lGxgJO7OrK4RnR9Q5GyLdphtXSoKHWuU/DeqTwJZs4H1lZxtBvfwyidbkva9W10WZdVConxSMgW/uAS6mxdKPg==" saltValue="rUT2GzIQhp6pti72S74yRQ==" spinCount="100000" sqref="C65:C68" name="Aurelian_2" securityDescriptor="O:WDG:WDD:(A;;CC;;;S-1-5-21-3048853270-2157241324-869001692-3245)"/>
    <protectedRange algorithmName="SHA-512" hashValue="lGxgJO7OrK4RnR9Q5GyLdphtXSoKHWuU/DeqTwJZs4H1lZxtBvfwyidbkva9W10WZdVConxSMgW/uAS6mxdKPg==" saltValue="rUT2GzIQhp6pti72S74yRQ==" spinCount="100000" sqref="F62" name="Aurelian_3" securityDescriptor="O:WDG:WDD:(A;;CC;;;S-1-5-21-3048853270-2157241324-869001692-3245)"/>
    <protectedRange algorithmName="SHA-512" hashValue="lGxgJO7OrK4RnR9Q5GyLdphtXSoKHWuU/DeqTwJZs4H1lZxtBvfwyidbkva9W10WZdVConxSMgW/uAS6mxdKPg==" saltValue="rUT2GzIQhp6pti72S74yRQ==" spinCount="100000" sqref="F63:F64" name="Aurelian_4" securityDescriptor="O:WDG:WDD:(A;;CC;;;S-1-5-21-3048853270-2157241324-869001692-3245)"/>
    <protectedRange algorithmName="SHA-512" hashValue="lGxgJO7OrK4RnR9Q5GyLdphtXSoKHWuU/DeqTwJZs4H1lZxtBvfwyidbkva9W10WZdVConxSMgW/uAS6mxdKPg==" saltValue="rUT2GzIQhp6pti72S74yRQ==" spinCount="100000" sqref="F65:F68" name="Aurelian_5" securityDescriptor="O:WDG:WDD:(A;;CC;;;S-1-5-21-3048853270-2157241324-869001692-3245)"/>
    <protectedRange algorithmName="SHA-512" hashValue="lGxgJO7OrK4RnR9Q5GyLdphtXSoKHWuU/DeqTwJZs4H1lZxtBvfwyidbkva9W10WZdVConxSMgW/uAS6mxdKPg==" saltValue="rUT2GzIQhp6pti72S74yRQ==" spinCount="100000" sqref="G62" name="Aurelian_6" securityDescriptor="O:WDG:WDD:(A;;CC;;;S-1-5-21-3048853270-2157241324-869001692-3245)"/>
    <protectedRange algorithmName="SHA-512" hashValue="lGxgJO7OrK4RnR9Q5GyLdphtXSoKHWuU/DeqTwJZs4H1lZxtBvfwyidbkva9W10WZdVConxSMgW/uAS6mxdKPg==" saltValue="rUT2GzIQhp6pti72S74yRQ==" spinCount="100000" sqref="G63:G64" name="Aurelian_7" securityDescriptor="O:WDG:WDD:(A;;CC;;;S-1-5-21-3048853270-2157241324-869001692-3245)"/>
    <protectedRange algorithmName="SHA-512" hashValue="lGxgJO7OrK4RnR9Q5GyLdphtXSoKHWuU/DeqTwJZs4H1lZxtBvfwyidbkva9W10WZdVConxSMgW/uAS6mxdKPg==" saltValue="rUT2GzIQhp6pti72S74yRQ==" spinCount="100000" sqref="G65:G68" name="Aurelian_8" securityDescriptor="O:WDG:WDD:(A;;CC;;;S-1-5-21-3048853270-2157241324-869001692-3245)"/>
    <protectedRange sqref="D141:E142 V141:W143 Y141:AF143 G141:J143 M141:O143 AH141:AH143 R141:T143 B141:C143" name="maria_67" securityDescriptor="O:WDG:WDD:(A;;CC;;;S-1-5-21-3048853270-2157241324-869001692-3245)(A;;CC;;;S-1-5-21-3048853270-2157241324-869001692-1007)"/>
    <protectedRange sqref="P141:Q143" name="maria_1_2_2" securityDescriptor="O:WDG:WDD:(A;;CC;;;S-1-5-21-3048853270-2157241324-869001692-3245)(A;;CC;;;S-1-5-21-3048853270-2157241324-869001692-1007)"/>
    <protectedRange sqref="G190 R190:AF190 M190:O190 I190:K190 B190:E190 AH190:AJ190" name="maria_1" securityDescriptor="O:WDG:WDD:(A;;CC;;;S-1-5-21-3048853270-2157241324-869001692-3245)(A;;CC;;;S-1-5-21-3048853270-2157241324-869001692-1007)"/>
    <protectedRange sqref="P190:Q190" name="maria_1_2_1" securityDescriptor="O:WDG:WDD:(A;;CC;;;S-1-5-21-3048853270-2157241324-869001692-3245)(A;;CC;;;S-1-5-21-3048853270-2157241324-869001692-1007)"/>
    <protectedRange sqref="R442:AF442 O442:P442 AH442 B442:K442" name="maria_73" securityDescriptor="O:WDG:WDD:(A;;CC;;;S-1-5-21-3048853270-2157241324-869001692-3245)(A;;CC;;;S-1-5-21-3048853270-2157241324-869001692-1007)"/>
    <protectedRange sqref="Q442" name="maria_1_2_4" securityDescriptor="O:WDG:WDD:(A;;CC;;;S-1-5-21-3048853270-2157241324-869001692-3245)(A;;CC;;;S-1-5-21-3048853270-2157241324-869001692-1007)"/>
    <protectedRange sqref="J157:K157" name="maria_1_38" securityDescriptor="O:WDG:WDD:(A;;CC;;;S-1-5-21-3048853270-2157241324-869001692-3245)(A;;CC;;;S-1-5-21-3048853270-2157241324-869001692-1007)"/>
    <protectedRange sqref="M157:O157" name="maria_3_2" securityDescriptor="O:WDG:WDD:(A;;CC;;;S-1-5-21-3048853270-2157241324-869001692-3245)(A;;CC;;;S-1-5-21-3048853270-2157241324-869001692-1007)"/>
    <protectedRange sqref="P157" name="maria_1_3_1" securityDescriptor="O:WDG:WDD:(A;;CC;;;S-1-5-21-3048853270-2157241324-869001692-3245)(A;;CC;;;S-1-5-21-3048853270-2157241324-869001692-1007)"/>
    <protectedRange sqref="Q157" name="maria_1_4_2" securityDescriptor="O:WDG:WDD:(A;;CC;;;S-1-5-21-3048853270-2157241324-869001692-3245)(A;;CC;;;S-1-5-21-3048853270-2157241324-869001692-1007)"/>
    <protectedRange sqref="S157:T157" name="maria_1_39" securityDescriptor="O:WDG:WDD:(A;;CC;;;S-1-5-21-3048853270-2157241324-869001692-3245)(A;;CC;;;S-1-5-21-3048853270-2157241324-869001692-1007)"/>
    <protectedRange sqref="V157:W157" name="maria_1_40" securityDescriptor="O:WDG:WDD:(A;;CC;;;S-1-5-21-3048853270-2157241324-869001692-3245)(A;;CC;;;S-1-5-21-3048853270-2157241324-869001692-1007)"/>
    <protectedRange sqref="Y157:Z157" name="maria_1_41" securityDescriptor="O:WDG:WDD:(A;;CC;;;S-1-5-21-3048853270-2157241324-869001692-3245)(A;;CC;;;S-1-5-21-3048853270-2157241324-869001692-1007)"/>
    <protectedRange sqref="E455:E456" name="maria_2" securityDescriptor="O:WDG:WDD:(A;;CC;;;S-1-5-21-3048853270-2157241324-869001692-3245)(A;;CC;;;S-1-5-21-3048853270-2157241324-869001692-1007)"/>
    <protectedRange sqref="D455:D456" name="maria_36_1_1" securityDescriptor="O:WDG:WDD:(A;;CC;;;S-1-5-21-3048853270-2157241324-869001692-3245)(A;;CC;;;S-1-5-21-3048853270-2157241324-869001692-1007)"/>
    <protectedRange sqref="G455:G456" name="maria_1_42" securityDescriptor="O:WDG:WDD:(A;;CC;;;S-1-5-21-3048853270-2157241324-869001692-3245)(A;;CC;;;S-1-5-21-3048853270-2157241324-869001692-1007)"/>
    <protectedRange sqref="J467:K467" name="maria_1_44" securityDescriptor="O:WDG:WDD:(A;;CC;;;S-1-5-21-3048853270-2157241324-869001692-3245)(A;;CC;;;S-1-5-21-3048853270-2157241324-869001692-1007)"/>
    <protectedRange sqref="I467" name="maria_1_48" securityDescriptor="O:WDG:WDD:(A;;CC;;;S-1-5-21-3048853270-2157241324-869001692-3245)(A;;CC;;;S-1-5-21-3048853270-2157241324-869001692-1007)"/>
    <protectedRange sqref="J469:K481" name="maria_1_2" securityDescriptor="O:WDG:WDD:(A;;CC;;;S-1-5-21-3048853270-2157241324-869001692-3245)(A;;CC;;;S-1-5-21-3048853270-2157241324-869001692-1007)"/>
    <protectedRange sqref="S469:T478" name="maria_1_43" securityDescriptor="O:WDG:WDD:(A;;CC;;;S-1-5-21-3048853270-2157241324-869001692-3245)(A;;CC;;;S-1-5-21-3048853270-2157241324-869001692-1007)"/>
    <protectedRange sqref="Y469:Z481" name="maria_1_45" securityDescriptor="O:WDG:WDD:(A;;CC;;;S-1-5-21-3048853270-2157241324-869001692-3245)(A;;CC;;;S-1-5-21-3048853270-2157241324-869001692-1007)"/>
    <protectedRange sqref="B473:C481" name="maria_1_46" securityDescriptor="O:WDG:WDD:(A;;CC;;;S-1-5-21-3048853270-2157241324-869001692-3245)(A;;CC;;;S-1-5-21-3048853270-2157241324-869001692-1007)"/>
    <protectedRange sqref="F473:I476 H477:H481" name="maria_1_47" securityDescriptor="O:WDG:WDD:(A;;CC;;;S-1-5-21-3048853270-2157241324-869001692-3245)(A;;CC;;;S-1-5-21-3048853270-2157241324-869001692-1007)"/>
    <protectedRange sqref="F477:G481" name="maria_1_49" securityDescriptor="O:WDG:WDD:(A;;CC;;;S-1-5-21-3048853270-2157241324-869001692-3245)(A;;CC;;;S-1-5-21-3048853270-2157241324-869001692-1007)"/>
    <protectedRange sqref="I477:I481" name="maria_1_50" securityDescriptor="O:WDG:WDD:(A;;CC;;;S-1-5-21-3048853270-2157241324-869001692-3245)(A;;CC;;;S-1-5-21-3048853270-2157241324-869001692-1007)"/>
    <protectedRange sqref="S479:T481" name="maria_1_51" securityDescriptor="O:WDG:WDD:(A;;CC;;;S-1-5-21-3048853270-2157241324-869001692-3245)(A;;CC;;;S-1-5-21-3048853270-2157241324-869001692-1007)"/>
    <protectedRange sqref="G15" name="maria_63" securityDescriptor="O:WDG:WDD:(A;;CC;;;S-1-5-21-3048853270-2157241324-869001692-3245)(A;;CC;;;S-1-5-21-3048853270-2157241324-869001692-1007)"/>
    <protectedRange sqref="H15:K15 M15:O15 E15:F15 B15:C15" name="maria_5_2" securityDescriptor="O:WDG:WDD:(A;;CC;;;S-1-5-21-3048853270-2157241324-869001692-3245)(A;;CC;;;S-1-5-21-3048853270-2157241324-869001692-1007)"/>
    <protectedRange sqref="P15:Q15" name="maria_1_5_1" securityDescriptor="O:WDG:WDD:(A;;CC;;;S-1-5-21-3048853270-2157241324-869001692-3245)(A;;CC;;;S-1-5-21-3048853270-2157241324-869001692-1007)"/>
    <protectedRange sqref="U15 X15" name="maria_1_1_2_1" securityDescriptor="O:WDG:WDD:(A;;CC;;;S-1-5-21-3048853270-2157241324-869001692-3245)(A;;CC;;;S-1-5-21-3048853270-2157241324-869001692-1007)"/>
    <protectedRange sqref="AE15 S15:T15 V15:W15 Y15:Z15 AB15:AC15" name="maria_5_3" securityDescriptor="O:WDG:WDD:(A;;CC;;;S-1-5-21-3048853270-2157241324-869001692-3245)(A;;CC;;;S-1-5-21-3048853270-2157241324-869001692-1007)"/>
    <protectedRange sqref="AD15" name="maria_1_5_2" securityDescriptor="O:WDG:WDD:(A;;CC;;;S-1-5-21-3048853270-2157241324-869001692-3245)(A;;CC;;;S-1-5-21-3048853270-2157241324-869001692-1007)"/>
    <protectedRange sqref="R15 AA15 AF15" name="maria_1_1_4_1" securityDescriptor="O:WDG:WDD:(A;;CC;;;S-1-5-21-3048853270-2157241324-869001692-3245)(A;;CC;;;S-1-5-21-3048853270-2157241324-869001692-1007)"/>
    <protectedRange sqref="G76" name="maria_75" securityDescriptor="O:WDG:WDD:(A;;CC;;;S-1-5-21-3048853270-2157241324-869001692-3245)(A;;CC;;;S-1-5-21-3048853270-2157241324-869001692-1007)"/>
    <protectedRange sqref="U76 X76" name="maria_1_1_2_2" securityDescriptor="O:WDG:WDD:(A;;CC;;;S-1-5-21-3048853270-2157241324-869001692-3245)(A;;CC;;;S-1-5-21-3048853270-2157241324-869001692-1007)"/>
    <protectedRange sqref="AE76 S76:T76 V76:W76 Y76:Z76 AB76:AC76 H76:K76 M76:O76 E76:F76 B76:C76" name="maria_5_4" securityDescriptor="O:WDG:WDD:(A;;CC;;;S-1-5-21-3048853270-2157241324-869001692-3245)(A;;CC;;;S-1-5-21-3048853270-2157241324-869001692-1007)"/>
    <protectedRange sqref="P76:Q76 AD76" name="maria_1_5_3" securityDescriptor="O:WDG:WDD:(A;;CC;;;S-1-5-21-3048853270-2157241324-869001692-3245)(A;;CC;;;S-1-5-21-3048853270-2157241324-869001692-1007)"/>
    <protectedRange sqref="R76 AA76 AF76" name="maria_1_1_4_2" securityDescriptor="O:WDG:WDD:(A;;CC;;;S-1-5-21-3048853270-2157241324-869001692-3245)(A;;CC;;;S-1-5-21-3048853270-2157241324-869001692-1007)"/>
    <protectedRange sqref="U150 X150" name="maria_1_1_2_3" securityDescriptor="O:WDG:WDD:(A;;CC;;;S-1-5-21-3048853270-2157241324-869001692-3245)(A;;CC;;;S-1-5-21-3048853270-2157241324-869001692-1007)"/>
    <protectedRange sqref="AE150 S150:T150 V150:W150 Y150:Z150 AB150:AC150 H150:K150 M150:O150 E150:F150 B150:C150" name="maria_5_5" securityDescriptor="O:WDG:WDD:(A;;CC;;;S-1-5-21-3048853270-2157241324-869001692-3245)(A;;CC;;;S-1-5-21-3048853270-2157241324-869001692-1007)"/>
    <protectedRange sqref="P150:Q150 AD150" name="maria_1_5_4" securityDescriptor="O:WDG:WDD:(A;;CC;;;S-1-5-21-3048853270-2157241324-869001692-3245)(A;;CC;;;S-1-5-21-3048853270-2157241324-869001692-1007)"/>
    <protectedRange sqref="R150 AA150 AF150" name="maria_1_1_4_3" securityDescriptor="O:WDG:WDD:(A;;CC;;;S-1-5-21-3048853270-2157241324-869001692-3245)(A;;CC;;;S-1-5-21-3048853270-2157241324-869001692-1007)"/>
    <protectedRange sqref="E196" name="maria_5_6" securityDescriptor="O:WDG:WDD:(A;;CC;;;S-1-5-21-3048853270-2157241324-869001692-3245)(A;;CC;;;S-1-5-21-3048853270-2157241324-869001692-1007)"/>
    <protectedRange sqref="E143" name="maria_5_7" securityDescriptor="O:WDG:WDD:(A;;CC;;;S-1-5-21-3048853270-2157241324-869001692-3245)(A;;CC;;;S-1-5-21-3048853270-2157241324-869001692-1007)"/>
    <protectedRange sqref="E32" name="maria_5_8" securityDescriptor="O:WDG:WDD:(A;;CC;;;S-1-5-21-3048853270-2157241324-869001692-3245)(A;;CC;;;S-1-5-21-3048853270-2157241324-869001692-1007)"/>
    <protectedRange sqref="E224" name="maria_5_9" securityDescriptor="O:WDG:WDD:(A;;CC;;;S-1-5-21-3048853270-2157241324-869001692-3245)(A;;CC;;;S-1-5-21-3048853270-2157241324-869001692-1007)"/>
  </protectedRanges>
  <autoFilter ref="A3:AM482" xr:uid="{97AA19F3-50EA-461D-8C2B-33666DDF0045}"/>
  <mergeCells count="38">
    <mergeCell ref="AA2:AA3"/>
    <mergeCell ref="AG1:AG3"/>
    <mergeCell ref="AI1:AJ1"/>
    <mergeCell ref="AK2:AK3"/>
    <mergeCell ref="AB1:AC1"/>
    <mergeCell ref="AC2:AC3"/>
    <mergeCell ref="AB2:AB3"/>
    <mergeCell ref="AI2:AI3"/>
    <mergeCell ref="AJ2:AJ3"/>
    <mergeCell ref="AE1:AE3"/>
    <mergeCell ref="AF1:AF3"/>
    <mergeCell ref="AH1:AH3"/>
    <mergeCell ref="AK1:AL1"/>
    <mergeCell ref="Q1:Q3"/>
    <mergeCell ref="Z2:Z3"/>
    <mergeCell ref="Y2:Y3"/>
    <mergeCell ref="R2:W2"/>
    <mergeCell ref="X2:X3"/>
    <mergeCell ref="L1:L3"/>
    <mergeCell ref="M1:M3"/>
    <mergeCell ref="N1:N3"/>
    <mergeCell ref="O1:O3"/>
    <mergeCell ref="P1:P3"/>
    <mergeCell ref="AM1:AM3"/>
    <mergeCell ref="AL2:AL3"/>
    <mergeCell ref="K1:K3"/>
    <mergeCell ref="A1:A3"/>
    <mergeCell ref="B1:B3"/>
    <mergeCell ref="C1:C3"/>
    <mergeCell ref="D1:D3"/>
    <mergeCell ref="E1:E3"/>
    <mergeCell ref="F1:F3"/>
    <mergeCell ref="G1:G3"/>
    <mergeCell ref="H1:H3"/>
    <mergeCell ref="I1:I3"/>
    <mergeCell ref="J1:J3"/>
    <mergeCell ref="R1:AA1"/>
    <mergeCell ref="AD1:AD3"/>
  </mergeCells>
  <pageMargins left="0.70866141732283472" right="0.70866141732283472" top="0.74803149606299213" bottom="0.74803149606299213" header="0.31496062992125984" footer="0.31496062992125984"/>
  <pageSetup paperSize="8" scale="2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mircea.pavel</dc:creator>
  <cp:lastModifiedBy>mircea.pavel</cp:lastModifiedBy>
  <cp:lastPrinted>2020-04-03T08:53:02Z</cp:lastPrinted>
  <dcterms:created xsi:type="dcterms:W3CDTF">2020-04-03T08:25:38Z</dcterms:created>
  <dcterms:modified xsi:type="dcterms:W3CDTF">2020-05-05T07:56:14Z</dcterms:modified>
</cp:coreProperties>
</file>