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mircea.pavel\Downloads\"/>
    </mc:Choice>
  </mc:AlternateContent>
  <xr:revisionPtr revIDLastSave="0" documentId="13_ncr:1_{0FCEDABC-01FA-4371-A966-6B50924AA846}" xr6:coauthVersionLast="45" xr6:coauthVersionMax="45" xr10:uidLastSave="{00000000-0000-0000-0000-000000000000}"/>
  <bookViews>
    <workbookView xWindow="-120" yWindow="-120" windowWidth="29040" windowHeight="15840" xr2:uid="{E0DA09A8-AAD7-4708-ACAF-3264BBD24B21}"/>
  </bookViews>
  <sheets>
    <sheet name="Sheet1" sheetId="1" r:id="rId1"/>
  </sheets>
  <definedNames>
    <definedName name="_xlnm._FilterDatabase" localSheetId="0" hidden="1">Sheet1!$A$3:$AM$482</definedName>
    <definedName name="_xlnm.Print_Titles" localSheetId="0">Sheet1!$1:$3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482" i="1" l="1"/>
  <c r="Z482" i="1"/>
  <c r="AA481" i="1" l="1"/>
  <c r="X481" i="1"/>
  <c r="U481" i="1"/>
  <c r="R481" i="1"/>
  <c r="AA480" i="1"/>
  <c r="X480" i="1"/>
  <c r="U480" i="1"/>
  <c r="R480" i="1"/>
  <c r="AA479" i="1"/>
  <c r="X479" i="1"/>
  <c r="U479" i="1"/>
  <c r="R479" i="1"/>
  <c r="AM479" i="1" s="1"/>
  <c r="AI478" i="1"/>
  <c r="X478" i="1"/>
  <c r="U478" i="1"/>
  <c r="R478" i="1"/>
  <c r="AA477" i="1"/>
  <c r="X477" i="1"/>
  <c r="U477" i="1"/>
  <c r="R477" i="1"/>
  <c r="AA476" i="1"/>
  <c r="X476" i="1"/>
  <c r="U476" i="1"/>
  <c r="R476" i="1"/>
  <c r="AA475" i="1"/>
  <c r="X475" i="1"/>
  <c r="U475" i="1"/>
  <c r="R475" i="1"/>
  <c r="AA474" i="1"/>
  <c r="X474" i="1"/>
  <c r="U474" i="1"/>
  <c r="R474" i="1"/>
  <c r="X473" i="1"/>
  <c r="U473" i="1"/>
  <c r="R473" i="1"/>
  <c r="X472" i="1"/>
  <c r="U472" i="1"/>
  <c r="R472" i="1"/>
  <c r="X471" i="1"/>
  <c r="U471" i="1"/>
  <c r="R471" i="1"/>
  <c r="X470" i="1"/>
  <c r="AD470" i="1" s="1"/>
  <c r="U470" i="1"/>
  <c r="R470" i="1"/>
  <c r="X469" i="1"/>
  <c r="U469" i="1"/>
  <c r="R469" i="1"/>
  <c r="AA468" i="1"/>
  <c r="X468" i="1"/>
  <c r="U468" i="1"/>
  <c r="R468" i="1"/>
  <c r="AA467" i="1"/>
  <c r="X467" i="1"/>
  <c r="U467" i="1"/>
  <c r="R467" i="1"/>
  <c r="AI466" i="1"/>
  <c r="AA466" i="1"/>
  <c r="X466" i="1"/>
  <c r="U466" i="1"/>
  <c r="R466" i="1"/>
  <c r="AI465" i="1"/>
  <c r="AA465" i="1"/>
  <c r="X465" i="1"/>
  <c r="U465" i="1"/>
  <c r="R465" i="1"/>
  <c r="AA464" i="1"/>
  <c r="X464" i="1"/>
  <c r="U464" i="1"/>
  <c r="R464" i="1"/>
  <c r="AI463" i="1"/>
  <c r="AA463" i="1"/>
  <c r="X463" i="1"/>
  <c r="U463" i="1"/>
  <c r="R463" i="1"/>
  <c r="AI462" i="1"/>
  <c r="AA462" i="1"/>
  <c r="X462" i="1"/>
  <c r="U462" i="1"/>
  <c r="AD462" i="1" s="1"/>
  <c r="AF462" i="1" s="1"/>
  <c r="R462" i="1"/>
  <c r="AI461" i="1"/>
  <c r="AA461" i="1"/>
  <c r="X461" i="1"/>
  <c r="U461" i="1"/>
  <c r="R461" i="1"/>
  <c r="AA460" i="1"/>
  <c r="X460" i="1"/>
  <c r="U460" i="1"/>
  <c r="R460" i="1"/>
  <c r="AA459" i="1"/>
  <c r="X459" i="1"/>
  <c r="U459" i="1"/>
  <c r="R459" i="1"/>
  <c r="AI458" i="1"/>
  <c r="AA458" i="1"/>
  <c r="X458" i="1"/>
  <c r="U458" i="1"/>
  <c r="R458" i="1"/>
  <c r="AA457" i="1"/>
  <c r="X457" i="1"/>
  <c r="U457" i="1"/>
  <c r="R457" i="1"/>
  <c r="AA456" i="1"/>
  <c r="X456" i="1"/>
  <c r="U456" i="1"/>
  <c r="R456" i="1"/>
  <c r="AA455" i="1"/>
  <c r="X455" i="1"/>
  <c r="U455" i="1"/>
  <c r="R455" i="1"/>
  <c r="AI454" i="1"/>
  <c r="AA454" i="1"/>
  <c r="X454" i="1"/>
  <c r="U454" i="1"/>
  <c r="R454" i="1"/>
  <c r="AA453" i="1"/>
  <c r="X453" i="1"/>
  <c r="U453" i="1"/>
  <c r="R453" i="1"/>
  <c r="AI452" i="1"/>
  <c r="AA452" i="1"/>
  <c r="X452" i="1"/>
  <c r="U452" i="1"/>
  <c r="R452" i="1"/>
  <c r="AA451" i="1"/>
  <c r="X451" i="1"/>
  <c r="U451" i="1"/>
  <c r="R451" i="1"/>
  <c r="AA450" i="1"/>
  <c r="X450" i="1"/>
  <c r="U450" i="1"/>
  <c r="R450" i="1"/>
  <c r="AA449" i="1"/>
  <c r="X449" i="1"/>
  <c r="U449" i="1"/>
  <c r="R449" i="1"/>
  <c r="AJ448" i="1"/>
  <c r="AI448" i="1"/>
  <c r="AA448" i="1"/>
  <c r="X448" i="1"/>
  <c r="U448" i="1"/>
  <c r="R448" i="1"/>
  <c r="AA447" i="1"/>
  <c r="X447" i="1"/>
  <c r="U447" i="1"/>
  <c r="R447" i="1"/>
  <c r="AA446" i="1"/>
  <c r="X446" i="1"/>
  <c r="U446" i="1"/>
  <c r="R446" i="1"/>
  <c r="AJ445" i="1"/>
  <c r="AA445" i="1"/>
  <c r="X445" i="1"/>
  <c r="U445" i="1"/>
  <c r="R445" i="1"/>
  <c r="AA444" i="1"/>
  <c r="X444" i="1"/>
  <c r="U444" i="1"/>
  <c r="R444" i="1"/>
  <c r="P444" i="1"/>
  <c r="O444" i="1"/>
  <c r="N444" i="1"/>
  <c r="M444" i="1"/>
  <c r="D444" i="1"/>
  <c r="AA443" i="1"/>
  <c r="X443" i="1"/>
  <c r="U443" i="1"/>
  <c r="R443" i="1"/>
  <c r="AM443" i="1" s="1"/>
  <c r="Q443" i="1"/>
  <c r="Q444" i="1" s="1"/>
  <c r="Q445" i="1" s="1"/>
  <c r="Q446" i="1" s="1"/>
  <c r="Q447" i="1" s="1"/>
  <c r="Q448" i="1" s="1"/>
  <c r="AA442" i="1"/>
  <c r="X442" i="1"/>
  <c r="U442" i="1"/>
  <c r="R442" i="1"/>
  <c r="AM442" i="1" s="1"/>
  <c r="M442" i="1"/>
  <c r="AA441" i="1"/>
  <c r="X441" i="1"/>
  <c r="U441" i="1"/>
  <c r="R441" i="1"/>
  <c r="N441" i="1"/>
  <c r="N442" i="1" s="1"/>
  <c r="M441" i="1"/>
  <c r="AH440" i="1"/>
  <c r="AA440" i="1"/>
  <c r="X440" i="1"/>
  <c r="U440" i="1"/>
  <c r="R440" i="1"/>
  <c r="AH439" i="1"/>
  <c r="AA439" i="1"/>
  <c r="X439" i="1"/>
  <c r="U439" i="1"/>
  <c r="R439" i="1"/>
  <c r="AA438" i="1"/>
  <c r="X438" i="1"/>
  <c r="U438" i="1"/>
  <c r="R438" i="1"/>
  <c r="Q438" i="1"/>
  <c r="Q439" i="1" s="1"/>
  <c r="Q440" i="1" s="1"/>
  <c r="Q441" i="1" s="1"/>
  <c r="P438" i="1"/>
  <c r="P439" i="1" s="1"/>
  <c r="P440" i="1" s="1"/>
  <c r="O438" i="1"/>
  <c r="O439" i="1" s="1"/>
  <c r="O440" i="1" s="1"/>
  <c r="AJ437" i="1"/>
  <c r="AA437" i="1"/>
  <c r="X437" i="1"/>
  <c r="U437" i="1"/>
  <c r="R437" i="1"/>
  <c r="AA436" i="1"/>
  <c r="X436" i="1"/>
  <c r="U436" i="1"/>
  <c r="R436" i="1"/>
  <c r="AA435" i="1"/>
  <c r="X435" i="1"/>
  <c r="U435" i="1"/>
  <c r="R435" i="1"/>
  <c r="AI434" i="1"/>
  <c r="AA434" i="1"/>
  <c r="X434" i="1"/>
  <c r="U434" i="1"/>
  <c r="R434" i="1"/>
  <c r="AJ433" i="1"/>
  <c r="AI433" i="1"/>
  <c r="AA433" i="1"/>
  <c r="X433" i="1"/>
  <c r="U433" i="1"/>
  <c r="R433" i="1"/>
  <c r="AI432" i="1"/>
  <c r="L432" i="1"/>
  <c r="AA431" i="1"/>
  <c r="X431" i="1"/>
  <c r="U431" i="1"/>
  <c r="R431" i="1"/>
  <c r="AA430" i="1"/>
  <c r="X430" i="1"/>
  <c r="U430" i="1"/>
  <c r="R430" i="1"/>
  <c r="AA429" i="1"/>
  <c r="X429" i="1"/>
  <c r="U429" i="1"/>
  <c r="R429" i="1"/>
  <c r="AJ428" i="1"/>
  <c r="AA428" i="1"/>
  <c r="X428" i="1"/>
  <c r="U428" i="1"/>
  <c r="R428" i="1"/>
  <c r="AI427" i="1"/>
  <c r="AA427" i="1"/>
  <c r="X427" i="1"/>
  <c r="U427" i="1"/>
  <c r="R427" i="1"/>
  <c r="AJ426" i="1"/>
  <c r="AA426" i="1"/>
  <c r="X426" i="1"/>
  <c r="U426" i="1"/>
  <c r="R426" i="1"/>
  <c r="AJ425" i="1"/>
  <c r="AI425" i="1"/>
  <c r="AA425" i="1"/>
  <c r="X425" i="1"/>
  <c r="U425" i="1"/>
  <c r="R425" i="1"/>
  <c r="AI424" i="1"/>
  <c r="AA424" i="1"/>
  <c r="X424" i="1"/>
  <c r="U424" i="1"/>
  <c r="R424" i="1"/>
  <c r="AJ423" i="1"/>
  <c r="AI423" i="1"/>
  <c r="AA423" i="1"/>
  <c r="X423" i="1"/>
  <c r="U423" i="1"/>
  <c r="R423" i="1"/>
  <c r="AA422" i="1"/>
  <c r="X422" i="1"/>
  <c r="U422" i="1"/>
  <c r="R422" i="1"/>
  <c r="AJ421" i="1"/>
  <c r="AI421" i="1"/>
  <c r="AA421" i="1"/>
  <c r="X421" i="1"/>
  <c r="U421" i="1"/>
  <c r="R421" i="1"/>
  <c r="X420" i="1"/>
  <c r="U420" i="1"/>
  <c r="R420" i="1"/>
  <c r="AJ419" i="1"/>
  <c r="AI419" i="1"/>
  <c r="AH419" i="1"/>
  <c r="AA419" i="1"/>
  <c r="X419" i="1"/>
  <c r="U419" i="1"/>
  <c r="R419" i="1"/>
  <c r="AJ418" i="1"/>
  <c r="AI418" i="1"/>
  <c r="AA418" i="1"/>
  <c r="X418" i="1"/>
  <c r="U418" i="1"/>
  <c r="R418" i="1"/>
  <c r="AJ417" i="1"/>
  <c r="AI417" i="1"/>
  <c r="AA417" i="1"/>
  <c r="X417" i="1"/>
  <c r="U417" i="1"/>
  <c r="R417" i="1"/>
  <c r="AA416" i="1"/>
  <c r="X416" i="1"/>
  <c r="U416" i="1"/>
  <c r="R416" i="1"/>
  <c r="AI415" i="1"/>
  <c r="AA415" i="1"/>
  <c r="X415" i="1"/>
  <c r="U415" i="1"/>
  <c r="R415" i="1"/>
  <c r="AI414" i="1"/>
  <c r="AA414" i="1"/>
  <c r="X414" i="1"/>
  <c r="U414" i="1"/>
  <c r="R414" i="1"/>
  <c r="AI413" i="1"/>
  <c r="AA413" i="1"/>
  <c r="X413" i="1"/>
  <c r="U413" i="1"/>
  <c r="R413" i="1"/>
  <c r="AA412" i="1"/>
  <c r="U412" i="1"/>
  <c r="R412" i="1"/>
  <c r="AI411" i="1"/>
  <c r="AA411" i="1"/>
  <c r="X411" i="1"/>
  <c r="U411" i="1"/>
  <c r="R411" i="1"/>
  <c r="AJ410" i="1"/>
  <c r="AI410" i="1"/>
  <c r="AA410" i="1"/>
  <c r="X410" i="1"/>
  <c r="U410" i="1"/>
  <c r="R410" i="1"/>
  <c r="AA409" i="1"/>
  <c r="X409" i="1"/>
  <c r="U409" i="1"/>
  <c r="R409" i="1"/>
  <c r="AA408" i="1"/>
  <c r="X408" i="1"/>
  <c r="U408" i="1"/>
  <c r="R408" i="1"/>
  <c r="AI407" i="1"/>
  <c r="AA407" i="1"/>
  <c r="X407" i="1"/>
  <c r="U407" i="1"/>
  <c r="R407" i="1"/>
  <c r="AA406" i="1"/>
  <c r="X406" i="1"/>
  <c r="U406" i="1"/>
  <c r="R406" i="1"/>
  <c r="AD406" i="1" s="1"/>
  <c r="AJ405" i="1"/>
  <c r="AI405" i="1"/>
  <c r="AA405" i="1"/>
  <c r="X405" i="1"/>
  <c r="U405" i="1"/>
  <c r="R405" i="1"/>
  <c r="AA404" i="1"/>
  <c r="X404" i="1"/>
  <c r="U404" i="1"/>
  <c r="R404" i="1"/>
  <c r="AA403" i="1"/>
  <c r="X403" i="1"/>
  <c r="U403" i="1"/>
  <c r="R403" i="1"/>
  <c r="AJ402" i="1"/>
  <c r="AI402" i="1"/>
  <c r="AA402" i="1"/>
  <c r="X402" i="1"/>
  <c r="U402" i="1"/>
  <c r="R402" i="1"/>
  <c r="AI401" i="1"/>
  <c r="AA401" i="1"/>
  <c r="X401" i="1"/>
  <c r="U401" i="1"/>
  <c r="R401" i="1"/>
  <c r="AJ400" i="1"/>
  <c r="AI400" i="1"/>
  <c r="AA400" i="1"/>
  <c r="X400" i="1"/>
  <c r="U400" i="1"/>
  <c r="R400" i="1"/>
  <c r="AJ399" i="1"/>
  <c r="AI399" i="1"/>
  <c r="AA399" i="1"/>
  <c r="X399" i="1"/>
  <c r="U399" i="1"/>
  <c r="R399" i="1"/>
  <c r="AA398" i="1"/>
  <c r="X398" i="1"/>
  <c r="U398" i="1"/>
  <c r="R398" i="1"/>
  <c r="AA397" i="1"/>
  <c r="X397" i="1"/>
  <c r="U397" i="1"/>
  <c r="R397" i="1"/>
  <c r="AJ396" i="1"/>
  <c r="AI396" i="1"/>
  <c r="AA396" i="1"/>
  <c r="X396" i="1"/>
  <c r="U396" i="1"/>
  <c r="R396" i="1"/>
  <c r="AJ395" i="1"/>
  <c r="AI395" i="1"/>
  <c r="AA395" i="1"/>
  <c r="X395" i="1"/>
  <c r="U395" i="1"/>
  <c r="R395" i="1"/>
  <c r="AI394" i="1"/>
  <c r="AA394" i="1"/>
  <c r="X394" i="1"/>
  <c r="U394" i="1"/>
  <c r="R394" i="1"/>
  <c r="AJ393" i="1"/>
  <c r="AI393" i="1"/>
  <c r="AA393" i="1"/>
  <c r="X393" i="1"/>
  <c r="U393" i="1"/>
  <c r="R393" i="1"/>
  <c r="AJ392" i="1"/>
  <c r="AI392" i="1"/>
  <c r="AA392" i="1"/>
  <c r="X392" i="1"/>
  <c r="U392" i="1"/>
  <c r="R392" i="1"/>
  <c r="AA391" i="1"/>
  <c r="X391" i="1"/>
  <c r="U391" i="1"/>
  <c r="R391" i="1"/>
  <c r="AI390" i="1"/>
  <c r="AA390" i="1"/>
  <c r="X390" i="1"/>
  <c r="U390" i="1"/>
  <c r="R390" i="1"/>
  <c r="AA389" i="1"/>
  <c r="X389" i="1"/>
  <c r="U389" i="1"/>
  <c r="R389" i="1"/>
  <c r="AJ388" i="1"/>
  <c r="AI388" i="1"/>
  <c r="AA388" i="1"/>
  <c r="X388" i="1"/>
  <c r="U388" i="1"/>
  <c r="R388" i="1"/>
  <c r="AJ387" i="1"/>
  <c r="AI387" i="1"/>
  <c r="AA387" i="1"/>
  <c r="AD387" i="1" s="1"/>
  <c r="AF387" i="1" s="1"/>
  <c r="X387" i="1"/>
  <c r="U387" i="1"/>
  <c r="R387" i="1"/>
  <c r="AJ386" i="1"/>
  <c r="AI386" i="1"/>
  <c r="AA386" i="1"/>
  <c r="X386" i="1"/>
  <c r="U386" i="1"/>
  <c r="R386" i="1"/>
  <c r="AJ385" i="1"/>
  <c r="AI385" i="1"/>
  <c r="AA385" i="1"/>
  <c r="X385" i="1"/>
  <c r="U385" i="1"/>
  <c r="R385" i="1"/>
  <c r="AJ384" i="1"/>
  <c r="AI384" i="1"/>
  <c r="AA384" i="1"/>
  <c r="X384" i="1"/>
  <c r="U384" i="1"/>
  <c r="R384" i="1"/>
  <c r="AJ383" i="1"/>
  <c r="AI383" i="1"/>
  <c r="AA383" i="1"/>
  <c r="X383" i="1"/>
  <c r="U383" i="1"/>
  <c r="R383" i="1"/>
  <c r="AJ382" i="1"/>
  <c r="AI382" i="1"/>
  <c r="AA382" i="1"/>
  <c r="X382" i="1"/>
  <c r="U382" i="1"/>
  <c r="R382" i="1"/>
  <c r="AJ381" i="1"/>
  <c r="AI381" i="1"/>
  <c r="AD381" i="1"/>
  <c r="AF381" i="1" s="1"/>
  <c r="AA381" i="1"/>
  <c r="X381" i="1"/>
  <c r="U381" i="1"/>
  <c r="R381" i="1"/>
  <c r="AJ380" i="1"/>
  <c r="AI380" i="1"/>
  <c r="AA380" i="1"/>
  <c r="X380" i="1"/>
  <c r="U380" i="1"/>
  <c r="R380" i="1"/>
  <c r="AJ379" i="1"/>
  <c r="AI379" i="1"/>
  <c r="AA379" i="1"/>
  <c r="X379" i="1"/>
  <c r="U379" i="1"/>
  <c r="R379" i="1"/>
  <c r="AJ378" i="1"/>
  <c r="AI378" i="1"/>
  <c r="AA378" i="1"/>
  <c r="X378" i="1"/>
  <c r="U378" i="1"/>
  <c r="R378" i="1"/>
  <c r="AJ377" i="1"/>
  <c r="AI377" i="1"/>
  <c r="AA377" i="1"/>
  <c r="X377" i="1"/>
  <c r="U377" i="1"/>
  <c r="R377" i="1"/>
  <c r="AJ376" i="1"/>
  <c r="AI376" i="1"/>
  <c r="AA376" i="1"/>
  <c r="X376" i="1"/>
  <c r="U376" i="1"/>
  <c r="R376" i="1"/>
  <c r="AJ375" i="1"/>
  <c r="AI375" i="1"/>
  <c r="AA375" i="1"/>
  <c r="X375" i="1"/>
  <c r="U375" i="1"/>
  <c r="R375" i="1"/>
  <c r="AA374" i="1"/>
  <c r="X374" i="1"/>
  <c r="U374" i="1"/>
  <c r="R374" i="1"/>
  <c r="AJ373" i="1"/>
  <c r="AI373" i="1"/>
  <c r="AA373" i="1"/>
  <c r="X373" i="1"/>
  <c r="U373" i="1"/>
  <c r="R373" i="1"/>
  <c r="AJ372" i="1"/>
  <c r="AI372" i="1"/>
  <c r="AA372" i="1"/>
  <c r="X372" i="1"/>
  <c r="U372" i="1"/>
  <c r="R372" i="1"/>
  <c r="AJ371" i="1"/>
  <c r="AI371" i="1"/>
  <c r="AA371" i="1"/>
  <c r="X371" i="1"/>
  <c r="AD371" i="1" s="1"/>
  <c r="U371" i="1"/>
  <c r="R371" i="1"/>
  <c r="AJ370" i="1"/>
  <c r="AI370" i="1"/>
  <c r="AC370" i="1"/>
  <c r="AC482" i="1" s="1"/>
  <c r="AB370" i="1"/>
  <c r="AA370" i="1" s="1"/>
  <c r="X370" i="1"/>
  <c r="W370" i="1"/>
  <c r="W482" i="1" s="1"/>
  <c r="V370" i="1"/>
  <c r="T370" i="1"/>
  <c r="T482" i="1" s="1"/>
  <c r="S370" i="1"/>
  <c r="AJ369" i="1"/>
  <c r="AI369" i="1"/>
  <c r="AA369" i="1"/>
  <c r="X369" i="1"/>
  <c r="U369" i="1"/>
  <c r="R369" i="1"/>
  <c r="AJ368" i="1"/>
  <c r="AI368" i="1"/>
  <c r="AA368" i="1"/>
  <c r="X368" i="1"/>
  <c r="U368" i="1"/>
  <c r="R368" i="1"/>
  <c r="AJ367" i="1"/>
  <c r="AI367" i="1"/>
  <c r="AA367" i="1"/>
  <c r="X367" i="1"/>
  <c r="U367" i="1"/>
  <c r="R367" i="1"/>
  <c r="AJ366" i="1"/>
  <c r="AI366" i="1"/>
  <c r="AA366" i="1"/>
  <c r="X366" i="1"/>
  <c r="U366" i="1"/>
  <c r="R366" i="1"/>
  <c r="AJ365" i="1"/>
  <c r="AI365" i="1"/>
  <c r="AA365" i="1"/>
  <c r="X365" i="1"/>
  <c r="U365" i="1"/>
  <c r="R365" i="1"/>
  <c r="AJ364" i="1"/>
  <c r="AI364" i="1"/>
  <c r="AA364" i="1"/>
  <c r="X364" i="1"/>
  <c r="U364" i="1"/>
  <c r="R364" i="1"/>
  <c r="AJ363" i="1"/>
  <c r="AI363" i="1"/>
  <c r="AA363" i="1"/>
  <c r="X363" i="1"/>
  <c r="U363" i="1"/>
  <c r="R363" i="1"/>
  <c r="AJ362" i="1"/>
  <c r="AI362" i="1"/>
  <c r="AA362" i="1"/>
  <c r="X362" i="1"/>
  <c r="U362" i="1"/>
  <c r="R362" i="1"/>
  <c r="AJ361" i="1"/>
  <c r="AI361" i="1"/>
  <c r="AB361" i="1"/>
  <c r="X361" i="1"/>
  <c r="U361" i="1"/>
  <c r="R361" i="1"/>
  <c r="AJ360" i="1"/>
  <c r="AI360" i="1"/>
  <c r="AA360" i="1"/>
  <c r="X360" i="1"/>
  <c r="U360" i="1"/>
  <c r="R360" i="1"/>
  <c r="AA359" i="1"/>
  <c r="X359" i="1"/>
  <c r="U359" i="1"/>
  <c r="R359" i="1"/>
  <c r="AA358" i="1"/>
  <c r="X358" i="1"/>
  <c r="U358" i="1"/>
  <c r="R358" i="1"/>
  <c r="AJ357" i="1"/>
  <c r="AI357" i="1"/>
  <c r="AA357" i="1"/>
  <c r="X357" i="1"/>
  <c r="U357" i="1"/>
  <c r="R357" i="1"/>
  <c r="AJ356" i="1"/>
  <c r="AI356" i="1"/>
  <c r="AA356" i="1"/>
  <c r="X356" i="1"/>
  <c r="U356" i="1"/>
  <c r="R356" i="1"/>
  <c r="AJ355" i="1"/>
  <c r="AI355" i="1"/>
  <c r="AA355" i="1"/>
  <c r="X355" i="1"/>
  <c r="U355" i="1"/>
  <c r="R355" i="1"/>
  <c r="AJ354" i="1"/>
  <c r="AI354" i="1"/>
  <c r="AA354" i="1"/>
  <c r="X354" i="1"/>
  <c r="U354" i="1"/>
  <c r="R354" i="1"/>
  <c r="AJ353" i="1"/>
  <c r="AI353" i="1"/>
  <c r="AA353" i="1"/>
  <c r="X353" i="1"/>
  <c r="U353" i="1"/>
  <c r="R353" i="1"/>
  <c r="AJ352" i="1"/>
  <c r="AI352" i="1"/>
  <c r="AA352" i="1"/>
  <c r="X352" i="1"/>
  <c r="U352" i="1"/>
  <c r="R352" i="1"/>
  <c r="AJ351" i="1"/>
  <c r="AI351" i="1"/>
  <c r="AA351" i="1"/>
  <c r="X351" i="1"/>
  <c r="U351" i="1"/>
  <c r="R351" i="1"/>
  <c r="AJ350" i="1"/>
  <c r="AI350" i="1"/>
  <c r="AA350" i="1"/>
  <c r="X350" i="1"/>
  <c r="U350" i="1"/>
  <c r="R350" i="1"/>
  <c r="AJ349" i="1"/>
  <c r="AI349" i="1"/>
  <c r="AA349" i="1"/>
  <c r="X349" i="1"/>
  <c r="U349" i="1"/>
  <c r="AJ348" i="1"/>
  <c r="AI348" i="1"/>
  <c r="AA348" i="1"/>
  <c r="X348" i="1"/>
  <c r="U348" i="1"/>
  <c r="R348" i="1"/>
  <c r="AJ347" i="1"/>
  <c r="AI347" i="1"/>
  <c r="AA347" i="1"/>
  <c r="X347" i="1"/>
  <c r="U347" i="1"/>
  <c r="R347" i="1"/>
  <c r="AJ346" i="1"/>
  <c r="AI346" i="1"/>
  <c r="AA346" i="1"/>
  <c r="X346" i="1"/>
  <c r="U346" i="1"/>
  <c r="R346" i="1"/>
  <c r="AJ345" i="1"/>
  <c r="AI345" i="1"/>
  <c r="AA345" i="1"/>
  <c r="X345" i="1"/>
  <c r="U345" i="1"/>
  <c r="R345" i="1"/>
  <c r="AJ344" i="1"/>
  <c r="AI344" i="1"/>
  <c r="AA344" i="1"/>
  <c r="X344" i="1"/>
  <c r="U344" i="1"/>
  <c r="R344" i="1"/>
  <c r="AJ343" i="1"/>
  <c r="AI343" i="1"/>
  <c r="AA343" i="1"/>
  <c r="X343" i="1"/>
  <c r="U343" i="1"/>
  <c r="R343" i="1"/>
  <c r="AJ342" i="1"/>
  <c r="AI342" i="1"/>
  <c r="AA342" i="1"/>
  <c r="X342" i="1"/>
  <c r="U342" i="1"/>
  <c r="R342" i="1"/>
  <c r="AJ341" i="1"/>
  <c r="AI341" i="1"/>
  <c r="AA341" i="1"/>
  <c r="X341" i="1"/>
  <c r="U341" i="1"/>
  <c r="R341" i="1"/>
  <c r="AA340" i="1"/>
  <c r="X340" i="1"/>
  <c r="U340" i="1"/>
  <c r="R340" i="1"/>
  <c r="AJ339" i="1"/>
  <c r="AI339" i="1"/>
  <c r="AA339" i="1"/>
  <c r="X339" i="1"/>
  <c r="U339" i="1"/>
  <c r="R339" i="1"/>
  <c r="AJ338" i="1"/>
  <c r="AI338" i="1"/>
  <c r="AA338" i="1"/>
  <c r="X338" i="1"/>
  <c r="U338" i="1"/>
  <c r="R338" i="1"/>
  <c r="AJ337" i="1"/>
  <c r="AI337" i="1"/>
  <c r="AA337" i="1"/>
  <c r="X337" i="1"/>
  <c r="U337" i="1"/>
  <c r="R337" i="1"/>
  <c r="AI336" i="1"/>
  <c r="AA336" i="1"/>
  <c r="X336" i="1"/>
  <c r="U336" i="1"/>
  <c r="R336" i="1"/>
  <c r="AJ335" i="1"/>
  <c r="AI335" i="1"/>
  <c r="AA335" i="1"/>
  <c r="X335" i="1"/>
  <c r="U335" i="1"/>
  <c r="R335" i="1"/>
  <c r="AJ334" i="1"/>
  <c r="AI334" i="1"/>
  <c r="AA334" i="1"/>
  <c r="X334" i="1"/>
  <c r="U334" i="1"/>
  <c r="R334" i="1"/>
  <c r="AJ333" i="1"/>
  <c r="AI333" i="1"/>
  <c r="AA333" i="1"/>
  <c r="X333" i="1"/>
  <c r="U333" i="1"/>
  <c r="R333" i="1"/>
  <c r="AJ332" i="1"/>
  <c r="AI332" i="1"/>
  <c r="AA332" i="1"/>
  <c r="X332" i="1"/>
  <c r="U332" i="1"/>
  <c r="R332" i="1"/>
  <c r="AJ331" i="1"/>
  <c r="AI331" i="1"/>
  <c r="AA331" i="1"/>
  <c r="X331" i="1"/>
  <c r="U331" i="1"/>
  <c r="R331" i="1"/>
  <c r="AJ330" i="1"/>
  <c r="AI330" i="1"/>
  <c r="AA330" i="1"/>
  <c r="X330" i="1"/>
  <c r="U330" i="1"/>
  <c r="R330" i="1"/>
  <c r="AJ329" i="1"/>
  <c r="AI329" i="1"/>
  <c r="AA329" i="1"/>
  <c r="U329" i="1"/>
  <c r="R329" i="1"/>
  <c r="AJ328" i="1"/>
  <c r="AI328" i="1"/>
  <c r="AA328" i="1"/>
  <c r="X328" i="1"/>
  <c r="U328" i="1"/>
  <c r="R328" i="1"/>
  <c r="AJ327" i="1"/>
  <c r="AI327" i="1"/>
  <c r="AA327" i="1"/>
  <c r="X327" i="1"/>
  <c r="U327" i="1"/>
  <c r="R327" i="1"/>
  <c r="AJ326" i="1"/>
  <c r="AI326" i="1"/>
  <c r="AA326" i="1"/>
  <c r="X326" i="1"/>
  <c r="U326" i="1"/>
  <c r="R326" i="1"/>
  <c r="AJ325" i="1"/>
  <c r="AI325" i="1"/>
  <c r="AA325" i="1"/>
  <c r="X325" i="1"/>
  <c r="U325" i="1"/>
  <c r="R325" i="1"/>
  <c r="AJ324" i="1"/>
  <c r="AI324" i="1"/>
  <c r="AA324" i="1"/>
  <c r="X324" i="1"/>
  <c r="U324" i="1"/>
  <c r="R324" i="1"/>
  <c r="AJ323" i="1"/>
  <c r="AI323" i="1"/>
  <c r="AA323" i="1"/>
  <c r="X323" i="1"/>
  <c r="U323" i="1"/>
  <c r="R323" i="1"/>
  <c r="AA322" i="1"/>
  <c r="X322" i="1"/>
  <c r="U322" i="1"/>
  <c r="R322" i="1"/>
  <c r="AA321" i="1"/>
  <c r="X321" i="1"/>
  <c r="U321" i="1"/>
  <c r="R321" i="1"/>
  <c r="AA320" i="1"/>
  <c r="X320" i="1"/>
  <c r="U320" i="1"/>
  <c r="R320" i="1"/>
  <c r="AJ319" i="1"/>
  <c r="AI319" i="1"/>
  <c r="AA319" i="1"/>
  <c r="X319" i="1"/>
  <c r="U319" i="1"/>
  <c r="R319" i="1"/>
  <c r="AJ318" i="1"/>
  <c r="AI318" i="1"/>
  <c r="AA318" i="1"/>
  <c r="X318" i="1"/>
  <c r="U318" i="1"/>
  <c r="R318" i="1"/>
  <c r="AI317" i="1"/>
  <c r="AA317" i="1"/>
  <c r="X317" i="1"/>
  <c r="U317" i="1"/>
  <c r="R317" i="1"/>
  <c r="AA316" i="1"/>
  <c r="X316" i="1"/>
  <c r="U316" i="1"/>
  <c r="R316" i="1"/>
  <c r="AJ315" i="1"/>
  <c r="AI315" i="1"/>
  <c r="AA315" i="1"/>
  <c r="X315" i="1"/>
  <c r="U315" i="1"/>
  <c r="R315" i="1"/>
  <c r="AJ314" i="1"/>
  <c r="AI314" i="1"/>
  <c r="AA314" i="1"/>
  <c r="X314" i="1"/>
  <c r="U314" i="1"/>
  <c r="R314" i="1"/>
  <c r="AJ313" i="1"/>
  <c r="AI313" i="1"/>
  <c r="AA313" i="1"/>
  <c r="X313" i="1"/>
  <c r="U313" i="1"/>
  <c r="R313" i="1"/>
  <c r="AJ312" i="1"/>
  <c r="AI312" i="1"/>
  <c r="AA312" i="1"/>
  <c r="X312" i="1"/>
  <c r="U312" i="1"/>
  <c r="R312" i="1"/>
  <c r="AJ311" i="1"/>
  <c r="AI311" i="1"/>
  <c r="AA311" i="1"/>
  <c r="X311" i="1"/>
  <c r="U311" i="1"/>
  <c r="R311" i="1"/>
  <c r="AI310" i="1"/>
  <c r="AA310" i="1"/>
  <c r="X310" i="1"/>
  <c r="U310" i="1"/>
  <c r="R310" i="1"/>
  <c r="AJ309" i="1"/>
  <c r="AI309" i="1"/>
  <c r="AA309" i="1"/>
  <c r="X309" i="1"/>
  <c r="U309" i="1"/>
  <c r="R309" i="1"/>
  <c r="AI308" i="1"/>
  <c r="AA308" i="1"/>
  <c r="X308" i="1"/>
  <c r="U308" i="1"/>
  <c r="R308" i="1"/>
  <c r="AJ307" i="1"/>
  <c r="AI307" i="1"/>
  <c r="AA307" i="1"/>
  <c r="X307" i="1"/>
  <c r="U307" i="1"/>
  <c r="R307" i="1"/>
  <c r="AJ306" i="1"/>
  <c r="AI306" i="1"/>
  <c r="AA306" i="1"/>
  <c r="X306" i="1"/>
  <c r="U306" i="1"/>
  <c r="R306" i="1"/>
  <c r="AI305" i="1"/>
  <c r="AA305" i="1"/>
  <c r="X305" i="1"/>
  <c r="U305" i="1"/>
  <c r="R305" i="1"/>
  <c r="AJ304" i="1"/>
  <c r="AI304" i="1"/>
  <c r="AA304" i="1"/>
  <c r="X304" i="1"/>
  <c r="U304" i="1"/>
  <c r="R304" i="1"/>
  <c r="AI303" i="1"/>
  <c r="AA303" i="1"/>
  <c r="X303" i="1"/>
  <c r="U303" i="1"/>
  <c r="R303" i="1"/>
  <c r="AJ302" i="1"/>
  <c r="AI302" i="1"/>
  <c r="AA302" i="1"/>
  <c r="X302" i="1"/>
  <c r="U302" i="1"/>
  <c r="R302" i="1"/>
  <c r="AJ301" i="1"/>
  <c r="AI301" i="1"/>
  <c r="AA301" i="1"/>
  <c r="X301" i="1"/>
  <c r="U301" i="1"/>
  <c r="R301" i="1"/>
  <c r="AA300" i="1"/>
  <c r="X300" i="1"/>
  <c r="U300" i="1"/>
  <c r="R300" i="1"/>
  <c r="AA299" i="1"/>
  <c r="X299" i="1"/>
  <c r="U299" i="1"/>
  <c r="R299" i="1"/>
  <c r="AA298" i="1"/>
  <c r="X298" i="1"/>
  <c r="U298" i="1"/>
  <c r="R298" i="1"/>
  <c r="AJ297" i="1"/>
  <c r="AI297" i="1"/>
  <c r="AA297" i="1"/>
  <c r="X297" i="1"/>
  <c r="U297" i="1"/>
  <c r="R297" i="1"/>
  <c r="AJ296" i="1"/>
  <c r="AI296" i="1"/>
  <c r="AA296" i="1"/>
  <c r="X296" i="1"/>
  <c r="U296" i="1"/>
  <c r="R296" i="1"/>
  <c r="AJ295" i="1"/>
  <c r="AI295" i="1"/>
  <c r="AA295" i="1"/>
  <c r="X295" i="1"/>
  <c r="U295" i="1"/>
  <c r="R295" i="1"/>
  <c r="AJ294" i="1"/>
  <c r="AI294" i="1"/>
  <c r="AA294" i="1"/>
  <c r="X294" i="1"/>
  <c r="U294" i="1"/>
  <c r="R294" i="1"/>
  <c r="AJ293" i="1"/>
  <c r="AI293" i="1"/>
  <c r="AA293" i="1"/>
  <c r="X293" i="1"/>
  <c r="U293" i="1"/>
  <c r="R293" i="1"/>
  <c r="AA292" i="1"/>
  <c r="X292" i="1"/>
  <c r="U292" i="1"/>
  <c r="R292" i="1"/>
  <c r="AA291" i="1"/>
  <c r="X291" i="1"/>
  <c r="U291" i="1"/>
  <c r="R291" i="1"/>
  <c r="AJ290" i="1"/>
  <c r="AI290" i="1"/>
  <c r="AA290" i="1"/>
  <c r="X290" i="1"/>
  <c r="U290" i="1"/>
  <c r="R290" i="1"/>
  <c r="AA289" i="1"/>
  <c r="X289" i="1"/>
  <c r="U289" i="1"/>
  <c r="R289" i="1"/>
  <c r="AJ288" i="1"/>
  <c r="AI288" i="1"/>
  <c r="AA288" i="1"/>
  <c r="X288" i="1"/>
  <c r="U288" i="1"/>
  <c r="R288" i="1"/>
  <c r="AJ287" i="1"/>
  <c r="AI287" i="1"/>
  <c r="AA287" i="1"/>
  <c r="X287" i="1"/>
  <c r="U287" i="1"/>
  <c r="R287" i="1"/>
  <c r="AJ286" i="1"/>
  <c r="AI286" i="1"/>
  <c r="AA286" i="1"/>
  <c r="X286" i="1"/>
  <c r="U286" i="1"/>
  <c r="R286" i="1"/>
  <c r="AJ285" i="1"/>
  <c r="AI285" i="1"/>
  <c r="AA285" i="1"/>
  <c r="X285" i="1"/>
  <c r="U285" i="1"/>
  <c r="R285" i="1"/>
  <c r="AJ284" i="1"/>
  <c r="AI284" i="1"/>
  <c r="AA284" i="1"/>
  <c r="X284" i="1"/>
  <c r="U284" i="1"/>
  <c r="R284" i="1"/>
  <c r="AJ283" i="1"/>
  <c r="AI283" i="1"/>
  <c r="AA283" i="1"/>
  <c r="X283" i="1"/>
  <c r="U283" i="1"/>
  <c r="R283" i="1"/>
  <c r="AI282" i="1"/>
  <c r="AA282" i="1"/>
  <c r="X282" i="1"/>
  <c r="U282" i="1"/>
  <c r="R282" i="1"/>
  <c r="AI281" i="1"/>
  <c r="AA281" i="1"/>
  <c r="X281" i="1"/>
  <c r="U281" i="1"/>
  <c r="R281" i="1"/>
  <c r="AI280" i="1"/>
  <c r="AA280" i="1"/>
  <c r="X280" i="1"/>
  <c r="U280" i="1"/>
  <c r="R280" i="1"/>
  <c r="AJ279" i="1"/>
  <c r="AI279" i="1"/>
  <c r="AA279" i="1"/>
  <c r="X279" i="1"/>
  <c r="U279" i="1"/>
  <c r="R279" i="1"/>
  <c r="AJ278" i="1"/>
  <c r="AI278" i="1"/>
  <c r="AA278" i="1"/>
  <c r="X278" i="1"/>
  <c r="U278" i="1"/>
  <c r="R278" i="1"/>
  <c r="AA277" i="1"/>
  <c r="X277" i="1"/>
  <c r="U277" i="1"/>
  <c r="R277" i="1"/>
  <c r="AI276" i="1"/>
  <c r="AA276" i="1"/>
  <c r="X276" i="1"/>
  <c r="U276" i="1"/>
  <c r="R276" i="1"/>
  <c r="AI275" i="1"/>
  <c r="AA275" i="1"/>
  <c r="X275" i="1"/>
  <c r="U275" i="1"/>
  <c r="R275" i="1"/>
  <c r="AI274" i="1"/>
  <c r="AA274" i="1"/>
  <c r="X274" i="1"/>
  <c r="U274" i="1"/>
  <c r="R274" i="1"/>
  <c r="AA273" i="1"/>
  <c r="X273" i="1"/>
  <c r="U273" i="1"/>
  <c r="R273" i="1"/>
  <c r="AA272" i="1"/>
  <c r="X272" i="1"/>
  <c r="U272" i="1"/>
  <c r="R272" i="1"/>
  <c r="AI271" i="1"/>
  <c r="AA271" i="1"/>
  <c r="X271" i="1"/>
  <c r="U271" i="1"/>
  <c r="R271" i="1"/>
  <c r="AI270" i="1"/>
  <c r="AA270" i="1"/>
  <c r="X270" i="1"/>
  <c r="U270" i="1"/>
  <c r="R270" i="1"/>
  <c r="AJ269" i="1"/>
  <c r="AI269" i="1"/>
  <c r="AA269" i="1"/>
  <c r="X269" i="1"/>
  <c r="U269" i="1"/>
  <c r="R269" i="1"/>
  <c r="AJ268" i="1"/>
  <c r="AI268" i="1"/>
  <c r="AA268" i="1"/>
  <c r="X268" i="1"/>
  <c r="U268" i="1"/>
  <c r="R268" i="1"/>
  <c r="AI267" i="1"/>
  <c r="AA267" i="1"/>
  <c r="X267" i="1"/>
  <c r="U267" i="1"/>
  <c r="R267" i="1"/>
  <c r="AI266" i="1"/>
  <c r="AA266" i="1"/>
  <c r="X266" i="1"/>
  <c r="U266" i="1"/>
  <c r="R266" i="1"/>
  <c r="AA265" i="1"/>
  <c r="X265" i="1"/>
  <c r="U265" i="1"/>
  <c r="R265" i="1"/>
  <c r="AI264" i="1"/>
  <c r="AA264" i="1"/>
  <c r="X264" i="1"/>
  <c r="U264" i="1"/>
  <c r="R264" i="1"/>
  <c r="AD264" i="1" s="1"/>
  <c r="AA263" i="1"/>
  <c r="X263" i="1"/>
  <c r="U263" i="1"/>
  <c r="R263" i="1"/>
  <c r="AA262" i="1"/>
  <c r="X262" i="1"/>
  <c r="U262" i="1"/>
  <c r="R262" i="1"/>
  <c r="AI261" i="1"/>
  <c r="AA261" i="1"/>
  <c r="X261" i="1"/>
  <c r="U261" i="1"/>
  <c r="R261" i="1"/>
  <c r="AA260" i="1"/>
  <c r="X260" i="1"/>
  <c r="U260" i="1"/>
  <c r="R260" i="1"/>
  <c r="AA259" i="1"/>
  <c r="X259" i="1"/>
  <c r="U259" i="1"/>
  <c r="R259" i="1"/>
  <c r="AA258" i="1"/>
  <c r="X258" i="1"/>
  <c r="U258" i="1"/>
  <c r="R258" i="1"/>
  <c r="AA257" i="1"/>
  <c r="X257" i="1"/>
  <c r="U257" i="1"/>
  <c r="R257" i="1"/>
  <c r="AA256" i="1"/>
  <c r="X256" i="1"/>
  <c r="U256" i="1"/>
  <c r="R256" i="1"/>
  <c r="AA255" i="1"/>
  <c r="X255" i="1"/>
  <c r="U255" i="1"/>
  <c r="R255" i="1"/>
  <c r="AA254" i="1"/>
  <c r="X254" i="1"/>
  <c r="U254" i="1"/>
  <c r="R254" i="1"/>
  <c r="AA253" i="1"/>
  <c r="X253" i="1"/>
  <c r="U253" i="1"/>
  <c r="R253" i="1"/>
  <c r="AA252" i="1"/>
  <c r="X252" i="1"/>
  <c r="U252" i="1"/>
  <c r="R252" i="1"/>
  <c r="AA251" i="1"/>
  <c r="X251" i="1"/>
  <c r="U251" i="1"/>
  <c r="R251" i="1"/>
  <c r="AA250" i="1"/>
  <c r="X250" i="1"/>
  <c r="U250" i="1"/>
  <c r="R250" i="1"/>
  <c r="AA249" i="1"/>
  <c r="X249" i="1"/>
  <c r="U249" i="1"/>
  <c r="R249" i="1"/>
  <c r="AA248" i="1"/>
  <c r="X248" i="1"/>
  <c r="U248" i="1"/>
  <c r="R248" i="1"/>
  <c r="AA247" i="1"/>
  <c r="X247" i="1"/>
  <c r="U247" i="1"/>
  <c r="R247" i="1"/>
  <c r="AA246" i="1"/>
  <c r="X246" i="1"/>
  <c r="U246" i="1"/>
  <c r="R246" i="1"/>
  <c r="AA245" i="1"/>
  <c r="X245" i="1"/>
  <c r="U245" i="1"/>
  <c r="R245" i="1"/>
  <c r="AA244" i="1"/>
  <c r="X244" i="1"/>
  <c r="U244" i="1"/>
  <c r="R244" i="1"/>
  <c r="AA243" i="1"/>
  <c r="X243" i="1"/>
  <c r="U243" i="1"/>
  <c r="R243" i="1"/>
  <c r="AA242" i="1"/>
  <c r="X242" i="1"/>
  <c r="U242" i="1"/>
  <c r="R242" i="1"/>
  <c r="AA241" i="1"/>
  <c r="X241" i="1"/>
  <c r="R241" i="1"/>
  <c r="AA240" i="1"/>
  <c r="X240" i="1"/>
  <c r="U240" i="1"/>
  <c r="R240" i="1"/>
  <c r="AA239" i="1"/>
  <c r="X239" i="1"/>
  <c r="U239" i="1"/>
  <c r="R239" i="1"/>
  <c r="AA238" i="1"/>
  <c r="X238" i="1"/>
  <c r="U238" i="1"/>
  <c r="R238" i="1"/>
  <c r="AA237" i="1"/>
  <c r="X237" i="1"/>
  <c r="U237" i="1"/>
  <c r="R237" i="1"/>
  <c r="AA236" i="1"/>
  <c r="X236" i="1"/>
  <c r="U236" i="1"/>
  <c r="R236" i="1"/>
  <c r="AA235" i="1"/>
  <c r="X235" i="1"/>
  <c r="U235" i="1"/>
  <c r="R235" i="1"/>
  <c r="AA234" i="1"/>
  <c r="X234" i="1"/>
  <c r="U234" i="1"/>
  <c r="R234" i="1"/>
  <c r="AJ233" i="1"/>
  <c r="AA233" i="1"/>
  <c r="X233" i="1"/>
  <c r="U233" i="1"/>
  <c r="R233" i="1"/>
  <c r="AJ232" i="1"/>
  <c r="AA232" i="1"/>
  <c r="X232" i="1"/>
  <c r="U232" i="1"/>
  <c r="R232" i="1"/>
  <c r="AA231" i="1"/>
  <c r="X231" i="1"/>
  <c r="U231" i="1"/>
  <c r="R231" i="1"/>
  <c r="AA230" i="1"/>
  <c r="X230" i="1"/>
  <c r="U230" i="1"/>
  <c r="R230" i="1"/>
  <c r="AA229" i="1"/>
  <c r="X229" i="1"/>
  <c r="U229" i="1"/>
  <c r="R229" i="1"/>
  <c r="AJ228" i="1"/>
  <c r="AA228" i="1"/>
  <c r="X228" i="1"/>
  <c r="U228" i="1"/>
  <c r="R228" i="1"/>
  <c r="AA227" i="1"/>
  <c r="X227" i="1"/>
  <c r="U227" i="1"/>
  <c r="R227" i="1"/>
  <c r="AA226" i="1"/>
  <c r="X226" i="1"/>
  <c r="U226" i="1"/>
  <c r="R226" i="1"/>
  <c r="AA225" i="1"/>
  <c r="X225" i="1"/>
  <c r="U225" i="1"/>
  <c r="R225" i="1"/>
  <c r="AA224" i="1"/>
  <c r="X224" i="1"/>
  <c r="U224" i="1"/>
  <c r="R224" i="1"/>
  <c r="AA223" i="1"/>
  <c r="X223" i="1"/>
  <c r="U223" i="1"/>
  <c r="R223" i="1"/>
  <c r="AA222" i="1"/>
  <c r="X222" i="1"/>
  <c r="U222" i="1"/>
  <c r="R222" i="1"/>
  <c r="AA221" i="1"/>
  <c r="X221" i="1"/>
  <c r="U221" i="1"/>
  <c r="R221" i="1"/>
  <c r="AA220" i="1"/>
  <c r="X220" i="1"/>
  <c r="U220" i="1"/>
  <c r="R220" i="1"/>
  <c r="AA219" i="1"/>
  <c r="X219" i="1"/>
  <c r="U219" i="1"/>
  <c r="R219" i="1"/>
  <c r="AA218" i="1"/>
  <c r="X218" i="1"/>
  <c r="U218" i="1"/>
  <c r="R218" i="1"/>
  <c r="AA217" i="1"/>
  <c r="X217" i="1"/>
  <c r="U217" i="1"/>
  <c r="R217" i="1"/>
  <c r="AA216" i="1"/>
  <c r="X216" i="1"/>
  <c r="U216" i="1"/>
  <c r="R216" i="1"/>
  <c r="AA215" i="1"/>
  <c r="X215" i="1"/>
  <c r="U215" i="1"/>
  <c r="R215" i="1"/>
  <c r="AA214" i="1"/>
  <c r="X214" i="1"/>
  <c r="U214" i="1"/>
  <c r="R214" i="1"/>
  <c r="AA213" i="1"/>
  <c r="X213" i="1"/>
  <c r="U213" i="1"/>
  <c r="R213" i="1"/>
  <c r="AA212" i="1"/>
  <c r="X212" i="1"/>
  <c r="U212" i="1"/>
  <c r="R212" i="1"/>
  <c r="AA211" i="1"/>
  <c r="X211" i="1"/>
  <c r="U211" i="1"/>
  <c r="R211" i="1"/>
  <c r="AA210" i="1"/>
  <c r="X210" i="1"/>
  <c r="U210" i="1"/>
  <c r="R210" i="1"/>
  <c r="AJ209" i="1"/>
  <c r="AA209" i="1"/>
  <c r="X209" i="1"/>
  <c r="U209" i="1"/>
  <c r="R209" i="1"/>
  <c r="AA208" i="1"/>
  <c r="X208" i="1"/>
  <c r="U208" i="1"/>
  <c r="R208" i="1"/>
  <c r="AE207" i="1"/>
  <c r="AE482" i="1" s="1"/>
  <c r="AA207" i="1"/>
  <c r="X207" i="1"/>
  <c r="U207" i="1"/>
  <c r="R207" i="1"/>
  <c r="X206" i="1"/>
  <c r="U206" i="1"/>
  <c r="R206" i="1"/>
  <c r="AA205" i="1"/>
  <c r="X205" i="1"/>
  <c r="U205" i="1"/>
  <c r="R205" i="1"/>
  <c r="AA204" i="1"/>
  <c r="X204" i="1"/>
  <c r="U204" i="1"/>
  <c r="R204" i="1"/>
  <c r="AA203" i="1"/>
  <c r="X203" i="1"/>
  <c r="U203" i="1"/>
  <c r="R203" i="1"/>
  <c r="AA202" i="1"/>
  <c r="X202" i="1"/>
  <c r="U202" i="1"/>
  <c r="R202" i="1"/>
  <c r="AJ201" i="1"/>
  <c r="AA201" i="1"/>
  <c r="X201" i="1"/>
  <c r="U201" i="1"/>
  <c r="R201" i="1"/>
  <c r="AA200" i="1"/>
  <c r="X200" i="1"/>
  <c r="U200" i="1"/>
  <c r="R200" i="1"/>
  <c r="AA199" i="1"/>
  <c r="X199" i="1"/>
  <c r="U199" i="1"/>
  <c r="R199" i="1"/>
  <c r="AA198" i="1"/>
  <c r="X198" i="1"/>
  <c r="U198" i="1"/>
  <c r="R198" i="1"/>
  <c r="AA197" i="1"/>
  <c r="X197" i="1"/>
  <c r="U197" i="1"/>
  <c r="R197" i="1"/>
  <c r="AA196" i="1"/>
  <c r="X196" i="1"/>
  <c r="U196" i="1"/>
  <c r="R196" i="1"/>
  <c r="AJ195" i="1"/>
  <c r="AA195" i="1"/>
  <c r="X195" i="1"/>
  <c r="U195" i="1"/>
  <c r="R195" i="1"/>
  <c r="AA194" i="1"/>
  <c r="X194" i="1"/>
  <c r="U194" i="1"/>
  <c r="R194" i="1"/>
  <c r="AA193" i="1"/>
  <c r="X193" i="1"/>
  <c r="U193" i="1"/>
  <c r="R193" i="1"/>
  <c r="AA192" i="1"/>
  <c r="X192" i="1"/>
  <c r="U192" i="1"/>
  <c r="R192" i="1"/>
  <c r="AA191" i="1"/>
  <c r="R191" i="1"/>
  <c r="AA190" i="1"/>
  <c r="X190" i="1"/>
  <c r="U190" i="1"/>
  <c r="R190" i="1"/>
  <c r="AA189" i="1"/>
  <c r="X189" i="1"/>
  <c r="U189" i="1"/>
  <c r="R189" i="1"/>
  <c r="AA188" i="1"/>
  <c r="X188" i="1"/>
  <c r="U188" i="1"/>
  <c r="R188" i="1"/>
  <c r="AA187" i="1"/>
  <c r="X187" i="1"/>
  <c r="U187" i="1"/>
  <c r="R187" i="1"/>
  <c r="AA186" i="1"/>
  <c r="X186" i="1"/>
  <c r="U186" i="1"/>
  <c r="R186" i="1"/>
  <c r="AA185" i="1"/>
  <c r="X185" i="1"/>
  <c r="U185" i="1"/>
  <c r="R185" i="1"/>
  <c r="AA184" i="1"/>
  <c r="X184" i="1"/>
  <c r="U184" i="1"/>
  <c r="R184" i="1"/>
  <c r="AA183" i="1"/>
  <c r="X183" i="1"/>
  <c r="U183" i="1"/>
  <c r="R183" i="1"/>
  <c r="AA182" i="1"/>
  <c r="X182" i="1"/>
  <c r="U182" i="1"/>
  <c r="R182" i="1"/>
  <c r="AJ181" i="1"/>
  <c r="AH181" i="1"/>
  <c r="AA181" i="1"/>
  <c r="X181" i="1"/>
  <c r="U181" i="1"/>
  <c r="R181" i="1"/>
  <c r="E181" i="1"/>
  <c r="D181" i="1"/>
  <c r="AJ180" i="1"/>
  <c r="AA180" i="1"/>
  <c r="X180" i="1"/>
  <c r="U180" i="1"/>
  <c r="R180" i="1"/>
  <c r="AA179" i="1"/>
  <c r="X179" i="1"/>
  <c r="U179" i="1"/>
  <c r="R179" i="1"/>
  <c r="AA178" i="1"/>
  <c r="X178" i="1"/>
  <c r="U178" i="1"/>
  <c r="R178" i="1"/>
  <c r="AA177" i="1"/>
  <c r="X177" i="1"/>
  <c r="U177" i="1"/>
  <c r="R177" i="1"/>
  <c r="AA176" i="1"/>
  <c r="X176" i="1"/>
  <c r="U176" i="1"/>
  <c r="R176" i="1"/>
  <c r="AA175" i="1"/>
  <c r="X175" i="1"/>
  <c r="U175" i="1"/>
  <c r="R175" i="1"/>
  <c r="AJ174" i="1"/>
  <c r="AA174" i="1"/>
  <c r="X174" i="1"/>
  <c r="U174" i="1"/>
  <c r="R174" i="1"/>
  <c r="AJ173" i="1"/>
  <c r="AA173" i="1"/>
  <c r="X173" i="1"/>
  <c r="U173" i="1"/>
  <c r="R173" i="1"/>
  <c r="AA172" i="1"/>
  <c r="X172" i="1"/>
  <c r="U172" i="1"/>
  <c r="R172" i="1"/>
  <c r="AA171" i="1"/>
  <c r="X171" i="1"/>
  <c r="U171" i="1"/>
  <c r="R171" i="1"/>
  <c r="AA170" i="1"/>
  <c r="X170" i="1"/>
  <c r="U170" i="1"/>
  <c r="R170" i="1"/>
  <c r="AA169" i="1"/>
  <c r="X169" i="1"/>
  <c r="U169" i="1"/>
  <c r="R169" i="1"/>
  <c r="AA168" i="1"/>
  <c r="X168" i="1"/>
  <c r="U168" i="1"/>
  <c r="R168" i="1"/>
  <c r="AA167" i="1"/>
  <c r="X167" i="1"/>
  <c r="U167" i="1"/>
  <c r="R167" i="1"/>
  <c r="AA166" i="1"/>
  <c r="X166" i="1"/>
  <c r="U166" i="1"/>
  <c r="R166" i="1"/>
  <c r="AA165" i="1"/>
  <c r="X165" i="1"/>
  <c r="U165" i="1"/>
  <c r="R165" i="1"/>
  <c r="AA164" i="1"/>
  <c r="X164" i="1"/>
  <c r="U164" i="1"/>
  <c r="R164" i="1"/>
  <c r="AA163" i="1"/>
  <c r="X163" i="1"/>
  <c r="U163" i="1"/>
  <c r="R163" i="1"/>
  <c r="AA162" i="1"/>
  <c r="X162" i="1"/>
  <c r="U162" i="1"/>
  <c r="R162" i="1"/>
  <c r="AA161" i="1"/>
  <c r="X161" i="1"/>
  <c r="U161" i="1"/>
  <c r="R161" i="1"/>
  <c r="AA160" i="1"/>
  <c r="X160" i="1"/>
  <c r="U160" i="1"/>
  <c r="R160" i="1"/>
  <c r="AA159" i="1"/>
  <c r="X159" i="1"/>
  <c r="U159" i="1"/>
  <c r="R159" i="1"/>
  <c r="AA158" i="1"/>
  <c r="X158" i="1"/>
  <c r="U158" i="1"/>
  <c r="R158" i="1"/>
  <c r="AA157" i="1"/>
  <c r="X157" i="1"/>
  <c r="U157" i="1"/>
  <c r="R157" i="1"/>
  <c r="AA156" i="1"/>
  <c r="X156" i="1"/>
  <c r="U156" i="1"/>
  <c r="R156" i="1"/>
  <c r="AA155" i="1"/>
  <c r="X155" i="1"/>
  <c r="U155" i="1"/>
  <c r="R155" i="1"/>
  <c r="AJ154" i="1"/>
  <c r="AA154" i="1"/>
  <c r="X154" i="1"/>
  <c r="U154" i="1"/>
  <c r="R154" i="1"/>
  <c r="AJ153" i="1"/>
  <c r="AA153" i="1"/>
  <c r="X153" i="1"/>
  <c r="U153" i="1"/>
  <c r="R153" i="1"/>
  <c r="AA152" i="1"/>
  <c r="X152" i="1"/>
  <c r="U152" i="1"/>
  <c r="R152" i="1"/>
  <c r="AJ151" i="1"/>
  <c r="AA151" i="1"/>
  <c r="X151" i="1"/>
  <c r="U151" i="1"/>
  <c r="R151" i="1"/>
  <c r="AA150" i="1"/>
  <c r="X150" i="1"/>
  <c r="U150" i="1"/>
  <c r="R150" i="1"/>
  <c r="AJ149" i="1"/>
  <c r="AA149" i="1"/>
  <c r="X149" i="1"/>
  <c r="U149" i="1"/>
  <c r="R149" i="1"/>
  <c r="AA148" i="1"/>
  <c r="X148" i="1"/>
  <c r="U148" i="1"/>
  <c r="R148" i="1"/>
  <c r="X147" i="1"/>
  <c r="U147" i="1"/>
  <c r="R147" i="1"/>
  <c r="AA146" i="1"/>
  <c r="X146" i="1"/>
  <c r="U146" i="1"/>
  <c r="R146" i="1"/>
  <c r="AF145" i="1"/>
  <c r="AA145" i="1"/>
  <c r="X145" i="1"/>
  <c r="U145" i="1"/>
  <c r="R145" i="1"/>
  <c r="L145" i="1" s="1"/>
  <c r="AA144" i="1"/>
  <c r="X144" i="1"/>
  <c r="U144" i="1"/>
  <c r="R144" i="1"/>
  <c r="AA143" i="1"/>
  <c r="X143" i="1"/>
  <c r="U143" i="1"/>
  <c r="R143" i="1"/>
  <c r="AA142" i="1"/>
  <c r="X142" i="1"/>
  <c r="U142" i="1"/>
  <c r="R142" i="1"/>
  <c r="AA141" i="1"/>
  <c r="X141" i="1"/>
  <c r="U141" i="1"/>
  <c r="R141" i="1"/>
  <c r="AJ140" i="1"/>
  <c r="AA140" i="1"/>
  <c r="X140" i="1"/>
  <c r="U140" i="1"/>
  <c r="R140" i="1"/>
  <c r="AA139" i="1"/>
  <c r="X139" i="1"/>
  <c r="U139" i="1"/>
  <c r="R139" i="1"/>
  <c r="AJ138" i="1"/>
  <c r="AA138" i="1"/>
  <c r="X138" i="1"/>
  <c r="U138" i="1"/>
  <c r="R138" i="1"/>
  <c r="AA137" i="1"/>
  <c r="X137" i="1"/>
  <c r="U137" i="1"/>
  <c r="R137" i="1"/>
  <c r="AA136" i="1"/>
  <c r="X136" i="1"/>
  <c r="U136" i="1"/>
  <c r="R136" i="1"/>
  <c r="AA135" i="1"/>
  <c r="X135" i="1"/>
  <c r="U135" i="1"/>
  <c r="S135" i="1"/>
  <c r="S482" i="1" s="1"/>
  <c r="AA134" i="1"/>
  <c r="X134" i="1"/>
  <c r="U134" i="1"/>
  <c r="AA133" i="1"/>
  <c r="X133" i="1"/>
  <c r="U133" i="1"/>
  <c r="R133" i="1"/>
  <c r="AA132" i="1"/>
  <c r="X132" i="1"/>
  <c r="U132" i="1"/>
  <c r="R132" i="1"/>
  <c r="AJ131" i="1"/>
  <c r="AA131" i="1"/>
  <c r="X131" i="1"/>
  <c r="U131" i="1"/>
  <c r="R131" i="1"/>
  <c r="AA130" i="1"/>
  <c r="X130" i="1"/>
  <c r="U130" i="1"/>
  <c r="R130" i="1"/>
  <c r="AA129" i="1"/>
  <c r="X129" i="1"/>
  <c r="U129" i="1"/>
  <c r="R129" i="1"/>
  <c r="AA128" i="1"/>
  <c r="X128" i="1"/>
  <c r="U128" i="1"/>
  <c r="R128" i="1"/>
  <c r="AA127" i="1"/>
  <c r="X127" i="1"/>
  <c r="U127" i="1"/>
  <c r="R127" i="1"/>
  <c r="AA126" i="1"/>
  <c r="X126" i="1"/>
  <c r="U126" i="1"/>
  <c r="R126" i="1"/>
  <c r="AA125" i="1"/>
  <c r="X125" i="1"/>
  <c r="U125" i="1"/>
  <c r="R125" i="1"/>
  <c r="AA124" i="1"/>
  <c r="X124" i="1"/>
  <c r="U124" i="1"/>
  <c r="R124" i="1"/>
  <c r="AA123" i="1"/>
  <c r="X123" i="1"/>
  <c r="U123" i="1"/>
  <c r="R123" i="1"/>
  <c r="AA122" i="1"/>
  <c r="X122" i="1"/>
  <c r="U122" i="1"/>
  <c r="R122" i="1"/>
  <c r="AA121" i="1"/>
  <c r="X121" i="1"/>
  <c r="U121" i="1"/>
  <c r="R121" i="1"/>
  <c r="AA120" i="1"/>
  <c r="X120" i="1"/>
  <c r="U120" i="1"/>
  <c r="R120" i="1"/>
  <c r="AA119" i="1"/>
  <c r="X119" i="1"/>
  <c r="U119" i="1"/>
  <c r="AJ118" i="1"/>
  <c r="AA118" i="1"/>
  <c r="X118" i="1"/>
  <c r="U118" i="1"/>
  <c r="R118" i="1"/>
  <c r="AA117" i="1"/>
  <c r="X117" i="1"/>
  <c r="U117" i="1"/>
  <c r="R117" i="1"/>
  <c r="AJ116" i="1"/>
  <c r="AA116" i="1"/>
  <c r="X116" i="1"/>
  <c r="U116" i="1"/>
  <c r="R116" i="1"/>
  <c r="AA115" i="1"/>
  <c r="X115" i="1"/>
  <c r="U115" i="1"/>
  <c r="R115" i="1"/>
  <c r="AA114" i="1"/>
  <c r="X114" i="1"/>
  <c r="U114" i="1"/>
  <c r="R114" i="1"/>
  <c r="AA113" i="1"/>
  <c r="X113" i="1"/>
  <c r="U113" i="1"/>
  <c r="R113" i="1"/>
  <c r="AA112" i="1"/>
  <c r="X112" i="1"/>
  <c r="U112" i="1"/>
  <c r="R112" i="1"/>
  <c r="AA111" i="1"/>
  <c r="X111" i="1"/>
  <c r="U111" i="1"/>
  <c r="R111" i="1"/>
  <c r="AA110" i="1"/>
  <c r="X110" i="1"/>
  <c r="U110" i="1"/>
  <c r="R110" i="1"/>
  <c r="AJ109" i="1"/>
  <c r="X109" i="1"/>
  <c r="U109" i="1"/>
  <c r="R109" i="1"/>
  <c r="AA108" i="1"/>
  <c r="X108" i="1"/>
  <c r="U108" i="1"/>
  <c r="R108" i="1"/>
  <c r="X107" i="1"/>
  <c r="U107" i="1"/>
  <c r="R107" i="1"/>
  <c r="AA106" i="1"/>
  <c r="X106" i="1"/>
  <c r="U106" i="1"/>
  <c r="R106" i="1"/>
  <c r="AA105" i="1"/>
  <c r="X105" i="1"/>
  <c r="U105" i="1"/>
  <c r="R105" i="1"/>
  <c r="AA104" i="1"/>
  <c r="X104" i="1"/>
  <c r="U104" i="1"/>
  <c r="R104" i="1"/>
  <c r="AA103" i="1"/>
  <c r="X103" i="1"/>
  <c r="U103" i="1"/>
  <c r="R103" i="1"/>
  <c r="AA102" i="1"/>
  <c r="X102" i="1"/>
  <c r="U102" i="1"/>
  <c r="R102" i="1"/>
  <c r="AA101" i="1"/>
  <c r="X101" i="1"/>
  <c r="U101" i="1"/>
  <c r="R101" i="1"/>
  <c r="Q101" i="1"/>
  <c r="P101" i="1"/>
  <c r="O101" i="1"/>
  <c r="N101" i="1"/>
  <c r="M101" i="1"/>
  <c r="G101" i="1"/>
  <c r="AA100" i="1"/>
  <c r="X100" i="1"/>
  <c r="U100" i="1"/>
  <c r="R100" i="1"/>
  <c r="AA99" i="1"/>
  <c r="X99" i="1"/>
  <c r="U99" i="1"/>
  <c r="R99" i="1"/>
  <c r="AA98" i="1"/>
  <c r="X98" i="1"/>
  <c r="U98" i="1"/>
  <c r="R98" i="1"/>
  <c r="AA97" i="1"/>
  <c r="X97" i="1"/>
  <c r="U97" i="1"/>
  <c r="R97" i="1"/>
  <c r="AA96" i="1"/>
  <c r="X96" i="1"/>
  <c r="U96" i="1"/>
  <c r="R96" i="1"/>
  <c r="AA95" i="1"/>
  <c r="X95" i="1"/>
  <c r="U95" i="1"/>
  <c r="R95" i="1"/>
  <c r="AJ94" i="1"/>
  <c r="AA94" i="1"/>
  <c r="X94" i="1"/>
  <c r="U94" i="1"/>
  <c r="R94" i="1"/>
  <c r="AA93" i="1"/>
  <c r="X93" i="1"/>
  <c r="U93" i="1"/>
  <c r="R93" i="1"/>
  <c r="AJ92" i="1"/>
  <c r="AA92" i="1"/>
  <c r="X92" i="1"/>
  <c r="U92" i="1"/>
  <c r="R92" i="1"/>
  <c r="Q92" i="1"/>
  <c r="P92" i="1"/>
  <c r="D92" i="1"/>
  <c r="AJ91" i="1"/>
  <c r="AA91" i="1"/>
  <c r="X91" i="1"/>
  <c r="U91" i="1"/>
  <c r="R91" i="1"/>
  <c r="D91" i="1"/>
  <c r="AA90" i="1"/>
  <c r="X90" i="1"/>
  <c r="U90" i="1"/>
  <c r="R90" i="1"/>
  <c r="AA89" i="1"/>
  <c r="X89" i="1"/>
  <c r="U89" i="1"/>
  <c r="R89" i="1"/>
  <c r="AA88" i="1"/>
  <c r="X88" i="1"/>
  <c r="U88" i="1"/>
  <c r="R88" i="1"/>
  <c r="AA87" i="1"/>
  <c r="X87" i="1"/>
  <c r="U87" i="1"/>
  <c r="R87" i="1"/>
  <c r="AA86" i="1"/>
  <c r="X86" i="1"/>
  <c r="U86" i="1"/>
  <c r="R86" i="1"/>
  <c r="AA85" i="1"/>
  <c r="X85" i="1"/>
  <c r="U85" i="1"/>
  <c r="R85" i="1"/>
  <c r="AA84" i="1"/>
  <c r="X84" i="1"/>
  <c r="U84" i="1"/>
  <c r="R84" i="1"/>
  <c r="AA83" i="1"/>
  <c r="X83" i="1"/>
  <c r="U83" i="1"/>
  <c r="R83" i="1"/>
  <c r="AA82" i="1"/>
  <c r="X82" i="1"/>
  <c r="U82" i="1"/>
  <c r="R82" i="1"/>
  <c r="N82" i="1"/>
  <c r="M82" i="1"/>
  <c r="E82" i="1"/>
  <c r="D82" i="1"/>
  <c r="AA81" i="1"/>
  <c r="X81" i="1"/>
  <c r="U81" i="1"/>
  <c r="R81" i="1"/>
  <c r="AA80" i="1"/>
  <c r="X80" i="1"/>
  <c r="U80" i="1"/>
  <c r="R80" i="1"/>
  <c r="AA79" i="1"/>
  <c r="X79" i="1"/>
  <c r="U79" i="1"/>
  <c r="R79" i="1"/>
  <c r="AA78" i="1"/>
  <c r="X78" i="1"/>
  <c r="U78" i="1"/>
  <c r="R78" i="1"/>
  <c r="X77" i="1"/>
  <c r="U77" i="1"/>
  <c r="AA76" i="1"/>
  <c r="X76" i="1"/>
  <c r="U76" i="1"/>
  <c r="R76" i="1"/>
  <c r="AA75" i="1"/>
  <c r="X75" i="1"/>
  <c r="U75" i="1"/>
  <c r="R75" i="1"/>
  <c r="AA74" i="1"/>
  <c r="X74" i="1"/>
  <c r="U74" i="1"/>
  <c r="R74" i="1"/>
  <c r="AA73" i="1"/>
  <c r="X73" i="1"/>
  <c r="U73" i="1"/>
  <c r="R73" i="1"/>
  <c r="AA72" i="1"/>
  <c r="X72" i="1"/>
  <c r="U72" i="1"/>
  <c r="R72" i="1"/>
  <c r="X71" i="1"/>
  <c r="U71" i="1"/>
  <c r="R71" i="1"/>
  <c r="AA70" i="1"/>
  <c r="X70" i="1"/>
  <c r="U70" i="1"/>
  <c r="R70" i="1"/>
  <c r="AA69" i="1"/>
  <c r="X69" i="1"/>
  <c r="U69" i="1"/>
  <c r="AA68" i="1"/>
  <c r="X68" i="1"/>
  <c r="U68" i="1"/>
  <c r="R68" i="1"/>
  <c r="AA67" i="1"/>
  <c r="X67" i="1"/>
  <c r="U67" i="1"/>
  <c r="R67" i="1"/>
  <c r="AA66" i="1"/>
  <c r="X66" i="1"/>
  <c r="U66" i="1"/>
  <c r="R66" i="1"/>
  <c r="AJ65" i="1"/>
  <c r="AA65" i="1"/>
  <c r="X65" i="1"/>
  <c r="U65" i="1"/>
  <c r="R65" i="1"/>
  <c r="AJ64" i="1"/>
  <c r="X64" i="1"/>
  <c r="U64" i="1"/>
  <c r="R64" i="1"/>
  <c r="AA63" i="1"/>
  <c r="X63" i="1"/>
  <c r="U63" i="1"/>
  <c r="R63" i="1"/>
  <c r="AA62" i="1"/>
  <c r="X62" i="1"/>
  <c r="U62" i="1"/>
  <c r="R62" i="1"/>
  <c r="AJ61" i="1"/>
  <c r="AI61" i="1"/>
  <c r="AA61" i="1"/>
  <c r="X61" i="1"/>
  <c r="U61" i="1"/>
  <c r="R61" i="1"/>
  <c r="AJ60" i="1"/>
  <c r="AI60" i="1"/>
  <c r="AA60" i="1"/>
  <c r="X60" i="1"/>
  <c r="U60" i="1"/>
  <c r="R60" i="1"/>
  <c r="AJ59" i="1"/>
  <c r="AI59" i="1"/>
  <c r="AA59" i="1"/>
  <c r="X59" i="1"/>
  <c r="U59" i="1"/>
  <c r="R59" i="1"/>
  <c r="AI58" i="1"/>
  <c r="AA58" i="1"/>
  <c r="X58" i="1"/>
  <c r="U58" i="1"/>
  <c r="R58" i="1"/>
  <c r="AJ57" i="1"/>
  <c r="AI57" i="1"/>
  <c r="AA57" i="1"/>
  <c r="X57" i="1"/>
  <c r="U57" i="1"/>
  <c r="R57" i="1"/>
  <c r="AA56" i="1"/>
  <c r="X56" i="1"/>
  <c r="U56" i="1"/>
  <c r="R56" i="1"/>
  <c r="AJ55" i="1"/>
  <c r="AI55" i="1"/>
  <c r="AA55" i="1"/>
  <c r="X55" i="1"/>
  <c r="U55" i="1"/>
  <c r="R55" i="1"/>
  <c r="AA54" i="1"/>
  <c r="X54" i="1"/>
  <c r="U54" i="1"/>
  <c r="R54" i="1"/>
  <c r="AA53" i="1"/>
  <c r="X53" i="1"/>
  <c r="U53" i="1"/>
  <c r="R53" i="1"/>
  <c r="AA52" i="1"/>
  <c r="X52" i="1"/>
  <c r="U52" i="1"/>
  <c r="R52" i="1"/>
  <c r="AA51" i="1"/>
  <c r="X51" i="1"/>
  <c r="U51" i="1"/>
  <c r="R51" i="1"/>
  <c r="AA50" i="1"/>
  <c r="X50" i="1"/>
  <c r="U50" i="1"/>
  <c r="R50" i="1"/>
  <c r="AA49" i="1"/>
  <c r="X49" i="1"/>
  <c r="U49" i="1"/>
  <c r="R49" i="1"/>
  <c r="AF48" i="1"/>
  <c r="AA48" i="1"/>
  <c r="X48" i="1"/>
  <c r="U48" i="1"/>
  <c r="R48" i="1"/>
  <c r="L48" i="1" s="1"/>
  <c r="AJ47" i="1"/>
  <c r="AI47" i="1"/>
  <c r="X47" i="1"/>
  <c r="U47" i="1"/>
  <c r="AA46" i="1"/>
  <c r="X46" i="1"/>
  <c r="U46" i="1"/>
  <c r="R46" i="1"/>
  <c r="AA45" i="1"/>
  <c r="X45" i="1"/>
  <c r="U45" i="1"/>
  <c r="R45" i="1"/>
  <c r="AA44" i="1"/>
  <c r="X44" i="1"/>
  <c r="U44" i="1"/>
  <c r="R44" i="1"/>
  <c r="AJ43" i="1"/>
  <c r="AI43" i="1"/>
  <c r="X43" i="1"/>
  <c r="U43" i="1"/>
  <c r="R43" i="1"/>
  <c r="X42" i="1"/>
  <c r="U42" i="1"/>
  <c r="R42" i="1"/>
  <c r="X41" i="1"/>
  <c r="U41" i="1"/>
  <c r="R41" i="1"/>
  <c r="AA40" i="1"/>
  <c r="X40" i="1"/>
  <c r="U40" i="1"/>
  <c r="R40" i="1"/>
  <c r="X39" i="1"/>
  <c r="U39" i="1"/>
  <c r="R39" i="1"/>
  <c r="O39" i="1"/>
  <c r="N39" i="1"/>
  <c r="M39" i="1"/>
  <c r="H39" i="1"/>
  <c r="X38" i="1"/>
  <c r="U38" i="1"/>
  <c r="R38" i="1"/>
  <c r="X37" i="1"/>
  <c r="U37" i="1"/>
  <c r="R37" i="1"/>
  <c r="AJ36" i="1"/>
  <c r="AI36" i="1"/>
  <c r="X36" i="1"/>
  <c r="U36" i="1"/>
  <c r="R36" i="1"/>
  <c r="AJ35" i="1"/>
  <c r="AI35" i="1"/>
  <c r="X35" i="1"/>
  <c r="U35" i="1"/>
  <c r="R35" i="1"/>
  <c r="AA34" i="1"/>
  <c r="X34" i="1"/>
  <c r="U34" i="1"/>
  <c r="R34" i="1"/>
  <c r="AJ33" i="1"/>
  <c r="X33" i="1"/>
  <c r="U33" i="1"/>
  <c r="R33" i="1"/>
  <c r="X32" i="1"/>
  <c r="U32" i="1"/>
  <c r="R32" i="1"/>
  <c r="X31" i="1"/>
  <c r="U31" i="1"/>
  <c r="R31" i="1"/>
  <c r="AA30" i="1"/>
  <c r="X30" i="1"/>
  <c r="U30" i="1"/>
  <c r="R30" i="1"/>
  <c r="AJ29" i="1"/>
  <c r="AI29" i="1"/>
  <c r="AA29" i="1"/>
  <c r="X29" i="1"/>
  <c r="U29" i="1"/>
  <c r="R29" i="1"/>
  <c r="AA28" i="1"/>
  <c r="X28" i="1"/>
  <c r="U28" i="1"/>
  <c r="R28" i="1"/>
  <c r="AA27" i="1"/>
  <c r="X27" i="1"/>
  <c r="U27" i="1"/>
  <c r="R27" i="1"/>
  <c r="X26" i="1"/>
  <c r="U26" i="1"/>
  <c r="R26" i="1"/>
  <c r="AA25" i="1"/>
  <c r="X25" i="1"/>
  <c r="U25" i="1"/>
  <c r="R25" i="1"/>
  <c r="AA24" i="1"/>
  <c r="X24" i="1"/>
  <c r="U24" i="1"/>
  <c r="R24" i="1"/>
  <c r="AA23" i="1"/>
  <c r="X23" i="1"/>
  <c r="U23" i="1"/>
  <c r="AA22" i="1"/>
  <c r="X22" i="1"/>
  <c r="U22" i="1"/>
  <c r="AA21" i="1"/>
  <c r="X21" i="1"/>
  <c r="U21" i="1"/>
  <c r="R21" i="1"/>
  <c r="AA20" i="1"/>
  <c r="X20" i="1"/>
  <c r="U20" i="1"/>
  <c r="R20" i="1"/>
  <c r="AA19" i="1"/>
  <c r="X19" i="1"/>
  <c r="U19" i="1"/>
  <c r="R19" i="1"/>
  <c r="AA18" i="1"/>
  <c r="X18" i="1"/>
  <c r="U18" i="1"/>
  <c r="R18" i="1"/>
  <c r="AA17" i="1"/>
  <c r="X17" i="1"/>
  <c r="U17" i="1"/>
  <c r="R17" i="1"/>
  <c r="AA16" i="1"/>
  <c r="X16" i="1"/>
  <c r="U16" i="1"/>
  <c r="R16" i="1"/>
  <c r="AA15" i="1"/>
  <c r="X15" i="1"/>
  <c r="U15" i="1"/>
  <c r="R15" i="1"/>
  <c r="AA14" i="1"/>
  <c r="X14" i="1"/>
  <c r="U14" i="1"/>
  <c r="R14" i="1"/>
  <c r="AA13" i="1"/>
  <c r="X13" i="1"/>
  <c r="U13" i="1"/>
  <c r="R13" i="1"/>
  <c r="AA12" i="1"/>
  <c r="X12" i="1"/>
  <c r="U12" i="1"/>
  <c r="R12" i="1"/>
  <c r="AA11" i="1"/>
  <c r="X11" i="1"/>
  <c r="U11" i="1"/>
  <c r="R11" i="1"/>
  <c r="AA10" i="1"/>
  <c r="X10" i="1"/>
  <c r="U10" i="1"/>
  <c r="R10" i="1"/>
  <c r="AA9" i="1"/>
  <c r="X9" i="1"/>
  <c r="U9" i="1"/>
  <c r="R9" i="1"/>
  <c r="AA8" i="1"/>
  <c r="X8" i="1"/>
  <c r="U8" i="1"/>
  <c r="R8" i="1"/>
  <c r="AA7" i="1"/>
  <c r="X7" i="1"/>
  <c r="U7" i="1"/>
  <c r="R7" i="1"/>
  <c r="AA6" i="1"/>
  <c r="X6" i="1"/>
  <c r="U6" i="1"/>
  <c r="R6" i="1"/>
  <c r="AA5" i="1"/>
  <c r="X5" i="1"/>
  <c r="U5" i="1"/>
  <c r="R5" i="1"/>
  <c r="AA4" i="1"/>
  <c r="X4" i="1"/>
  <c r="U4" i="1"/>
  <c r="R4" i="1"/>
  <c r="AI482" i="1" l="1"/>
  <c r="U370" i="1"/>
  <c r="V482" i="1"/>
  <c r="AJ482" i="1"/>
  <c r="AA361" i="1"/>
  <c r="AB482" i="1"/>
  <c r="X482" i="1"/>
  <c r="AD148" i="1"/>
  <c r="AD151" i="1"/>
  <c r="AA482" i="1"/>
  <c r="AM4" i="1"/>
  <c r="AL4" i="1"/>
  <c r="U482" i="1"/>
  <c r="AD41" i="1"/>
  <c r="AF41" i="1" s="1"/>
  <c r="AD31" i="1"/>
  <c r="L31" i="1" s="1"/>
  <c r="AD469" i="1"/>
  <c r="L469" i="1" s="1"/>
  <c r="AD96" i="1"/>
  <c r="AF96" i="1" s="1"/>
  <c r="AD76" i="1"/>
  <c r="AF76" i="1" s="1"/>
  <c r="AD78" i="1"/>
  <c r="AF78" i="1" s="1"/>
  <c r="AD435" i="1"/>
  <c r="AF435" i="1" s="1"/>
  <c r="AD11" i="1"/>
  <c r="AF11" i="1" s="1"/>
  <c r="AD58" i="1"/>
  <c r="AF58" i="1" s="1"/>
  <c r="AD114" i="1"/>
  <c r="AF114" i="1" s="1"/>
  <c r="AD250" i="1"/>
  <c r="AF250" i="1" s="1"/>
  <c r="AD336" i="1"/>
  <c r="AF336" i="1" s="1"/>
  <c r="AD30" i="1"/>
  <c r="AF30" i="1" s="1"/>
  <c r="AD32" i="1"/>
  <c r="L32" i="1" s="1"/>
  <c r="AD55" i="1"/>
  <c r="L55" i="1" s="1"/>
  <c r="AD56" i="1"/>
  <c r="AF56" i="1" s="1"/>
  <c r="AD72" i="1"/>
  <c r="L72" i="1" s="1"/>
  <c r="AD102" i="1"/>
  <c r="AF102" i="1" s="1"/>
  <c r="AD241" i="1"/>
  <c r="AF241" i="1" s="1"/>
  <c r="AD330" i="1"/>
  <c r="AF330" i="1" s="1"/>
  <c r="AD448" i="1"/>
  <c r="L448" i="1" s="1"/>
  <c r="AD77" i="1"/>
  <c r="AF77" i="1" s="1"/>
  <c r="AD350" i="1"/>
  <c r="AF350" i="1" s="1"/>
  <c r="AD439" i="1"/>
  <c r="AF439" i="1" s="1"/>
  <c r="AD5" i="1"/>
  <c r="AF5" i="1" s="1"/>
  <c r="AD259" i="1"/>
  <c r="AF259" i="1" s="1"/>
  <c r="AD365" i="1"/>
  <c r="AF365" i="1" s="1"/>
  <c r="AD369" i="1"/>
  <c r="L369" i="1" s="1"/>
  <c r="AD109" i="1"/>
  <c r="L109" i="1" s="1"/>
  <c r="AD170" i="1"/>
  <c r="L170" i="1" s="1"/>
  <c r="AD195" i="1"/>
  <c r="L195" i="1" s="1"/>
  <c r="AD230" i="1"/>
  <c r="AF230" i="1" s="1"/>
  <c r="AD352" i="1"/>
  <c r="AF352" i="1" s="1"/>
  <c r="AD34" i="1"/>
  <c r="L34" i="1" s="1"/>
  <c r="AD207" i="1"/>
  <c r="L207" i="1" s="1"/>
  <c r="AD262" i="1"/>
  <c r="AF262" i="1" s="1"/>
  <c r="AD300" i="1"/>
  <c r="AF300" i="1" s="1"/>
  <c r="AD326" i="1"/>
  <c r="AF326" i="1" s="1"/>
  <c r="AD397" i="1"/>
  <c r="AF397" i="1" s="1"/>
  <c r="AD464" i="1"/>
  <c r="AF464" i="1" s="1"/>
  <c r="AD480" i="1"/>
  <c r="AF480" i="1" s="1"/>
  <c r="AD135" i="1"/>
  <c r="L135" i="1" s="1"/>
  <c r="AD233" i="1"/>
  <c r="AF233" i="1" s="1"/>
  <c r="AD242" i="1"/>
  <c r="AF242" i="1" s="1"/>
  <c r="AD361" i="1"/>
  <c r="AF361" i="1" s="1"/>
  <c r="AD107" i="1"/>
  <c r="AF107" i="1" s="1"/>
  <c r="AD200" i="1"/>
  <c r="AF200" i="1" s="1"/>
  <c r="AD404" i="1"/>
  <c r="AF404" i="1" s="1"/>
  <c r="AD407" i="1"/>
  <c r="L407" i="1" s="1"/>
  <c r="AD425" i="1"/>
  <c r="AF425" i="1" s="1"/>
  <c r="AD478" i="1"/>
  <c r="AF478" i="1" s="1"/>
  <c r="AD26" i="1"/>
  <c r="L26" i="1" s="1"/>
  <c r="AD49" i="1"/>
  <c r="AF49" i="1" s="1"/>
  <c r="AD69" i="1"/>
  <c r="L69" i="1" s="1"/>
  <c r="AD71" i="1"/>
  <c r="AF71" i="1" s="1"/>
  <c r="AD79" i="1"/>
  <c r="AF79" i="1" s="1"/>
  <c r="AD94" i="1"/>
  <c r="AF94" i="1" s="1"/>
  <c r="AD187" i="1"/>
  <c r="AF187" i="1" s="1"/>
  <c r="AD210" i="1"/>
  <c r="AF210" i="1" s="1"/>
  <c r="AD213" i="1"/>
  <c r="AF213" i="1" s="1"/>
  <c r="AD216" i="1"/>
  <c r="AF216" i="1" s="1"/>
  <c r="AD219" i="1"/>
  <c r="AF219" i="1" s="1"/>
  <c r="AD222" i="1"/>
  <c r="AF222" i="1" s="1"/>
  <c r="AD225" i="1"/>
  <c r="AF225" i="1" s="1"/>
  <c r="AD228" i="1"/>
  <c r="AF228" i="1" s="1"/>
  <c r="AD248" i="1"/>
  <c r="AF248" i="1" s="1"/>
  <c r="AD251" i="1"/>
  <c r="AF251" i="1" s="1"/>
  <c r="AD291" i="1"/>
  <c r="AF291" i="1" s="1"/>
  <c r="AD325" i="1"/>
  <c r="AF325" i="1" s="1"/>
  <c r="R370" i="1"/>
  <c r="AD370" i="1" s="1"/>
  <c r="AD446" i="1"/>
  <c r="AF446" i="1" s="1"/>
  <c r="AD479" i="1"/>
  <c r="AF479" i="1" s="1"/>
  <c r="AD27" i="1"/>
  <c r="AF27" i="1" s="1"/>
  <c r="AD38" i="1"/>
  <c r="L38" i="1" s="1"/>
  <c r="AD43" i="1"/>
  <c r="AF43" i="1" s="1"/>
  <c r="AD50" i="1"/>
  <c r="AF50" i="1" s="1"/>
  <c r="AD90" i="1"/>
  <c r="AF90" i="1" s="1"/>
  <c r="AD112" i="1"/>
  <c r="AF112" i="1" s="1"/>
  <c r="AD115" i="1"/>
  <c r="AF115" i="1" s="1"/>
  <c r="AD119" i="1"/>
  <c r="AF119" i="1" s="1"/>
  <c r="AD122" i="1"/>
  <c r="AD231" i="1"/>
  <c r="AF231" i="1" s="1"/>
  <c r="AD247" i="1"/>
  <c r="AF247" i="1" s="1"/>
  <c r="AD257" i="1"/>
  <c r="AF257" i="1" s="1"/>
  <c r="AD260" i="1"/>
  <c r="AF260" i="1" s="1"/>
  <c r="AD367" i="1"/>
  <c r="L367" i="1" s="1"/>
  <c r="AD375" i="1"/>
  <c r="AF375" i="1" s="1"/>
  <c r="AD377" i="1"/>
  <c r="AF377" i="1" s="1"/>
  <c r="AD422" i="1"/>
  <c r="AF422" i="1" s="1"/>
  <c r="AD445" i="1"/>
  <c r="AF445" i="1" s="1"/>
  <c r="AD455" i="1"/>
  <c r="AF455" i="1" s="1"/>
  <c r="AD460" i="1"/>
  <c r="AF460" i="1" s="1"/>
  <c r="AD17" i="1"/>
  <c r="AF17" i="1" s="1"/>
  <c r="AD37" i="1"/>
  <c r="L37" i="1" s="1"/>
  <c r="AD64" i="1"/>
  <c r="L64" i="1" s="1"/>
  <c r="AD89" i="1"/>
  <c r="AF89" i="1" s="1"/>
  <c r="AD138" i="1"/>
  <c r="L138" i="1" s="1"/>
  <c r="AD147" i="1"/>
  <c r="AF147" i="1" s="1"/>
  <c r="AD164" i="1"/>
  <c r="L164" i="1" s="1"/>
  <c r="AD180" i="1"/>
  <c r="L180" i="1" s="1"/>
  <c r="AD245" i="1"/>
  <c r="AF245" i="1" s="1"/>
  <c r="AD256" i="1"/>
  <c r="AF256" i="1" s="1"/>
  <c r="AD282" i="1"/>
  <c r="AF282" i="1" s="1"/>
  <c r="AD313" i="1"/>
  <c r="AF313" i="1" s="1"/>
  <c r="AD343" i="1"/>
  <c r="AF343" i="1" s="1"/>
  <c r="AD345" i="1"/>
  <c r="AF345" i="1" s="1"/>
  <c r="AD358" i="1"/>
  <c r="AF358" i="1" s="1"/>
  <c r="AD395" i="1"/>
  <c r="AF395" i="1" s="1"/>
  <c r="AD414" i="1"/>
  <c r="L414" i="1" s="1"/>
  <c r="AD429" i="1"/>
  <c r="AF429" i="1" s="1"/>
  <c r="AD452" i="1"/>
  <c r="AF452" i="1" s="1"/>
  <c r="AD10" i="1"/>
  <c r="L10" i="1" s="1"/>
  <c r="AD108" i="1"/>
  <c r="AF108" i="1" s="1"/>
  <c r="AD136" i="1"/>
  <c r="AF136" i="1" s="1"/>
  <c r="AD158" i="1"/>
  <c r="L158" i="1" s="1"/>
  <c r="AD167" i="1"/>
  <c r="AF167" i="1" s="1"/>
  <c r="AD208" i="1"/>
  <c r="AF208" i="1" s="1"/>
  <c r="AD254" i="1"/>
  <c r="AF254" i="1" s="1"/>
  <c r="AD274" i="1"/>
  <c r="AF274" i="1" s="1"/>
  <c r="AD356" i="1"/>
  <c r="AF356" i="1" s="1"/>
  <c r="AD390" i="1"/>
  <c r="L390" i="1" s="1"/>
  <c r="AD411" i="1"/>
  <c r="L411" i="1" s="1"/>
  <c r="AD427" i="1"/>
  <c r="AF427" i="1" s="1"/>
  <c r="AD6" i="1"/>
  <c r="L6" i="1" s="1"/>
  <c r="AD12" i="1"/>
  <c r="L12" i="1" s="1"/>
  <c r="AD86" i="1"/>
  <c r="AF86" i="1" s="1"/>
  <c r="AD88" i="1"/>
  <c r="AF88" i="1" s="1"/>
  <c r="AD116" i="1"/>
  <c r="AF116" i="1" s="1"/>
  <c r="AD120" i="1"/>
  <c r="AF120" i="1" s="1"/>
  <c r="AD126" i="1"/>
  <c r="AF126" i="1" s="1"/>
  <c r="AD129" i="1"/>
  <c r="AF129" i="1" s="1"/>
  <c r="AD273" i="1"/>
  <c r="AF273" i="1" s="1"/>
  <c r="AD299" i="1"/>
  <c r="AF299" i="1" s="1"/>
  <c r="AD306" i="1"/>
  <c r="AF306" i="1" s="1"/>
  <c r="AD308" i="1"/>
  <c r="L308" i="1" s="1"/>
  <c r="AD332" i="1"/>
  <c r="AF332" i="1" s="1"/>
  <c r="AD334" i="1"/>
  <c r="AF334" i="1" s="1"/>
  <c r="AD438" i="1"/>
  <c r="AD451" i="1"/>
  <c r="AF451" i="1" s="1"/>
  <c r="AD472" i="1"/>
  <c r="L472" i="1" s="1"/>
  <c r="AD7" i="1"/>
  <c r="AF7" i="1" s="1"/>
  <c r="AD16" i="1"/>
  <c r="AF16" i="1" s="1"/>
  <c r="AD39" i="1"/>
  <c r="AF39" i="1" s="1"/>
  <c r="AD47" i="1"/>
  <c r="AF47" i="1" s="1"/>
  <c r="AD54" i="1"/>
  <c r="AF54" i="1" s="1"/>
  <c r="AD33" i="1"/>
  <c r="L33" i="1" s="1"/>
  <c r="AD68" i="1"/>
  <c r="AF68" i="1" s="1"/>
  <c r="AD324" i="1"/>
  <c r="AF324" i="1" s="1"/>
  <c r="AD363" i="1"/>
  <c r="AF363" i="1" s="1"/>
  <c r="AD364" i="1"/>
  <c r="AF364" i="1" s="1"/>
  <c r="AD403" i="1"/>
  <c r="L403" i="1" s="1"/>
  <c r="AD286" i="1"/>
  <c r="AF286" i="1" s="1"/>
  <c r="AD244" i="1"/>
  <c r="AF244" i="1" s="1"/>
  <c r="AD20" i="1"/>
  <c r="AF20" i="1" s="1"/>
  <c r="AD25" i="1"/>
  <c r="AF25" i="1" s="1"/>
  <c r="AD149" i="1"/>
  <c r="AF149" i="1" s="1"/>
  <c r="AD177" i="1"/>
  <c r="AF177" i="1" s="1"/>
  <c r="AD253" i="1"/>
  <c r="AF253" i="1" s="1"/>
  <c r="AD354" i="1"/>
  <c r="AF354" i="1" s="1"/>
  <c r="AD389" i="1"/>
  <c r="AF389" i="1" s="1"/>
  <c r="AD467" i="1"/>
  <c r="AF467" i="1" s="1"/>
  <c r="AD85" i="1"/>
  <c r="AF85" i="1" s="1"/>
  <c r="AD161" i="1"/>
  <c r="AF161" i="1" s="1"/>
  <c r="AD176" i="1"/>
  <c r="L176" i="1" s="1"/>
  <c r="AD197" i="1"/>
  <c r="AF197" i="1" s="1"/>
  <c r="AD240" i="1"/>
  <c r="L240" i="1" s="1"/>
  <c r="AD322" i="1"/>
  <c r="L322" i="1" s="1"/>
  <c r="AD442" i="1"/>
  <c r="AF442" i="1" s="1"/>
  <c r="AD453" i="1"/>
  <c r="AF453" i="1" s="1"/>
  <c r="AD133" i="1"/>
  <c r="AD141" i="1"/>
  <c r="L141" i="1" s="1"/>
  <c r="AD153" i="1"/>
  <c r="AF153" i="1" s="1"/>
  <c r="AD186" i="1"/>
  <c r="AD205" i="1"/>
  <c r="L205" i="1" s="1"/>
  <c r="AD316" i="1"/>
  <c r="AF316" i="1" s="1"/>
  <c r="AD333" i="1"/>
  <c r="AF333" i="1" s="1"/>
  <c r="AD338" i="1"/>
  <c r="AF338" i="1" s="1"/>
  <c r="AD344" i="1"/>
  <c r="AF344" i="1" s="1"/>
  <c r="AD347" i="1"/>
  <c r="AF347" i="1" s="1"/>
  <c r="AD349" i="1"/>
  <c r="AD366" i="1"/>
  <c r="AD376" i="1"/>
  <c r="AF376" i="1" s="1"/>
  <c r="AD379" i="1"/>
  <c r="AF379" i="1" s="1"/>
  <c r="AD415" i="1"/>
  <c r="L415" i="1" s="1"/>
  <c r="AD423" i="1"/>
  <c r="AF423" i="1" s="1"/>
  <c r="AD426" i="1"/>
  <c r="AF426" i="1" s="1"/>
  <c r="AD434" i="1"/>
  <c r="AD450" i="1"/>
  <c r="AD457" i="1"/>
  <c r="AF457" i="1" s="1"/>
  <c r="AD473" i="1"/>
  <c r="L473" i="1" s="1"/>
  <c r="AD475" i="1"/>
  <c r="AF475" i="1" s="1"/>
  <c r="AD192" i="1"/>
  <c r="AF192" i="1" s="1"/>
  <c r="AD234" i="1"/>
  <c r="AF234" i="1" s="1"/>
  <c r="AD266" i="1"/>
  <c r="AF266" i="1" s="1"/>
  <c r="AD275" i="1"/>
  <c r="AF275" i="1" s="1"/>
  <c r="AD331" i="1"/>
  <c r="AF331" i="1" s="1"/>
  <c r="AD399" i="1"/>
  <c r="AF399" i="1" s="1"/>
  <c r="AD22" i="1"/>
  <c r="AF22" i="1" s="1"/>
  <c r="AD28" i="1"/>
  <c r="AF28" i="1" s="1"/>
  <c r="AD51" i="1"/>
  <c r="L51" i="1" s="1"/>
  <c r="AD80" i="1"/>
  <c r="AF80" i="1" s="1"/>
  <c r="AD82" i="1"/>
  <c r="AF82" i="1" s="1"/>
  <c r="AD92" i="1"/>
  <c r="L92" i="1" s="1"/>
  <c r="AD18" i="1"/>
  <c r="AF18" i="1" s="1"/>
  <c r="AD19" i="1"/>
  <c r="L19" i="1" s="1"/>
  <c r="AD35" i="1"/>
  <c r="AF35" i="1" s="1"/>
  <c r="AD67" i="1"/>
  <c r="L67" i="1" s="1"/>
  <c r="AD70" i="1"/>
  <c r="AF70" i="1" s="1"/>
  <c r="AD73" i="1"/>
  <c r="AF73" i="1" s="1"/>
  <c r="AD97" i="1"/>
  <c r="AF97" i="1" s="1"/>
  <c r="AD99" i="1"/>
  <c r="AF99" i="1" s="1"/>
  <c r="AD110" i="1"/>
  <c r="AF110" i="1" s="1"/>
  <c r="AD146" i="1"/>
  <c r="AF146" i="1" s="1"/>
  <c r="AD157" i="1"/>
  <c r="AD179" i="1"/>
  <c r="AD235" i="1"/>
  <c r="AF235" i="1" s="1"/>
  <c r="AD238" i="1"/>
  <c r="AF238" i="1" s="1"/>
  <c r="AD335" i="1"/>
  <c r="AF335" i="1" s="1"/>
  <c r="AD391" i="1"/>
  <c r="AF391" i="1" s="1"/>
  <c r="AD396" i="1"/>
  <c r="L396" i="1" s="1"/>
  <c r="AD428" i="1"/>
  <c r="AF428" i="1" s="1"/>
  <c r="AD433" i="1"/>
  <c r="AF433" i="1" s="1"/>
  <c r="AD436" i="1"/>
  <c r="AF436" i="1" s="1"/>
  <c r="AD461" i="1"/>
  <c r="AF461" i="1" s="1"/>
  <c r="AD465" i="1"/>
  <c r="AF465" i="1" s="1"/>
  <c r="AD468" i="1"/>
  <c r="AF468" i="1" s="1"/>
  <c r="AD481" i="1"/>
  <c r="AF481" i="1" s="1"/>
  <c r="AD137" i="1"/>
  <c r="AF137" i="1" s="1"/>
  <c r="AD144" i="1"/>
  <c r="L144" i="1" s="1"/>
  <c r="AD202" i="1"/>
  <c r="AF202" i="1" s="1"/>
  <c r="AD327" i="1"/>
  <c r="AF327" i="1" s="1"/>
  <c r="AD24" i="1"/>
  <c r="L24" i="1" s="1"/>
  <c r="AD44" i="1"/>
  <c r="AF44" i="1" s="1"/>
  <c r="AD8" i="1"/>
  <c r="AF8" i="1" s="1"/>
  <c r="AD40" i="1"/>
  <c r="L40" i="1" s="1"/>
  <c r="AD42" i="1"/>
  <c r="AF42" i="1" s="1"/>
  <c r="AD57" i="1"/>
  <c r="AF57" i="1" s="1"/>
  <c r="AD60" i="1"/>
  <c r="AF60" i="1" s="1"/>
  <c r="AD62" i="1"/>
  <c r="L62" i="1" s="1"/>
  <c r="AD95" i="1"/>
  <c r="L95" i="1" s="1"/>
  <c r="AD103" i="1"/>
  <c r="AF103" i="1" s="1"/>
  <c r="AD105" i="1"/>
  <c r="AF105" i="1" s="1"/>
  <c r="AD113" i="1"/>
  <c r="AF113" i="1" s="1"/>
  <c r="AD124" i="1"/>
  <c r="AF124" i="1" s="1"/>
  <c r="AD125" i="1"/>
  <c r="AF125" i="1" s="1"/>
  <c r="AD139" i="1"/>
  <c r="AF139" i="1" s="1"/>
  <c r="AD155" i="1"/>
  <c r="AF155" i="1" s="1"/>
  <c r="AD271" i="1"/>
  <c r="L271" i="1" s="1"/>
  <c r="AD314" i="1"/>
  <c r="AF314" i="1" s="1"/>
  <c r="AD382" i="1"/>
  <c r="AF382" i="1" s="1"/>
  <c r="AD386" i="1"/>
  <c r="AF386" i="1" s="1"/>
  <c r="AD393" i="1"/>
  <c r="AD398" i="1"/>
  <c r="L398" i="1" s="1"/>
  <c r="AD65" i="1"/>
  <c r="AF65" i="1" s="1"/>
  <c r="AD169" i="1"/>
  <c r="AD183" i="1"/>
  <c r="AF183" i="1" s="1"/>
  <c r="AD190" i="1"/>
  <c r="AF190" i="1" s="1"/>
  <c r="AD209" i="1"/>
  <c r="AF209" i="1" s="1"/>
  <c r="AD237" i="1"/>
  <c r="L237" i="1" s="1"/>
  <c r="AD342" i="1"/>
  <c r="AF342" i="1" s="1"/>
  <c r="AD471" i="1"/>
  <c r="AF471" i="1" s="1"/>
  <c r="AD13" i="1"/>
  <c r="AF13" i="1" s="1"/>
  <c r="AD36" i="1"/>
  <c r="AF36" i="1" s="1"/>
  <c r="AD4" i="1"/>
  <c r="AD14" i="1"/>
  <c r="AF14" i="1" s="1"/>
  <c r="AD23" i="1"/>
  <c r="AF23" i="1" s="1"/>
  <c r="AD29" i="1"/>
  <c r="AF29" i="1" s="1"/>
  <c r="AD45" i="1"/>
  <c r="AF45" i="1" s="1"/>
  <c r="AD52" i="1"/>
  <c r="AF52" i="1" s="1"/>
  <c r="AD59" i="1"/>
  <c r="L59" i="1" s="1"/>
  <c r="AD61" i="1"/>
  <c r="L61" i="1" s="1"/>
  <c r="AD63" i="1"/>
  <c r="AF63" i="1" s="1"/>
  <c r="AD75" i="1"/>
  <c r="L75" i="1" s="1"/>
  <c r="AD81" i="1"/>
  <c r="AF81" i="1" s="1"/>
  <c r="AD83" i="1"/>
  <c r="AF83" i="1" s="1"/>
  <c r="AD91" i="1"/>
  <c r="AF91" i="1" s="1"/>
  <c r="AD101" i="1"/>
  <c r="L101" i="1" s="1"/>
  <c r="AD117" i="1"/>
  <c r="AF117" i="1" s="1"/>
  <c r="AD131" i="1"/>
  <c r="AF131" i="1" s="1"/>
  <c r="AD134" i="1"/>
  <c r="L134" i="1" s="1"/>
  <c r="AD142" i="1"/>
  <c r="AF142" i="1" s="1"/>
  <c r="AF148" i="1"/>
  <c r="AD163" i="1"/>
  <c r="AF163" i="1" s="1"/>
  <c r="AD173" i="1"/>
  <c r="AF173" i="1" s="1"/>
  <c r="AD174" i="1"/>
  <c r="L174" i="1" s="1"/>
  <c r="AD184" i="1"/>
  <c r="AF184" i="1" s="1"/>
  <c r="AD194" i="1"/>
  <c r="AF194" i="1" s="1"/>
  <c r="AD199" i="1"/>
  <c r="AF199" i="1" s="1"/>
  <c r="AD206" i="1"/>
  <c r="AD268" i="1"/>
  <c r="L268" i="1" s="1"/>
  <c r="AD283" i="1"/>
  <c r="AD290" i="1"/>
  <c r="AF290" i="1" s="1"/>
  <c r="AD318" i="1"/>
  <c r="AF318" i="1" s="1"/>
  <c r="AD339" i="1"/>
  <c r="L339" i="1" s="1"/>
  <c r="AD388" i="1"/>
  <c r="AF388" i="1" s="1"/>
  <c r="AD418" i="1"/>
  <c r="L418" i="1" s="1"/>
  <c r="AD420" i="1"/>
  <c r="AF420" i="1" s="1"/>
  <c r="AD456" i="1"/>
  <c r="AF456" i="1" s="1"/>
  <c r="AD458" i="1"/>
  <c r="AF458" i="1" s="1"/>
  <c r="L462" i="1"/>
  <c r="AD474" i="1"/>
  <c r="L474" i="1" s="1"/>
  <c r="AD143" i="1"/>
  <c r="AF143" i="1" s="1"/>
  <c r="AD175" i="1"/>
  <c r="AF175" i="1" s="1"/>
  <c r="AD191" i="1"/>
  <c r="AF191" i="1" s="1"/>
  <c r="AD193" i="1"/>
  <c r="AF193" i="1" s="1"/>
  <c r="AD198" i="1"/>
  <c r="AF198" i="1" s="1"/>
  <c r="AD203" i="1"/>
  <c r="AF203" i="1" s="1"/>
  <c r="AD212" i="1"/>
  <c r="AF212" i="1" s="1"/>
  <c r="AD215" i="1"/>
  <c r="AF215" i="1" s="1"/>
  <c r="AD218" i="1"/>
  <c r="AF218" i="1" s="1"/>
  <c r="AD221" i="1"/>
  <c r="AF221" i="1" s="1"/>
  <c r="AD224" i="1"/>
  <c r="AF224" i="1" s="1"/>
  <c r="AD227" i="1"/>
  <c r="AF227" i="1" s="1"/>
  <c r="AD303" i="1"/>
  <c r="AF303" i="1" s="1"/>
  <c r="AD321" i="1"/>
  <c r="AF321" i="1" s="1"/>
  <c r="AD368" i="1"/>
  <c r="AF368" i="1" s="1"/>
  <c r="AD159" i="1"/>
  <c r="AF159" i="1" s="1"/>
  <c r="AD160" i="1"/>
  <c r="AD165" i="1"/>
  <c r="AF165" i="1" s="1"/>
  <c r="AD166" i="1"/>
  <c r="AD171" i="1"/>
  <c r="AF171" i="1" s="1"/>
  <c r="AD172" i="1"/>
  <c r="AD269" i="1"/>
  <c r="AF269" i="1" s="1"/>
  <c r="AD270" i="1"/>
  <c r="AF270" i="1" s="1"/>
  <c r="AD431" i="1"/>
  <c r="AF431" i="1" s="1"/>
  <c r="AD121" i="1"/>
  <c r="AF121" i="1" s="1"/>
  <c r="AD211" i="1"/>
  <c r="AF211" i="1" s="1"/>
  <c r="AD214" i="1"/>
  <c r="AF214" i="1" s="1"/>
  <c r="AD217" i="1"/>
  <c r="AF217" i="1" s="1"/>
  <c r="AD220" i="1"/>
  <c r="AF220" i="1" s="1"/>
  <c r="AD223" i="1"/>
  <c r="AF223" i="1" s="1"/>
  <c r="AD226" i="1"/>
  <c r="AF226" i="1" s="1"/>
  <c r="AD87" i="1"/>
  <c r="AD100" i="1"/>
  <c r="AD106" i="1"/>
  <c r="AD118" i="1"/>
  <c r="AD130" i="1"/>
  <c r="AD150" i="1"/>
  <c r="AF150" i="1" s="1"/>
  <c r="AD152" i="1"/>
  <c r="AD156" i="1"/>
  <c r="AD178" i="1"/>
  <c r="AF178" i="1" s="1"/>
  <c r="AD181" i="1"/>
  <c r="AF181" i="1" s="1"/>
  <c r="AD185" i="1"/>
  <c r="AF185" i="1" s="1"/>
  <c r="AF264" i="1"/>
  <c r="L264" i="1"/>
  <c r="AD9" i="1"/>
  <c r="AF9" i="1" s="1"/>
  <c r="AD15" i="1"/>
  <c r="AF15" i="1" s="1"/>
  <c r="AD21" i="1"/>
  <c r="AF21" i="1" s="1"/>
  <c r="AD46" i="1"/>
  <c r="AF46" i="1" s="1"/>
  <c r="AD53" i="1"/>
  <c r="AF53" i="1" s="1"/>
  <c r="AD66" i="1"/>
  <c r="AF66" i="1" s="1"/>
  <c r="AD74" i="1"/>
  <c r="AF74" i="1" s="1"/>
  <c r="AD84" i="1"/>
  <c r="AF84" i="1" s="1"/>
  <c r="AD93" i="1"/>
  <c r="AD111" i="1"/>
  <c r="AD123" i="1"/>
  <c r="AF123" i="1" s="1"/>
  <c r="AD132" i="1"/>
  <c r="AF132" i="1" s="1"/>
  <c r="AD140" i="1"/>
  <c r="AF140" i="1" s="1"/>
  <c r="AD154" i="1"/>
  <c r="AF154" i="1" s="1"/>
  <c r="AD162" i="1"/>
  <c r="AF162" i="1" s="1"/>
  <c r="AD168" i="1"/>
  <c r="AF168" i="1" s="1"/>
  <c r="AD289" i="1"/>
  <c r="AF289" i="1" s="1"/>
  <c r="AD328" i="1"/>
  <c r="AF328" i="1" s="1"/>
  <c r="AD329" i="1"/>
  <c r="AF329" i="1" s="1"/>
  <c r="AD98" i="1"/>
  <c r="AD104" i="1"/>
  <c r="AD127" i="1"/>
  <c r="AF127" i="1" s="1"/>
  <c r="AD128" i="1"/>
  <c r="AD189" i="1"/>
  <c r="AD196" i="1"/>
  <c r="AD272" i="1"/>
  <c r="AF272" i="1" s="1"/>
  <c r="AD182" i="1"/>
  <c r="AF182" i="1" s="1"/>
  <c r="AD188" i="1"/>
  <c r="AF188" i="1" s="1"/>
  <c r="AD201" i="1"/>
  <c r="AF201" i="1" s="1"/>
  <c r="AD204" i="1"/>
  <c r="AD319" i="1"/>
  <c r="AF319" i="1" s="1"/>
  <c r="AD320" i="1"/>
  <c r="AF320" i="1" s="1"/>
  <c r="AD410" i="1"/>
  <c r="AF410" i="1" s="1"/>
  <c r="AD229" i="1"/>
  <c r="AD232" i="1"/>
  <c r="AD243" i="1"/>
  <c r="AD246" i="1"/>
  <c r="AD249" i="1"/>
  <c r="AD252" i="1"/>
  <c r="AD255" i="1"/>
  <c r="AD258" i="1"/>
  <c r="AD261" i="1"/>
  <c r="AD263" i="1"/>
  <c r="AD278" i="1"/>
  <c r="AF278" i="1" s="1"/>
  <c r="AD294" i="1"/>
  <c r="AF294" i="1" s="1"/>
  <c r="AD307" i="1"/>
  <c r="AD311" i="1"/>
  <c r="AF311" i="1" s="1"/>
  <c r="AD312" i="1"/>
  <c r="AF312" i="1" s="1"/>
  <c r="AD341" i="1"/>
  <c r="AF341" i="1" s="1"/>
  <c r="AD362" i="1"/>
  <c r="AF362" i="1" s="1"/>
  <c r="AD392" i="1"/>
  <c r="AF392" i="1" s="1"/>
  <c r="AD236" i="1"/>
  <c r="AF236" i="1" s="1"/>
  <c r="AD239" i="1"/>
  <c r="AF239" i="1" s="1"/>
  <c r="AD281" i="1"/>
  <c r="AF281" i="1" s="1"/>
  <c r="AD310" i="1"/>
  <c r="AF310" i="1" s="1"/>
  <c r="AD265" i="1"/>
  <c r="AD277" i="1"/>
  <c r="AF277" i="1" s="1"/>
  <c r="AD292" i="1"/>
  <c r="AF292" i="1" s="1"/>
  <c r="AD297" i="1"/>
  <c r="AF297" i="1" s="1"/>
  <c r="AD315" i="1"/>
  <c r="AF315" i="1" s="1"/>
  <c r="AD323" i="1"/>
  <c r="AF323" i="1" s="1"/>
  <c r="AD380" i="1"/>
  <c r="AF380" i="1" s="1"/>
  <c r="AD383" i="1"/>
  <c r="AF383" i="1" s="1"/>
  <c r="AD385" i="1"/>
  <c r="AF385" i="1" s="1"/>
  <c r="AF406" i="1"/>
  <c r="L406" i="1"/>
  <c r="AD276" i="1"/>
  <c r="AF276" i="1" s="1"/>
  <c r="AD304" i="1"/>
  <c r="AF304" i="1" s="1"/>
  <c r="AD305" i="1"/>
  <c r="AF305" i="1" s="1"/>
  <c r="AD348" i="1"/>
  <c r="AF348" i="1" s="1"/>
  <c r="AD279" i="1"/>
  <c r="AD295" i="1"/>
  <c r="AD298" i="1"/>
  <c r="AD301" i="1"/>
  <c r="AD340" i="1"/>
  <c r="AF340" i="1" s="1"/>
  <c r="AD360" i="1"/>
  <c r="AF360" i="1" s="1"/>
  <c r="AD372" i="1"/>
  <c r="AF372" i="1" s="1"/>
  <c r="AD384" i="1"/>
  <c r="AF384" i="1" s="1"/>
  <c r="L387" i="1"/>
  <c r="AD400" i="1"/>
  <c r="AF400" i="1" s="1"/>
  <c r="AD402" i="1"/>
  <c r="AF402" i="1" s="1"/>
  <c r="AD430" i="1"/>
  <c r="AF430" i="1" s="1"/>
  <c r="AD284" i="1"/>
  <c r="AF284" i="1" s="1"/>
  <c r="AD287" i="1"/>
  <c r="AF287" i="1" s="1"/>
  <c r="AD374" i="1"/>
  <c r="AF374" i="1" s="1"/>
  <c r="AD394" i="1"/>
  <c r="AF394" i="1" s="1"/>
  <c r="AD424" i="1"/>
  <c r="AF424" i="1" s="1"/>
  <c r="AD441" i="1"/>
  <c r="AF441" i="1" s="1"/>
  <c r="AD449" i="1"/>
  <c r="AF449" i="1" s="1"/>
  <c r="AD459" i="1"/>
  <c r="AF459" i="1" s="1"/>
  <c r="AD477" i="1"/>
  <c r="AF477" i="1" s="1"/>
  <c r="AD267" i="1"/>
  <c r="AD280" i="1"/>
  <c r="AD293" i="1"/>
  <c r="AD296" i="1"/>
  <c r="AD302" i="1"/>
  <c r="AD309" i="1"/>
  <c r="AF371" i="1"/>
  <c r="L371" i="1"/>
  <c r="AD463" i="1"/>
  <c r="AF463" i="1" s="1"/>
  <c r="L470" i="1"/>
  <c r="AF470" i="1"/>
  <c r="AD285" i="1"/>
  <c r="AD288" i="1"/>
  <c r="AD317" i="1"/>
  <c r="AD337" i="1"/>
  <c r="AD346" i="1"/>
  <c r="AF346" i="1" s="1"/>
  <c r="AD359" i="1"/>
  <c r="AF359" i="1" s="1"/>
  <c r="AD373" i="1"/>
  <c r="AD378" i="1"/>
  <c r="AF378" i="1" s="1"/>
  <c r="L381" i="1"/>
  <c r="AD401" i="1"/>
  <c r="AD421" i="1"/>
  <c r="AD437" i="1"/>
  <c r="AD476" i="1"/>
  <c r="AF476" i="1" s="1"/>
  <c r="AD353" i="1"/>
  <c r="AD357" i="1"/>
  <c r="AD408" i="1"/>
  <c r="AD413" i="1"/>
  <c r="AF413" i="1" s="1"/>
  <c r="AD417" i="1"/>
  <c r="AD443" i="1"/>
  <c r="AD416" i="1"/>
  <c r="AF416" i="1" s="1"/>
  <c r="AD454" i="1"/>
  <c r="AF454" i="1" s="1"/>
  <c r="AD440" i="1"/>
  <c r="AF440" i="1" s="1"/>
  <c r="AD466" i="1"/>
  <c r="AF466" i="1" s="1"/>
  <c r="AD351" i="1"/>
  <c r="AD355" i="1"/>
  <c r="AD405" i="1"/>
  <c r="AF405" i="1" s="1"/>
  <c r="AD409" i="1"/>
  <c r="AF409" i="1" s="1"/>
  <c r="AD412" i="1"/>
  <c r="AF412" i="1" s="1"/>
  <c r="AD419" i="1"/>
  <c r="AD444" i="1"/>
  <c r="AD447" i="1"/>
  <c r="AF447" i="1" s="1"/>
  <c r="AM5" i="1"/>
  <c r="AM6" i="1"/>
  <c r="AM7" i="1"/>
  <c r="AM8" i="1"/>
  <c r="AM9" i="1"/>
  <c r="AM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1" i="1"/>
  <c r="AM112" i="1"/>
  <c r="AM113" i="1"/>
  <c r="AM114" i="1"/>
  <c r="AM115" i="1"/>
  <c r="AM116" i="1"/>
  <c r="AM117" i="1"/>
  <c r="AM118" i="1"/>
  <c r="AM119" i="1"/>
  <c r="AM120" i="1"/>
  <c r="AM121" i="1"/>
  <c r="AM122" i="1"/>
  <c r="AM123" i="1"/>
  <c r="AM124" i="1"/>
  <c r="AM125" i="1"/>
  <c r="AM126" i="1"/>
  <c r="AM127" i="1"/>
  <c r="AM128" i="1"/>
  <c r="AM129" i="1"/>
  <c r="AM130" i="1"/>
  <c r="AM131" i="1"/>
  <c r="AM132" i="1"/>
  <c r="AM133" i="1"/>
  <c r="AM134" i="1"/>
  <c r="AM135" i="1"/>
  <c r="AM136" i="1"/>
  <c r="AM137" i="1"/>
  <c r="AM138" i="1"/>
  <c r="AM139" i="1"/>
  <c r="AM140" i="1"/>
  <c r="AM141" i="1"/>
  <c r="AM142" i="1"/>
  <c r="AM143" i="1"/>
  <c r="AM144" i="1"/>
  <c r="AM145" i="1"/>
  <c r="AM146" i="1"/>
  <c r="AM147" i="1"/>
  <c r="AM148" i="1"/>
  <c r="AM149" i="1"/>
  <c r="AM150" i="1"/>
  <c r="AM151" i="1"/>
  <c r="AM152" i="1"/>
  <c r="AM153" i="1"/>
  <c r="AM154" i="1"/>
  <c r="AM155" i="1"/>
  <c r="AM156" i="1"/>
  <c r="AM157" i="1"/>
  <c r="AM158" i="1"/>
  <c r="AM159" i="1"/>
  <c r="AM160" i="1"/>
  <c r="AM161" i="1"/>
  <c r="AM162" i="1"/>
  <c r="AM163" i="1"/>
  <c r="AM164" i="1"/>
  <c r="AM165" i="1"/>
  <c r="AM166" i="1"/>
  <c r="AM167" i="1"/>
  <c r="AM168" i="1"/>
  <c r="AM169" i="1"/>
  <c r="AM170" i="1"/>
  <c r="AM171" i="1"/>
  <c r="AM172" i="1"/>
  <c r="AM173" i="1"/>
  <c r="AM174" i="1"/>
  <c r="AM175" i="1"/>
  <c r="AM176" i="1"/>
  <c r="AM177" i="1"/>
  <c r="AM178" i="1"/>
  <c r="AM179" i="1"/>
  <c r="AM180" i="1"/>
  <c r="AM181" i="1"/>
  <c r="AM182" i="1"/>
  <c r="AM183" i="1"/>
  <c r="AM184" i="1"/>
  <c r="AM185" i="1"/>
  <c r="AM186" i="1"/>
  <c r="AM187" i="1"/>
  <c r="AM188" i="1"/>
  <c r="AM189" i="1"/>
  <c r="AM190" i="1"/>
  <c r="AM191" i="1"/>
  <c r="AM192" i="1"/>
  <c r="AM193" i="1"/>
  <c r="AM194" i="1"/>
  <c r="AM195" i="1"/>
  <c r="AM196" i="1"/>
  <c r="AM197" i="1"/>
  <c r="AM198" i="1"/>
  <c r="AM199" i="1"/>
  <c r="AM200" i="1"/>
  <c r="AM201" i="1"/>
  <c r="AM202" i="1"/>
  <c r="AM203" i="1"/>
  <c r="AM204" i="1"/>
  <c r="AM205" i="1"/>
  <c r="AM206" i="1"/>
  <c r="AM207" i="1"/>
  <c r="AM208" i="1"/>
  <c r="AM209" i="1"/>
  <c r="AM210" i="1"/>
  <c r="AM211" i="1"/>
  <c r="AM212" i="1"/>
  <c r="AM213" i="1"/>
  <c r="AM214" i="1"/>
  <c r="AM215" i="1"/>
  <c r="AM216" i="1"/>
  <c r="AM217" i="1"/>
  <c r="AM218" i="1"/>
  <c r="AM219" i="1"/>
  <c r="AM220" i="1"/>
  <c r="AM221" i="1"/>
  <c r="AM222" i="1"/>
  <c r="AM223" i="1"/>
  <c r="AM224" i="1"/>
  <c r="AM225" i="1"/>
  <c r="AM226" i="1"/>
  <c r="AM227" i="1"/>
  <c r="AM228" i="1"/>
  <c r="AM229" i="1"/>
  <c r="AM230" i="1"/>
  <c r="AM231" i="1"/>
  <c r="AM232" i="1"/>
  <c r="AM233" i="1"/>
  <c r="AM234" i="1"/>
  <c r="AM235" i="1"/>
  <c r="AM236" i="1"/>
  <c r="AM237" i="1"/>
  <c r="AM238" i="1"/>
  <c r="AM239" i="1"/>
  <c r="AM240" i="1"/>
  <c r="AM241" i="1"/>
  <c r="AM242" i="1"/>
  <c r="AM243" i="1"/>
  <c r="AM244" i="1"/>
  <c r="AM245" i="1"/>
  <c r="AM246" i="1"/>
  <c r="AM247" i="1"/>
  <c r="AM248" i="1"/>
  <c r="AM249" i="1"/>
  <c r="AM250" i="1"/>
  <c r="AM251" i="1"/>
  <c r="AM252" i="1"/>
  <c r="AM253" i="1"/>
  <c r="AM254" i="1"/>
  <c r="AM255" i="1"/>
  <c r="AM256" i="1"/>
  <c r="AM257" i="1"/>
  <c r="AM258" i="1"/>
  <c r="AM259" i="1"/>
  <c r="AM260" i="1"/>
  <c r="AM261" i="1"/>
  <c r="AM262" i="1"/>
  <c r="AM263" i="1"/>
  <c r="AM264" i="1"/>
  <c r="AM265" i="1"/>
  <c r="AM266" i="1"/>
  <c r="AM267" i="1"/>
  <c r="AM268" i="1"/>
  <c r="AM269" i="1"/>
  <c r="AM270" i="1"/>
  <c r="AM271" i="1"/>
  <c r="AM272" i="1"/>
  <c r="AM273" i="1"/>
  <c r="AM274" i="1"/>
  <c r="AM275" i="1"/>
  <c r="AM276" i="1"/>
  <c r="AM277" i="1"/>
  <c r="AM278" i="1"/>
  <c r="AM279" i="1"/>
  <c r="AM280" i="1"/>
  <c r="AM281" i="1"/>
  <c r="AM282" i="1"/>
  <c r="AM283" i="1"/>
  <c r="AM284" i="1"/>
  <c r="AM285" i="1"/>
  <c r="AM286" i="1"/>
  <c r="AM287" i="1"/>
  <c r="AM288" i="1"/>
  <c r="AM289" i="1"/>
  <c r="AM290" i="1"/>
  <c r="AM291" i="1"/>
  <c r="AM292" i="1"/>
  <c r="AM293" i="1"/>
  <c r="AM294" i="1"/>
  <c r="AM295" i="1"/>
  <c r="AM296" i="1"/>
  <c r="AM297" i="1"/>
  <c r="AM298" i="1"/>
  <c r="AM299" i="1"/>
  <c r="AM300" i="1"/>
  <c r="AM301" i="1"/>
  <c r="AM302" i="1"/>
  <c r="AM303" i="1"/>
  <c r="AM304" i="1"/>
  <c r="AM305" i="1"/>
  <c r="AM306" i="1"/>
  <c r="AM307" i="1"/>
  <c r="AM308" i="1"/>
  <c r="AM309" i="1"/>
  <c r="AM310" i="1"/>
  <c r="AM311" i="1"/>
  <c r="AM312" i="1"/>
  <c r="AM313" i="1"/>
  <c r="AM314" i="1"/>
  <c r="AM315" i="1"/>
  <c r="AM316" i="1"/>
  <c r="AM317" i="1"/>
  <c r="AM318" i="1"/>
  <c r="AM319" i="1"/>
  <c r="AM320" i="1"/>
  <c r="AM321" i="1"/>
  <c r="AM322" i="1"/>
  <c r="AM323" i="1"/>
  <c r="AM324" i="1"/>
  <c r="AM325" i="1"/>
  <c r="AM326" i="1"/>
  <c r="AM327" i="1"/>
  <c r="AM328" i="1"/>
  <c r="AM329" i="1"/>
  <c r="AM330" i="1"/>
  <c r="AM331" i="1"/>
  <c r="AM332" i="1"/>
  <c r="AM333" i="1"/>
  <c r="AM334" i="1"/>
  <c r="AM335" i="1"/>
  <c r="AM336" i="1"/>
  <c r="AM337" i="1"/>
  <c r="AM338" i="1"/>
  <c r="AM339" i="1"/>
  <c r="AM340" i="1"/>
  <c r="AM341" i="1"/>
  <c r="AM342" i="1"/>
  <c r="AM343" i="1"/>
  <c r="AM344" i="1"/>
  <c r="AM345" i="1"/>
  <c r="AM346" i="1"/>
  <c r="AM347" i="1"/>
  <c r="AM348" i="1"/>
  <c r="AM349" i="1"/>
  <c r="AM350" i="1"/>
  <c r="AM351" i="1"/>
  <c r="AM352" i="1"/>
  <c r="AM353" i="1"/>
  <c r="AM354" i="1"/>
  <c r="AM355" i="1"/>
  <c r="AM356" i="1"/>
  <c r="AM357" i="1"/>
  <c r="AM358" i="1"/>
  <c r="AM359" i="1"/>
  <c r="AM360" i="1"/>
  <c r="AM361" i="1"/>
  <c r="AM362" i="1"/>
  <c r="AM363" i="1"/>
  <c r="AM364" i="1"/>
  <c r="AM365" i="1"/>
  <c r="AM366" i="1"/>
  <c r="AM367" i="1"/>
  <c r="AM368" i="1"/>
  <c r="AM369" i="1"/>
  <c r="AM371" i="1"/>
  <c r="AM372" i="1"/>
  <c r="AM373" i="1"/>
  <c r="AM374" i="1"/>
  <c r="AM375" i="1"/>
  <c r="AM376" i="1"/>
  <c r="AM377" i="1"/>
  <c r="AM378" i="1"/>
  <c r="AM379" i="1"/>
  <c r="AM380" i="1"/>
  <c r="AM381" i="1"/>
  <c r="AM382" i="1"/>
  <c r="AM383" i="1"/>
  <c r="AM384" i="1"/>
  <c r="AM385" i="1"/>
  <c r="AM386" i="1"/>
  <c r="AM387" i="1"/>
  <c r="AM388" i="1"/>
  <c r="AM389" i="1"/>
  <c r="AM390" i="1"/>
  <c r="AM391" i="1"/>
  <c r="AM392" i="1"/>
  <c r="AM393" i="1"/>
  <c r="AM394" i="1"/>
  <c r="AM395" i="1"/>
  <c r="AM396" i="1"/>
  <c r="AM397" i="1"/>
  <c r="AM398" i="1"/>
  <c r="AM399" i="1"/>
  <c r="AM400" i="1"/>
  <c r="AM401" i="1"/>
  <c r="AM402" i="1"/>
  <c r="AM403" i="1"/>
  <c r="AM404" i="1"/>
  <c r="AM405" i="1"/>
  <c r="AM406" i="1"/>
  <c r="AM407" i="1"/>
  <c r="AM408" i="1"/>
  <c r="AM409" i="1"/>
  <c r="AM410" i="1"/>
  <c r="AM411" i="1"/>
  <c r="AM412" i="1"/>
  <c r="AM413" i="1"/>
  <c r="AM414" i="1"/>
  <c r="AM415" i="1"/>
  <c r="AM416" i="1"/>
  <c r="AM417" i="1"/>
  <c r="AM418" i="1"/>
  <c r="AM419" i="1"/>
  <c r="AM420" i="1"/>
  <c r="AM421" i="1"/>
  <c r="AM422" i="1"/>
  <c r="AM423" i="1"/>
  <c r="AM424" i="1"/>
  <c r="AM425" i="1"/>
  <c r="AM426" i="1"/>
  <c r="AM427" i="1"/>
  <c r="AM428" i="1"/>
  <c r="AM429" i="1"/>
  <c r="AM430" i="1"/>
  <c r="AM431" i="1"/>
  <c r="AM432" i="1"/>
  <c r="AM433" i="1"/>
  <c r="AM434" i="1"/>
  <c r="AM435" i="1"/>
  <c r="AM436" i="1"/>
  <c r="AM437" i="1"/>
  <c r="AM438" i="1"/>
  <c r="AM439" i="1"/>
  <c r="AM440" i="1"/>
  <c r="AM441" i="1"/>
  <c r="AM444" i="1"/>
  <c r="AM445" i="1"/>
  <c r="AM446" i="1"/>
  <c r="AM447" i="1"/>
  <c r="AM448" i="1"/>
  <c r="AM449" i="1"/>
  <c r="AM450" i="1"/>
  <c r="AM451" i="1"/>
  <c r="AM452" i="1"/>
  <c r="AM453" i="1"/>
  <c r="AM454" i="1"/>
  <c r="AM455" i="1"/>
  <c r="AM456" i="1"/>
  <c r="AM457" i="1"/>
  <c r="AM458" i="1"/>
  <c r="AM459" i="1"/>
  <c r="AM460" i="1"/>
  <c r="AM461" i="1"/>
  <c r="AM462" i="1"/>
  <c r="AM463" i="1"/>
  <c r="AM464" i="1"/>
  <c r="AM465" i="1"/>
  <c r="AM466" i="1"/>
  <c r="AM467" i="1"/>
  <c r="AM468" i="1"/>
  <c r="AM469" i="1"/>
  <c r="AM470" i="1"/>
  <c r="AM471" i="1"/>
  <c r="AM472" i="1"/>
  <c r="AM473" i="1"/>
  <c r="AM474" i="1"/>
  <c r="AM475" i="1"/>
  <c r="AM476" i="1"/>
  <c r="AM477" i="1"/>
  <c r="AM478" i="1"/>
  <c r="AM480" i="1"/>
  <c r="AM481" i="1"/>
  <c r="AK5" i="1"/>
  <c r="AL5" i="1"/>
  <c r="AK6" i="1"/>
  <c r="AL6" i="1"/>
  <c r="AK7" i="1"/>
  <c r="AL7" i="1"/>
  <c r="AK8" i="1"/>
  <c r="AL8" i="1"/>
  <c r="AK9" i="1"/>
  <c r="AL9" i="1"/>
  <c r="AK10" i="1"/>
  <c r="AL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K110" i="1"/>
  <c r="AL110" i="1"/>
  <c r="AK111" i="1"/>
  <c r="AL111" i="1"/>
  <c r="AK112" i="1"/>
  <c r="AL112" i="1"/>
  <c r="AK113" i="1"/>
  <c r="AL113" i="1"/>
  <c r="AK114" i="1"/>
  <c r="AL114" i="1"/>
  <c r="AK115" i="1"/>
  <c r="AL115" i="1"/>
  <c r="AK116" i="1"/>
  <c r="AL116" i="1"/>
  <c r="AK117" i="1"/>
  <c r="AL117" i="1"/>
  <c r="AK118" i="1"/>
  <c r="AL118" i="1"/>
  <c r="AK119" i="1"/>
  <c r="AL119" i="1"/>
  <c r="AK120" i="1"/>
  <c r="AL120" i="1"/>
  <c r="AK121" i="1"/>
  <c r="AL121" i="1"/>
  <c r="AK122" i="1"/>
  <c r="AL122" i="1"/>
  <c r="AK123" i="1"/>
  <c r="AL123" i="1"/>
  <c r="AK124" i="1"/>
  <c r="AL124" i="1"/>
  <c r="AK125" i="1"/>
  <c r="AL125" i="1"/>
  <c r="AK126" i="1"/>
  <c r="AL126" i="1"/>
  <c r="AK127" i="1"/>
  <c r="AL127" i="1"/>
  <c r="AK128" i="1"/>
  <c r="AL128" i="1"/>
  <c r="AK129" i="1"/>
  <c r="AL129" i="1"/>
  <c r="AK130" i="1"/>
  <c r="AL130" i="1"/>
  <c r="AK131" i="1"/>
  <c r="AL131" i="1"/>
  <c r="AK132" i="1"/>
  <c r="AL132" i="1"/>
  <c r="AK133" i="1"/>
  <c r="AL133" i="1"/>
  <c r="AK134" i="1"/>
  <c r="AL134" i="1"/>
  <c r="AK135" i="1"/>
  <c r="AL135" i="1"/>
  <c r="AK136" i="1"/>
  <c r="AL136" i="1"/>
  <c r="AK137" i="1"/>
  <c r="AL137" i="1"/>
  <c r="AK138" i="1"/>
  <c r="AL138" i="1"/>
  <c r="AK139" i="1"/>
  <c r="AL139" i="1"/>
  <c r="AK140" i="1"/>
  <c r="AL140" i="1"/>
  <c r="AK141" i="1"/>
  <c r="AL141" i="1"/>
  <c r="AK142" i="1"/>
  <c r="AL142" i="1"/>
  <c r="AK143" i="1"/>
  <c r="AL143" i="1"/>
  <c r="AK144" i="1"/>
  <c r="AL144" i="1"/>
  <c r="AK145" i="1"/>
  <c r="AL145" i="1"/>
  <c r="AK146" i="1"/>
  <c r="AL146" i="1"/>
  <c r="AK147" i="1"/>
  <c r="AL147" i="1"/>
  <c r="AK148" i="1"/>
  <c r="AL148" i="1"/>
  <c r="AK149" i="1"/>
  <c r="AL149" i="1"/>
  <c r="AK150" i="1"/>
  <c r="AL150" i="1"/>
  <c r="AK151" i="1"/>
  <c r="AL151" i="1"/>
  <c r="AK152" i="1"/>
  <c r="AL152" i="1"/>
  <c r="AK153" i="1"/>
  <c r="AL153" i="1"/>
  <c r="AK154" i="1"/>
  <c r="AL154" i="1"/>
  <c r="AK155" i="1"/>
  <c r="AL155" i="1"/>
  <c r="AK156" i="1"/>
  <c r="AL156" i="1"/>
  <c r="AK157" i="1"/>
  <c r="AL157" i="1"/>
  <c r="AK158" i="1"/>
  <c r="AL158" i="1"/>
  <c r="AK159" i="1"/>
  <c r="AL159" i="1"/>
  <c r="AK160" i="1"/>
  <c r="AL160" i="1"/>
  <c r="AK161" i="1"/>
  <c r="AL161" i="1"/>
  <c r="AK162" i="1"/>
  <c r="AL162" i="1"/>
  <c r="AK163" i="1"/>
  <c r="AL163" i="1"/>
  <c r="AK164" i="1"/>
  <c r="AL164" i="1"/>
  <c r="AK165" i="1"/>
  <c r="AL165" i="1"/>
  <c r="AK166" i="1"/>
  <c r="AL166" i="1"/>
  <c r="AK167" i="1"/>
  <c r="AL167" i="1"/>
  <c r="AK168" i="1"/>
  <c r="AL168" i="1"/>
  <c r="AK169" i="1"/>
  <c r="AL169" i="1"/>
  <c r="AK170" i="1"/>
  <c r="AL170" i="1"/>
  <c r="AK171" i="1"/>
  <c r="AL171" i="1"/>
  <c r="AK172" i="1"/>
  <c r="AL172" i="1"/>
  <c r="AK173" i="1"/>
  <c r="AL173" i="1"/>
  <c r="AK174" i="1"/>
  <c r="AL174" i="1"/>
  <c r="AK175" i="1"/>
  <c r="AL175" i="1"/>
  <c r="AK176" i="1"/>
  <c r="AL176" i="1"/>
  <c r="AK177" i="1"/>
  <c r="AL177" i="1"/>
  <c r="AK178" i="1"/>
  <c r="AL178" i="1"/>
  <c r="AK179" i="1"/>
  <c r="AL179" i="1"/>
  <c r="AK180" i="1"/>
  <c r="AL180" i="1"/>
  <c r="AK181" i="1"/>
  <c r="AL181" i="1"/>
  <c r="AK182" i="1"/>
  <c r="AL182" i="1"/>
  <c r="AK183" i="1"/>
  <c r="AL183" i="1"/>
  <c r="AK184" i="1"/>
  <c r="AL184" i="1"/>
  <c r="AK185" i="1"/>
  <c r="AL185" i="1"/>
  <c r="AK186" i="1"/>
  <c r="AL186" i="1"/>
  <c r="AK187" i="1"/>
  <c r="AL187" i="1"/>
  <c r="AK188" i="1"/>
  <c r="AL188" i="1"/>
  <c r="AK189" i="1"/>
  <c r="AL189" i="1"/>
  <c r="AK190" i="1"/>
  <c r="AL190" i="1"/>
  <c r="AK191" i="1"/>
  <c r="AL191" i="1"/>
  <c r="AK192" i="1"/>
  <c r="AL192" i="1"/>
  <c r="AK193" i="1"/>
  <c r="AL193" i="1"/>
  <c r="AK194" i="1"/>
  <c r="AL194" i="1"/>
  <c r="AK195" i="1"/>
  <c r="AL195" i="1"/>
  <c r="AK196" i="1"/>
  <c r="AL196" i="1"/>
  <c r="AK197" i="1"/>
  <c r="AL197" i="1"/>
  <c r="AK198" i="1"/>
  <c r="AL198" i="1"/>
  <c r="AK199" i="1"/>
  <c r="AL199" i="1"/>
  <c r="AK200" i="1"/>
  <c r="AL200" i="1"/>
  <c r="AK201" i="1"/>
  <c r="AL201" i="1"/>
  <c r="AK202" i="1"/>
  <c r="AL202" i="1"/>
  <c r="AK203" i="1"/>
  <c r="AL203" i="1"/>
  <c r="AK204" i="1"/>
  <c r="AL204" i="1"/>
  <c r="AK205" i="1"/>
  <c r="AL205" i="1"/>
  <c r="AK206" i="1"/>
  <c r="AL206" i="1"/>
  <c r="AK207" i="1"/>
  <c r="AL207" i="1"/>
  <c r="AK208" i="1"/>
  <c r="AL208" i="1"/>
  <c r="AK209" i="1"/>
  <c r="AL209" i="1"/>
  <c r="AK210" i="1"/>
  <c r="AL210" i="1"/>
  <c r="AK211" i="1"/>
  <c r="AL211" i="1"/>
  <c r="AK212" i="1"/>
  <c r="AL212" i="1"/>
  <c r="AK213" i="1"/>
  <c r="AL213" i="1"/>
  <c r="AK214" i="1"/>
  <c r="AL214" i="1"/>
  <c r="AK215" i="1"/>
  <c r="AL215" i="1"/>
  <c r="AK216" i="1"/>
  <c r="AL216" i="1"/>
  <c r="AK217" i="1"/>
  <c r="AL217" i="1"/>
  <c r="AK218" i="1"/>
  <c r="AL218" i="1"/>
  <c r="AK219" i="1"/>
  <c r="AL219" i="1"/>
  <c r="AK220" i="1"/>
  <c r="AL220" i="1"/>
  <c r="AK221" i="1"/>
  <c r="AL221" i="1"/>
  <c r="AK222" i="1"/>
  <c r="AL222" i="1"/>
  <c r="AK223" i="1"/>
  <c r="AL223" i="1"/>
  <c r="AK224" i="1"/>
  <c r="AL224" i="1"/>
  <c r="AK225" i="1"/>
  <c r="AL225" i="1"/>
  <c r="AK226" i="1"/>
  <c r="AL226" i="1"/>
  <c r="AK227" i="1"/>
  <c r="AL227" i="1"/>
  <c r="AK228" i="1"/>
  <c r="AL228" i="1"/>
  <c r="AK229" i="1"/>
  <c r="AL229" i="1"/>
  <c r="AK230" i="1"/>
  <c r="AL230" i="1"/>
  <c r="AK231" i="1"/>
  <c r="AL231" i="1"/>
  <c r="AK232" i="1"/>
  <c r="AL232" i="1"/>
  <c r="AK233" i="1"/>
  <c r="AL233" i="1"/>
  <c r="AK234" i="1"/>
  <c r="AL234" i="1"/>
  <c r="AK235" i="1"/>
  <c r="AL235" i="1"/>
  <c r="AK236" i="1"/>
  <c r="AL236" i="1"/>
  <c r="AK237" i="1"/>
  <c r="AL237" i="1"/>
  <c r="AK238" i="1"/>
  <c r="AL238" i="1"/>
  <c r="AK239" i="1"/>
  <c r="AL239" i="1"/>
  <c r="AK240" i="1"/>
  <c r="AL240" i="1"/>
  <c r="AK241" i="1"/>
  <c r="AL241" i="1"/>
  <c r="AK242" i="1"/>
  <c r="AL242" i="1"/>
  <c r="AK243" i="1"/>
  <c r="AL243" i="1"/>
  <c r="AK244" i="1"/>
  <c r="AL244" i="1"/>
  <c r="AK245" i="1"/>
  <c r="AL245" i="1"/>
  <c r="AK246" i="1"/>
  <c r="AL246" i="1"/>
  <c r="AK247" i="1"/>
  <c r="AL247" i="1"/>
  <c r="AK248" i="1"/>
  <c r="AL248" i="1"/>
  <c r="AK249" i="1"/>
  <c r="AL249" i="1"/>
  <c r="AK250" i="1"/>
  <c r="AL250" i="1"/>
  <c r="AK251" i="1"/>
  <c r="AL251" i="1"/>
  <c r="AK252" i="1"/>
  <c r="AL252" i="1"/>
  <c r="AK253" i="1"/>
  <c r="AL253" i="1"/>
  <c r="AK254" i="1"/>
  <c r="AL254" i="1"/>
  <c r="AK255" i="1"/>
  <c r="AL255" i="1"/>
  <c r="AK256" i="1"/>
  <c r="AL256" i="1"/>
  <c r="AK257" i="1"/>
  <c r="AL257" i="1"/>
  <c r="AK258" i="1"/>
  <c r="AL258" i="1"/>
  <c r="AK259" i="1"/>
  <c r="AL259" i="1"/>
  <c r="AK260" i="1"/>
  <c r="AL260" i="1"/>
  <c r="AK261" i="1"/>
  <c r="AL261" i="1"/>
  <c r="AK262" i="1"/>
  <c r="AL262" i="1"/>
  <c r="AK263" i="1"/>
  <c r="AL263" i="1"/>
  <c r="AK264" i="1"/>
  <c r="AL264" i="1"/>
  <c r="AK265" i="1"/>
  <c r="AL265" i="1"/>
  <c r="AK266" i="1"/>
  <c r="AL266" i="1"/>
  <c r="AK267" i="1"/>
  <c r="AL267" i="1"/>
  <c r="AK268" i="1"/>
  <c r="AL268" i="1"/>
  <c r="AK269" i="1"/>
  <c r="AL269" i="1"/>
  <c r="AK270" i="1"/>
  <c r="AL270" i="1"/>
  <c r="AK271" i="1"/>
  <c r="AL271" i="1"/>
  <c r="AK272" i="1"/>
  <c r="AL272" i="1"/>
  <c r="AK273" i="1"/>
  <c r="AL273" i="1"/>
  <c r="AK274" i="1"/>
  <c r="AL274" i="1"/>
  <c r="AK275" i="1"/>
  <c r="AL275" i="1"/>
  <c r="AK276" i="1"/>
  <c r="AL276" i="1"/>
  <c r="AK277" i="1"/>
  <c r="AL277" i="1"/>
  <c r="AK278" i="1"/>
  <c r="AL278" i="1"/>
  <c r="AK279" i="1"/>
  <c r="AL279" i="1"/>
  <c r="AK280" i="1"/>
  <c r="AL280" i="1"/>
  <c r="AK281" i="1"/>
  <c r="AL281" i="1"/>
  <c r="AK282" i="1"/>
  <c r="AL282" i="1"/>
  <c r="AK283" i="1"/>
  <c r="AL283" i="1"/>
  <c r="AK284" i="1"/>
  <c r="AL284" i="1"/>
  <c r="AK285" i="1"/>
  <c r="AL285" i="1"/>
  <c r="AK286" i="1"/>
  <c r="AL286" i="1"/>
  <c r="AK287" i="1"/>
  <c r="AL287" i="1"/>
  <c r="AK288" i="1"/>
  <c r="AL288" i="1"/>
  <c r="AK289" i="1"/>
  <c r="AL289" i="1"/>
  <c r="AK290" i="1"/>
  <c r="AL290" i="1"/>
  <c r="AK291" i="1"/>
  <c r="AL291" i="1"/>
  <c r="AK292" i="1"/>
  <c r="AL292" i="1"/>
  <c r="AK293" i="1"/>
  <c r="AL293" i="1"/>
  <c r="AK294" i="1"/>
  <c r="AL294" i="1"/>
  <c r="AK295" i="1"/>
  <c r="AL295" i="1"/>
  <c r="AK296" i="1"/>
  <c r="AL296" i="1"/>
  <c r="AK297" i="1"/>
  <c r="AL297" i="1"/>
  <c r="AK298" i="1"/>
  <c r="AL298" i="1"/>
  <c r="AK299" i="1"/>
  <c r="AL299" i="1"/>
  <c r="AK300" i="1"/>
  <c r="AL300" i="1"/>
  <c r="AK301" i="1"/>
  <c r="AL301" i="1"/>
  <c r="AK302" i="1"/>
  <c r="AL302" i="1"/>
  <c r="AK303" i="1"/>
  <c r="AL303" i="1"/>
  <c r="AK304" i="1"/>
  <c r="AL304" i="1"/>
  <c r="AK305" i="1"/>
  <c r="AL305" i="1"/>
  <c r="AK306" i="1"/>
  <c r="AL306" i="1"/>
  <c r="AK307" i="1"/>
  <c r="AL307" i="1"/>
  <c r="AK308" i="1"/>
  <c r="AL308" i="1"/>
  <c r="AK309" i="1"/>
  <c r="AL309" i="1"/>
  <c r="AK310" i="1"/>
  <c r="AL310" i="1"/>
  <c r="AK311" i="1"/>
  <c r="AL311" i="1"/>
  <c r="AK312" i="1"/>
  <c r="AL312" i="1"/>
  <c r="AK313" i="1"/>
  <c r="AL313" i="1"/>
  <c r="AK314" i="1"/>
  <c r="AL314" i="1"/>
  <c r="AK315" i="1"/>
  <c r="AL315" i="1"/>
  <c r="AK316" i="1"/>
  <c r="AL316" i="1"/>
  <c r="AK317" i="1"/>
  <c r="AL317" i="1"/>
  <c r="AK318" i="1"/>
  <c r="AL318" i="1"/>
  <c r="AK319" i="1"/>
  <c r="AL319" i="1"/>
  <c r="AK320" i="1"/>
  <c r="AL320" i="1"/>
  <c r="AK321" i="1"/>
  <c r="AL321" i="1"/>
  <c r="AK322" i="1"/>
  <c r="AL322" i="1"/>
  <c r="AK323" i="1"/>
  <c r="AL323" i="1"/>
  <c r="AK324" i="1"/>
  <c r="AL324" i="1"/>
  <c r="AK325" i="1"/>
  <c r="AL325" i="1"/>
  <c r="AK326" i="1"/>
  <c r="AL326" i="1"/>
  <c r="AK327" i="1"/>
  <c r="AL327" i="1"/>
  <c r="AK328" i="1"/>
  <c r="AL328" i="1"/>
  <c r="AK329" i="1"/>
  <c r="AL329" i="1"/>
  <c r="AK330" i="1"/>
  <c r="AL330" i="1"/>
  <c r="AK331" i="1"/>
  <c r="AL331" i="1"/>
  <c r="AK332" i="1"/>
  <c r="AL332" i="1"/>
  <c r="AK333" i="1"/>
  <c r="AL333" i="1"/>
  <c r="AK334" i="1"/>
  <c r="AL334" i="1"/>
  <c r="AK335" i="1"/>
  <c r="AL335" i="1"/>
  <c r="AK336" i="1"/>
  <c r="AL336" i="1"/>
  <c r="AK337" i="1"/>
  <c r="AL337" i="1"/>
  <c r="AK338" i="1"/>
  <c r="AL338" i="1"/>
  <c r="AK339" i="1"/>
  <c r="AL339" i="1"/>
  <c r="AK340" i="1"/>
  <c r="AL340" i="1"/>
  <c r="AK341" i="1"/>
  <c r="AL341" i="1"/>
  <c r="AK342" i="1"/>
  <c r="AL342" i="1"/>
  <c r="AK343" i="1"/>
  <c r="AL343" i="1"/>
  <c r="AK344" i="1"/>
  <c r="AL344" i="1"/>
  <c r="AK345" i="1"/>
  <c r="AL345" i="1"/>
  <c r="AK346" i="1"/>
  <c r="AL346" i="1"/>
  <c r="AK347" i="1"/>
  <c r="AL347" i="1"/>
  <c r="AK348" i="1"/>
  <c r="AL348" i="1"/>
  <c r="AK349" i="1"/>
  <c r="AL349" i="1"/>
  <c r="AK350" i="1"/>
  <c r="AL350" i="1"/>
  <c r="AK351" i="1"/>
  <c r="AL351" i="1"/>
  <c r="AK352" i="1"/>
  <c r="AL352" i="1"/>
  <c r="AK353" i="1"/>
  <c r="AL353" i="1"/>
  <c r="AK354" i="1"/>
  <c r="AL354" i="1"/>
  <c r="AK355" i="1"/>
  <c r="AL355" i="1"/>
  <c r="AK356" i="1"/>
  <c r="AL356" i="1"/>
  <c r="AK357" i="1"/>
  <c r="AL357" i="1"/>
  <c r="AK358" i="1"/>
  <c r="AL358" i="1"/>
  <c r="AK359" i="1"/>
  <c r="AL359" i="1"/>
  <c r="AK360" i="1"/>
  <c r="AL360" i="1"/>
  <c r="AK361" i="1"/>
  <c r="AL361" i="1"/>
  <c r="AK362" i="1"/>
  <c r="AL362" i="1"/>
  <c r="AK363" i="1"/>
  <c r="AL363" i="1"/>
  <c r="AK364" i="1"/>
  <c r="AL364" i="1"/>
  <c r="AK365" i="1"/>
  <c r="AL365" i="1"/>
  <c r="AK366" i="1"/>
  <c r="AL366" i="1"/>
  <c r="AK367" i="1"/>
  <c r="AL367" i="1"/>
  <c r="AK368" i="1"/>
  <c r="AL368" i="1"/>
  <c r="AK369" i="1"/>
  <c r="AL369" i="1"/>
  <c r="AL370" i="1"/>
  <c r="AK371" i="1"/>
  <c r="AL371" i="1"/>
  <c r="AK372" i="1"/>
  <c r="AL372" i="1"/>
  <c r="AK373" i="1"/>
  <c r="AL373" i="1"/>
  <c r="AK374" i="1"/>
  <c r="AL374" i="1"/>
  <c r="AK375" i="1"/>
  <c r="AL375" i="1"/>
  <c r="AK376" i="1"/>
  <c r="AL376" i="1"/>
  <c r="AK377" i="1"/>
  <c r="AL377" i="1"/>
  <c r="AK378" i="1"/>
  <c r="AL378" i="1"/>
  <c r="AK379" i="1"/>
  <c r="AL379" i="1"/>
  <c r="AK380" i="1"/>
  <c r="AL380" i="1"/>
  <c r="AK381" i="1"/>
  <c r="AL381" i="1"/>
  <c r="AK382" i="1"/>
  <c r="AL382" i="1"/>
  <c r="AK383" i="1"/>
  <c r="AL383" i="1"/>
  <c r="AK384" i="1"/>
  <c r="AL384" i="1"/>
  <c r="AK385" i="1"/>
  <c r="AL385" i="1"/>
  <c r="AK386" i="1"/>
  <c r="AL386" i="1"/>
  <c r="AK387" i="1"/>
  <c r="AL387" i="1"/>
  <c r="AK388" i="1"/>
  <c r="AL388" i="1"/>
  <c r="AK389" i="1"/>
  <c r="AL389" i="1"/>
  <c r="AK390" i="1"/>
  <c r="AL390" i="1"/>
  <c r="AK391" i="1"/>
  <c r="AL391" i="1"/>
  <c r="AK392" i="1"/>
  <c r="AL392" i="1"/>
  <c r="AK393" i="1"/>
  <c r="AL393" i="1"/>
  <c r="AK394" i="1"/>
  <c r="AL394" i="1"/>
  <c r="AK395" i="1"/>
  <c r="AL395" i="1"/>
  <c r="AK396" i="1"/>
  <c r="AL396" i="1"/>
  <c r="AK397" i="1"/>
  <c r="AL397" i="1"/>
  <c r="AK398" i="1"/>
  <c r="AL398" i="1"/>
  <c r="AK399" i="1"/>
  <c r="AL399" i="1"/>
  <c r="AK400" i="1"/>
  <c r="AL400" i="1"/>
  <c r="AK401" i="1"/>
  <c r="AL401" i="1"/>
  <c r="AK402" i="1"/>
  <c r="AL402" i="1"/>
  <c r="AK403" i="1"/>
  <c r="AL403" i="1"/>
  <c r="AK404" i="1"/>
  <c r="AL404" i="1"/>
  <c r="AK405" i="1"/>
  <c r="AL405" i="1"/>
  <c r="AK406" i="1"/>
  <c r="AL406" i="1"/>
  <c r="AK407" i="1"/>
  <c r="AL407" i="1"/>
  <c r="AK408" i="1"/>
  <c r="AL408" i="1"/>
  <c r="AK409" i="1"/>
  <c r="AL409" i="1"/>
  <c r="AK410" i="1"/>
  <c r="AL410" i="1"/>
  <c r="AK411" i="1"/>
  <c r="AL411" i="1"/>
  <c r="AK412" i="1"/>
  <c r="AL412" i="1"/>
  <c r="AK413" i="1"/>
  <c r="AL413" i="1"/>
  <c r="AK414" i="1"/>
  <c r="AL414" i="1"/>
  <c r="AK415" i="1"/>
  <c r="AL415" i="1"/>
  <c r="AK416" i="1"/>
  <c r="AL416" i="1"/>
  <c r="AK417" i="1"/>
  <c r="AL417" i="1"/>
  <c r="AK418" i="1"/>
  <c r="AL418" i="1"/>
  <c r="AK419" i="1"/>
  <c r="AL419" i="1"/>
  <c r="AK420" i="1"/>
  <c r="AL420" i="1"/>
  <c r="AK421" i="1"/>
  <c r="AL421" i="1"/>
  <c r="AK422" i="1"/>
  <c r="AL422" i="1"/>
  <c r="AK423" i="1"/>
  <c r="AL423" i="1"/>
  <c r="AK424" i="1"/>
  <c r="AL424" i="1"/>
  <c r="AK425" i="1"/>
  <c r="AL425" i="1"/>
  <c r="AK426" i="1"/>
  <c r="AL426" i="1"/>
  <c r="AK427" i="1"/>
  <c r="AL427" i="1"/>
  <c r="AK428" i="1"/>
  <c r="AL428" i="1"/>
  <c r="AK429" i="1"/>
  <c r="AL429" i="1"/>
  <c r="AK430" i="1"/>
  <c r="AL430" i="1"/>
  <c r="AK431" i="1"/>
  <c r="AL431" i="1"/>
  <c r="AK432" i="1"/>
  <c r="AL432" i="1"/>
  <c r="AK433" i="1"/>
  <c r="AL433" i="1"/>
  <c r="AK434" i="1"/>
  <c r="AL434" i="1"/>
  <c r="AK435" i="1"/>
  <c r="AL435" i="1"/>
  <c r="AK436" i="1"/>
  <c r="AL436" i="1"/>
  <c r="AK437" i="1"/>
  <c r="AL437" i="1"/>
  <c r="AK438" i="1"/>
  <c r="AL438" i="1"/>
  <c r="AK439" i="1"/>
  <c r="AL439" i="1"/>
  <c r="AK440" i="1"/>
  <c r="AL440" i="1"/>
  <c r="AK441" i="1"/>
  <c r="AL441" i="1"/>
  <c r="AK442" i="1"/>
  <c r="AL442" i="1"/>
  <c r="AK443" i="1"/>
  <c r="AL443" i="1"/>
  <c r="AK444" i="1"/>
  <c r="AL444" i="1"/>
  <c r="AK445" i="1"/>
  <c r="AL445" i="1"/>
  <c r="AK446" i="1"/>
  <c r="AL446" i="1"/>
  <c r="AK447" i="1"/>
  <c r="AL447" i="1"/>
  <c r="AK448" i="1"/>
  <c r="AL448" i="1"/>
  <c r="AK449" i="1"/>
  <c r="AL449" i="1"/>
  <c r="AK450" i="1"/>
  <c r="AL450" i="1"/>
  <c r="AK451" i="1"/>
  <c r="AL451" i="1"/>
  <c r="AK452" i="1"/>
  <c r="AL452" i="1"/>
  <c r="AK453" i="1"/>
  <c r="AL453" i="1"/>
  <c r="AK454" i="1"/>
  <c r="AL454" i="1"/>
  <c r="AK455" i="1"/>
  <c r="AL455" i="1"/>
  <c r="AK456" i="1"/>
  <c r="AL456" i="1"/>
  <c r="AK457" i="1"/>
  <c r="AL457" i="1"/>
  <c r="AK458" i="1"/>
  <c r="AL458" i="1"/>
  <c r="AK459" i="1"/>
  <c r="AL459" i="1"/>
  <c r="AK460" i="1"/>
  <c r="AL460" i="1"/>
  <c r="AK461" i="1"/>
  <c r="AL461" i="1"/>
  <c r="AK462" i="1"/>
  <c r="AL462" i="1"/>
  <c r="AK463" i="1"/>
  <c r="AL463" i="1"/>
  <c r="AK464" i="1"/>
  <c r="AL464" i="1"/>
  <c r="AK465" i="1"/>
  <c r="AL465" i="1"/>
  <c r="AK466" i="1"/>
  <c r="AL466" i="1"/>
  <c r="AK467" i="1"/>
  <c r="AL467" i="1"/>
  <c r="AK468" i="1"/>
  <c r="AL468" i="1"/>
  <c r="AK469" i="1"/>
  <c r="AL469" i="1"/>
  <c r="AK470" i="1"/>
  <c r="AL470" i="1"/>
  <c r="AK471" i="1"/>
  <c r="AL471" i="1"/>
  <c r="AK472" i="1"/>
  <c r="AL472" i="1"/>
  <c r="AK473" i="1"/>
  <c r="AL473" i="1"/>
  <c r="AK474" i="1"/>
  <c r="AL474" i="1"/>
  <c r="AK475" i="1"/>
  <c r="AL475" i="1"/>
  <c r="AK476" i="1"/>
  <c r="AL476" i="1"/>
  <c r="AK477" i="1"/>
  <c r="AL477" i="1"/>
  <c r="AK478" i="1"/>
  <c r="AL478" i="1"/>
  <c r="AK479" i="1"/>
  <c r="AL479" i="1"/>
  <c r="AK480" i="1"/>
  <c r="AL480" i="1"/>
  <c r="AK4" i="1"/>
  <c r="L4" i="1" l="1"/>
  <c r="AD482" i="1"/>
  <c r="L41" i="1"/>
  <c r="R482" i="1"/>
  <c r="L420" i="1"/>
  <c r="AF109" i="1"/>
  <c r="AF10" i="1"/>
  <c r="L446" i="1"/>
  <c r="L90" i="1"/>
  <c r="AF170" i="1"/>
  <c r="L228" i="1"/>
  <c r="AF472" i="1"/>
  <c r="AF469" i="1"/>
  <c r="L200" i="1"/>
  <c r="L345" i="1"/>
  <c r="AF6" i="1"/>
  <c r="L350" i="1"/>
  <c r="AF37" i="1"/>
  <c r="L338" i="1"/>
  <c r="AF31" i="1"/>
  <c r="L254" i="1"/>
  <c r="L231" i="1"/>
  <c r="AF207" i="1"/>
  <c r="L480" i="1"/>
  <c r="L457" i="1"/>
  <c r="L356" i="1"/>
  <c r="L300" i="1"/>
  <c r="L380" i="1"/>
  <c r="L378" i="1"/>
  <c r="L435" i="1"/>
  <c r="L136" i="1"/>
  <c r="L251" i="1"/>
  <c r="L30" i="1"/>
  <c r="L49" i="1"/>
  <c r="L129" i="1"/>
  <c r="AF195" i="1"/>
  <c r="L27" i="1"/>
  <c r="L395" i="1"/>
  <c r="L78" i="1"/>
  <c r="AM370" i="1"/>
  <c r="AF369" i="1"/>
  <c r="L225" i="1"/>
  <c r="AF141" i="1"/>
  <c r="L120" i="1"/>
  <c r="L250" i="1"/>
  <c r="AF72" i="1"/>
  <c r="L375" i="1"/>
  <c r="L209" i="1"/>
  <c r="L244" i="1"/>
  <c r="L96" i="1"/>
  <c r="L77" i="1"/>
  <c r="L377" i="1"/>
  <c r="AF414" i="1"/>
  <c r="AF180" i="1"/>
  <c r="AF33" i="1"/>
  <c r="L56" i="1"/>
  <c r="L114" i="1"/>
  <c r="L391" i="1"/>
  <c r="L42" i="1"/>
  <c r="AF158" i="1"/>
  <c r="L99" i="1"/>
  <c r="L442" i="1"/>
  <c r="L107" i="1"/>
  <c r="L348" i="1"/>
  <c r="L334" i="1"/>
  <c r="AF308" i="1"/>
  <c r="L115" i="1"/>
  <c r="L71" i="1"/>
  <c r="L23" i="1"/>
  <c r="L471" i="1"/>
  <c r="AF40" i="1"/>
  <c r="L79" i="1"/>
  <c r="L326" i="1"/>
  <c r="L291" i="1"/>
  <c r="L465" i="1"/>
  <c r="L314" i="1"/>
  <c r="L242" i="1"/>
  <c r="L397" i="1"/>
  <c r="L185" i="1"/>
  <c r="L149" i="1"/>
  <c r="L36" i="1"/>
  <c r="AF448" i="1"/>
  <c r="L330" i="1"/>
  <c r="AF61" i="1"/>
  <c r="L119" i="1"/>
  <c r="L7" i="1"/>
  <c r="L210" i="1"/>
  <c r="L455" i="1"/>
  <c r="L219" i="1"/>
  <c r="L184" i="1"/>
  <c r="AF403" i="1"/>
  <c r="L45" i="1"/>
  <c r="AF367" i="1"/>
  <c r="L331" i="1"/>
  <c r="AF268" i="1"/>
  <c r="L230" i="1"/>
  <c r="L286" i="1"/>
  <c r="L273" i="1"/>
  <c r="L282" i="1"/>
  <c r="L478" i="1"/>
  <c r="AF38" i="1"/>
  <c r="AF19" i="1"/>
  <c r="AF138" i="1"/>
  <c r="L11" i="1"/>
  <c r="AF473" i="1"/>
  <c r="AF415" i="1"/>
  <c r="L460" i="1"/>
  <c r="L342" i="1"/>
  <c r="AF407" i="1"/>
  <c r="L241" i="1"/>
  <c r="L365" i="1"/>
  <c r="L233" i="1"/>
  <c r="L124" i="1"/>
  <c r="L256" i="1"/>
  <c r="L165" i="1"/>
  <c r="L89" i="1"/>
  <c r="L142" i="1"/>
  <c r="AF34" i="1"/>
  <c r="L35" i="1"/>
  <c r="L86" i="1"/>
  <c r="L76" i="1"/>
  <c r="L456" i="1"/>
  <c r="L325" i="1"/>
  <c r="L361" i="1"/>
  <c r="L80" i="1"/>
  <c r="AF411" i="1"/>
  <c r="L352" i="1"/>
  <c r="L167" i="1"/>
  <c r="AF396" i="1"/>
  <c r="L344" i="1"/>
  <c r="AF240" i="1"/>
  <c r="L94" i="1"/>
  <c r="L58" i="1"/>
  <c r="L341" i="1"/>
  <c r="L222" i="1"/>
  <c r="L290" i="1"/>
  <c r="L113" i="1"/>
  <c r="AF95" i="1"/>
  <c r="L445" i="1"/>
  <c r="L452" i="1"/>
  <c r="L439" i="1"/>
  <c r="L464" i="1"/>
  <c r="AF390" i="1"/>
  <c r="L260" i="1"/>
  <c r="L410" i="1"/>
  <c r="L216" i="1"/>
  <c r="AF135" i="1"/>
  <c r="L102" i="1"/>
  <c r="L234" i="1"/>
  <c r="L259" i="1"/>
  <c r="L43" i="1"/>
  <c r="AF32" i="1"/>
  <c r="L224" i="1"/>
  <c r="AF59" i="1"/>
  <c r="L18" i="1"/>
  <c r="L73" i="1"/>
  <c r="L65" i="1"/>
  <c r="L25" i="1"/>
  <c r="L5" i="1"/>
  <c r="L81" i="1"/>
  <c r="L475" i="1"/>
  <c r="L177" i="1"/>
  <c r="AF24" i="1"/>
  <c r="AF12" i="1"/>
  <c r="AF474" i="1"/>
  <c r="L388" i="1"/>
  <c r="L332" i="1"/>
  <c r="L336" i="1"/>
  <c r="L315" i="1"/>
  <c r="L424" i="1"/>
  <c r="L402" i="1"/>
  <c r="L428" i="1"/>
  <c r="L117" i="1"/>
  <c r="L91" i="1"/>
  <c r="L220" i="1"/>
  <c r="AF62" i="1"/>
  <c r="L28" i="1"/>
  <c r="L425" i="1"/>
  <c r="L379" i="1"/>
  <c r="L358" i="1"/>
  <c r="L404" i="1"/>
  <c r="L274" i="1"/>
  <c r="L335" i="1"/>
  <c r="L275" i="1"/>
  <c r="L245" i="1"/>
  <c r="AF271" i="1"/>
  <c r="AF134" i="1"/>
  <c r="L146" i="1"/>
  <c r="L105" i="1"/>
  <c r="L88" i="1"/>
  <c r="L303" i="1"/>
  <c r="AF164" i="1"/>
  <c r="L153" i="1"/>
  <c r="L85" i="1"/>
  <c r="L197" i="1"/>
  <c r="L394" i="1"/>
  <c r="AF418" i="1"/>
  <c r="L294" i="1"/>
  <c r="L213" i="1"/>
  <c r="L126" i="1"/>
  <c r="L247" i="1"/>
  <c r="L83" i="1"/>
  <c r="AF4" i="1"/>
  <c r="L16" i="1"/>
  <c r="L108" i="1"/>
  <c r="L52" i="1"/>
  <c r="L422" i="1"/>
  <c r="L262" i="1"/>
  <c r="AF398" i="1"/>
  <c r="AF237" i="1"/>
  <c r="AF69" i="1"/>
  <c r="AF51" i="1"/>
  <c r="L194" i="1"/>
  <c r="L479" i="1"/>
  <c r="L155" i="1"/>
  <c r="AF64" i="1"/>
  <c r="L70" i="1"/>
  <c r="L9" i="1"/>
  <c r="L466" i="1"/>
  <c r="L374" i="1"/>
  <c r="L360" i="1"/>
  <c r="L103" i="1"/>
  <c r="L112" i="1"/>
  <c r="L143" i="1"/>
  <c r="L376" i="1"/>
  <c r="L116" i="1"/>
  <c r="L50" i="1"/>
  <c r="L13" i="1"/>
  <c r="AF122" i="1"/>
  <c r="L122" i="1"/>
  <c r="L453" i="1"/>
  <c r="L412" i="1"/>
  <c r="L451" i="1"/>
  <c r="L436" i="1"/>
  <c r="L382" i="1"/>
  <c r="L316" i="1"/>
  <c r="L347" i="1"/>
  <c r="L389" i="1"/>
  <c r="L405" i="1"/>
  <c r="L343" i="1"/>
  <c r="L235" i="1"/>
  <c r="L257" i="1"/>
  <c r="L248" i="1"/>
  <c r="L173" i="1"/>
  <c r="AF144" i="1"/>
  <c r="L110" i="1"/>
  <c r="AF26" i="1"/>
  <c r="L321" i="1"/>
  <c r="L227" i="1"/>
  <c r="L60" i="1"/>
  <c r="L54" i="1"/>
  <c r="L57" i="1"/>
  <c r="L68" i="1"/>
  <c r="AF438" i="1"/>
  <c r="L438" i="1"/>
  <c r="L8" i="1"/>
  <c r="L44" i="1"/>
  <c r="L364" i="1"/>
  <c r="L427" i="1"/>
  <c r="L187" i="1"/>
  <c r="AK370" i="1"/>
  <c r="L429" i="1"/>
  <c r="L433" i="1"/>
  <c r="L313" i="1"/>
  <c r="L385" i="1"/>
  <c r="L299" i="1"/>
  <c r="L311" i="1"/>
  <c r="L284" i="1"/>
  <c r="L161" i="1"/>
  <c r="L208" i="1"/>
  <c r="L147" i="1"/>
  <c r="L137" i="1"/>
  <c r="L306" i="1"/>
  <c r="L413" i="1"/>
  <c r="L292" i="1"/>
  <c r="L297" i="1"/>
  <c r="L278" i="1"/>
  <c r="AF67" i="1"/>
  <c r="L84" i="1"/>
  <c r="L17" i="1"/>
  <c r="L461" i="1"/>
  <c r="L151" i="1"/>
  <c r="AF151" i="1"/>
  <c r="L47" i="1"/>
  <c r="L206" i="1"/>
  <c r="AF206" i="1"/>
  <c r="AF393" i="1"/>
  <c r="L393" i="1"/>
  <c r="L29" i="1"/>
  <c r="L349" i="1"/>
  <c r="AF349" i="1"/>
  <c r="L97" i="1"/>
  <c r="AF157" i="1"/>
  <c r="L157" i="1"/>
  <c r="L186" i="1"/>
  <c r="AF186" i="1"/>
  <c r="L447" i="1"/>
  <c r="L426" i="1"/>
  <c r="L324" i="1"/>
  <c r="L323" i="1"/>
  <c r="L310" i="1"/>
  <c r="L392" i="1"/>
  <c r="L333" i="1"/>
  <c r="L266" i="1"/>
  <c r="AF339" i="1"/>
  <c r="L178" i="1"/>
  <c r="L150" i="1"/>
  <c r="L211" i="1"/>
  <c r="L121" i="1"/>
  <c r="L253" i="1"/>
  <c r="L148" i="1"/>
  <c r="L175" i="1"/>
  <c r="L131" i="1"/>
  <c r="AF75" i="1"/>
  <c r="L39" i="1"/>
  <c r="AF169" i="1"/>
  <c r="L169" i="1"/>
  <c r="L14" i="1"/>
  <c r="L467" i="1"/>
  <c r="L199" i="1"/>
  <c r="L327" i="1"/>
  <c r="L399" i="1"/>
  <c r="L459" i="1"/>
  <c r="L386" i="1"/>
  <c r="L238" i="1"/>
  <c r="L362" i="1"/>
  <c r="L423" i="1"/>
  <c r="AF322" i="1"/>
  <c r="AF176" i="1"/>
  <c r="L218" i="1"/>
  <c r="L125" i="1"/>
  <c r="L21" i="1"/>
  <c r="L22" i="1"/>
  <c r="AF283" i="1"/>
  <c r="L283" i="1"/>
  <c r="L202" i="1"/>
  <c r="L192" i="1"/>
  <c r="L481" i="1"/>
  <c r="L168" i="1"/>
  <c r="L346" i="1"/>
  <c r="L318" i="1"/>
  <c r="L363" i="1"/>
  <c r="L281" i="1"/>
  <c r="L354" i="1"/>
  <c r="L183" i="1"/>
  <c r="AF101" i="1"/>
  <c r="L20" i="1"/>
  <c r="AF92" i="1"/>
  <c r="L458" i="1"/>
  <c r="L450" i="1"/>
  <c r="AF450" i="1"/>
  <c r="AF133" i="1"/>
  <c r="L133" i="1"/>
  <c r="L82" i="1"/>
  <c r="L190" i="1"/>
  <c r="L163" i="1"/>
  <c r="L179" i="1"/>
  <c r="AF179" i="1"/>
  <c r="L384" i="1"/>
  <c r="L468" i="1"/>
  <c r="L454" i="1"/>
  <c r="L416" i="1"/>
  <c r="L359" i="1"/>
  <c r="L463" i="1"/>
  <c r="L272" i="1"/>
  <c r="L127" i="1"/>
  <c r="AF174" i="1"/>
  <c r="L182" i="1"/>
  <c r="AF205" i="1"/>
  <c r="L269" i="1"/>
  <c r="L215" i="1"/>
  <c r="L193" i="1"/>
  <c r="L140" i="1"/>
  <c r="L15" i="1"/>
  <c r="L63" i="1"/>
  <c r="L434" i="1"/>
  <c r="AF434" i="1"/>
  <c r="AF366" i="1"/>
  <c r="L366" i="1"/>
  <c r="L139" i="1"/>
  <c r="AF419" i="1"/>
  <c r="L419" i="1"/>
  <c r="AF370" i="1"/>
  <c r="L370" i="1"/>
  <c r="AF307" i="1"/>
  <c r="L307" i="1"/>
  <c r="L111" i="1"/>
  <c r="AF111" i="1"/>
  <c r="L440" i="1"/>
  <c r="L417" i="1"/>
  <c r="AF417" i="1"/>
  <c r="AF437" i="1"/>
  <c r="L437" i="1"/>
  <c r="L305" i="1"/>
  <c r="L383" i="1"/>
  <c r="L277" i="1"/>
  <c r="L320" i="1"/>
  <c r="L329" i="1"/>
  <c r="L162" i="1"/>
  <c r="L156" i="1"/>
  <c r="AF156" i="1"/>
  <c r="L226" i="1"/>
  <c r="L217" i="1"/>
  <c r="L171" i="1"/>
  <c r="L159" i="1"/>
  <c r="L203" i="1"/>
  <c r="L191" i="1"/>
  <c r="L261" i="1"/>
  <c r="AF261" i="1"/>
  <c r="L357" i="1"/>
  <c r="AF357" i="1"/>
  <c r="AF373" i="1"/>
  <c r="L373" i="1"/>
  <c r="L317" i="1"/>
  <c r="AF317" i="1"/>
  <c r="L309" i="1"/>
  <c r="AF309" i="1"/>
  <c r="L280" i="1"/>
  <c r="AF280" i="1"/>
  <c r="L301" i="1"/>
  <c r="AF301" i="1"/>
  <c r="L258" i="1"/>
  <c r="AF258" i="1"/>
  <c r="L249" i="1"/>
  <c r="AF249" i="1"/>
  <c r="L104" i="1"/>
  <c r="AF104" i="1"/>
  <c r="L132" i="1"/>
  <c r="L130" i="1"/>
  <c r="AF130" i="1"/>
  <c r="L106" i="1"/>
  <c r="AF106" i="1"/>
  <c r="L270" i="1"/>
  <c r="L166" i="1"/>
  <c r="AF166" i="1"/>
  <c r="L188" i="1"/>
  <c r="L123" i="1"/>
  <c r="L239" i="1"/>
  <c r="L409" i="1"/>
  <c r="AF355" i="1"/>
  <c r="L355" i="1"/>
  <c r="L353" i="1"/>
  <c r="AF353" i="1"/>
  <c r="L302" i="1"/>
  <c r="AF302" i="1"/>
  <c r="AF267" i="1"/>
  <c r="L267" i="1"/>
  <c r="L449" i="1"/>
  <c r="L304" i="1"/>
  <c r="L312" i="1"/>
  <c r="L232" i="1"/>
  <c r="AF232" i="1"/>
  <c r="L319" i="1"/>
  <c r="L98" i="1"/>
  <c r="AF98" i="1"/>
  <c r="L328" i="1"/>
  <c r="L154" i="1"/>
  <c r="L93" i="1"/>
  <c r="AF93" i="1"/>
  <c r="L181" i="1"/>
  <c r="L152" i="1"/>
  <c r="AF152" i="1"/>
  <c r="L87" i="1"/>
  <c r="AF87" i="1"/>
  <c r="L236" i="1"/>
  <c r="L223" i="1"/>
  <c r="L214" i="1"/>
  <c r="L198" i="1"/>
  <c r="L279" i="1"/>
  <c r="AF279" i="1"/>
  <c r="L243" i="1"/>
  <c r="AF243" i="1"/>
  <c r="AF204" i="1"/>
  <c r="L204" i="1"/>
  <c r="AF444" i="1"/>
  <c r="L444" i="1"/>
  <c r="AF351" i="1"/>
  <c r="L351" i="1"/>
  <c r="AF443" i="1"/>
  <c r="L443" i="1"/>
  <c r="AF408" i="1"/>
  <c r="L408" i="1"/>
  <c r="AF421" i="1"/>
  <c r="L421" i="1"/>
  <c r="L288" i="1"/>
  <c r="AF288" i="1"/>
  <c r="L296" i="1"/>
  <c r="AF296" i="1"/>
  <c r="L477" i="1"/>
  <c r="L400" i="1"/>
  <c r="L372" i="1"/>
  <c r="L340" i="1"/>
  <c r="L298" i="1"/>
  <c r="AF298" i="1"/>
  <c r="L276" i="1"/>
  <c r="L265" i="1"/>
  <c r="AF265" i="1"/>
  <c r="L263" i="1"/>
  <c r="AF263" i="1"/>
  <c r="L255" i="1"/>
  <c r="AF255" i="1"/>
  <c r="L246" i="1"/>
  <c r="AF246" i="1"/>
  <c r="AF196" i="1"/>
  <c r="L196" i="1"/>
  <c r="L128" i="1"/>
  <c r="AF128" i="1"/>
  <c r="L289" i="1"/>
  <c r="L201" i="1"/>
  <c r="L118" i="1"/>
  <c r="AF118" i="1"/>
  <c r="L368" i="1"/>
  <c r="L221" i="1"/>
  <c r="L212" i="1"/>
  <c r="L66" i="1"/>
  <c r="L74" i="1"/>
  <c r="L46" i="1"/>
  <c r="L252" i="1"/>
  <c r="AF252" i="1"/>
  <c r="L476" i="1"/>
  <c r="AF401" i="1"/>
  <c r="L401" i="1"/>
  <c r="L337" i="1"/>
  <c r="AF337" i="1"/>
  <c r="L285" i="1"/>
  <c r="AF285" i="1"/>
  <c r="L293" i="1"/>
  <c r="AF293" i="1"/>
  <c r="L441" i="1"/>
  <c r="L430" i="1"/>
  <c r="L295" i="1"/>
  <c r="AF295" i="1"/>
  <c r="L287" i="1"/>
  <c r="L229" i="1"/>
  <c r="AF229" i="1"/>
  <c r="AF189" i="1"/>
  <c r="L189" i="1"/>
  <c r="L100" i="1"/>
  <c r="AF100" i="1"/>
  <c r="L431" i="1"/>
  <c r="L172" i="1"/>
  <c r="AF172" i="1"/>
  <c r="L160" i="1"/>
  <c r="AF160" i="1"/>
  <c r="L53" i="1"/>
  <c r="AF482" i="1" l="1"/>
</calcChain>
</file>

<file path=xl/sharedStrings.xml><?xml version="1.0" encoding="utf-8"?>
<sst xmlns="http://schemas.openxmlformats.org/spreadsheetml/2006/main" count="5826" uniqueCount="1866">
  <si>
    <t>Nr. crt.</t>
  </si>
  <si>
    <t>Cod MySMIS</t>
  </si>
  <si>
    <t>Cod SIPOCA</t>
  </si>
  <si>
    <t>Axă prioritară/ Prioritate de investiţii</t>
  </si>
  <si>
    <t>Cod apel</t>
  </si>
  <si>
    <t>Titlu proiect</t>
  </si>
  <si>
    <t>Denumire beneficiar</t>
  </si>
  <si>
    <t>Denumire parteneri</t>
  </si>
  <si>
    <t>Rezumat proiect</t>
  </si>
  <si>
    <t>Data de începere a proiectului</t>
  </si>
  <si>
    <t>Data de finalizare a proiectului</t>
  </si>
  <si>
    <t>Rata de cofinanțare UE</t>
  </si>
  <si>
    <t xml:space="preserve">Regiune </t>
  </si>
  <si>
    <t>Județ</t>
  </si>
  <si>
    <t>Localitate</t>
  </si>
  <si>
    <t>Tip beneficiar</t>
  </si>
  <si>
    <t>Categorie de intervenție</t>
  </si>
  <si>
    <t>Valoarea ELIGIBILĂ a proiectului (LEI)</t>
  </si>
  <si>
    <t>Valoarea eligibilă a proiectului</t>
  </si>
  <si>
    <t>Total valoare proiect</t>
  </si>
  <si>
    <t>Stadiu proiect 
(în implementare/ reziliat/ finalizat)</t>
  </si>
  <si>
    <t>Act aditional NR.</t>
  </si>
  <si>
    <t>Plăţi către beneficiari (lei)</t>
  </si>
  <si>
    <t xml:space="preserve">Finanțare acordată </t>
  </si>
  <si>
    <t>Contribuția proprie a beneficiarului</t>
  </si>
  <si>
    <t>Contribuție privată</t>
  </si>
  <si>
    <t>Fonduri UE</t>
  </si>
  <si>
    <t>Contribuția națională</t>
  </si>
  <si>
    <t>regiune mai puțin dezvoltată</t>
  </si>
  <si>
    <t>regiune mai dezvoltată</t>
  </si>
  <si>
    <t>Buget național</t>
  </si>
  <si>
    <t>AP 2/11i/2.1</t>
  </si>
  <si>
    <t>CP4 less /2017</t>
  </si>
  <si>
    <t>Îmbunătățirea managementului calității în Municipiul Sebeș</t>
  </si>
  <si>
    <t>Municipiul Sebeș</t>
  </si>
  <si>
    <t>n.a</t>
  </si>
  <si>
    <t>Obiectivul general: Implementarea / consolidarea si sustinerea unui management performant la nivelul Primariei Municipiului Sebes si al institutiilor subordonate, realizate prin aplicarea CAF ca instrument de îmbunatatire a performantelor Sistemului de Management al Calitatii al Primariei Sebes, pentru crearea unei administratii publice moderne, capabila sa faciliteze dezvoltarea socio-economica prin intermediul
unor servicii publice competitive.                                                                                                                                                                                                        OS 1 – Implementarea de sisteme unitare de management al calitatii aplicabile administratiei publice, prin utilizarea instrumentului
CAF, inclusiv formarea/ instruirea specifica a personalului Primariei Municipiului Sebes pentru implementarea instrumentului CAF
2. OS 2 – Consolidarea SMC prin actiuni de îmbunatatire rezultate în urma evaluarii pe baza criteriilor modelului CAF
3. OS 3 – Dezvoltarea abilitatilor personalului din cadrul Primariei Municipiului Sdebes si al institutiilor subordonate Primariei Sebes
prin:
• asigurarea formarii profesionale a 10 persoane din cadrul primariei Municpiului Sebes pentru efectuarea autoevaluarii
SMC utilizând modelul CAF;
• asigurarea formarii profesionale a 46 persoane din grupul tinta, pentru implementarea Sistemului de Mangement al
Calitatii, integrarea SMC cu SCIM si monitorizarea acestuia cu ajutorul instrumentului CAF.
• dezvoltarea unui Ghid de buna practica privind integrarea SMC cu SCIM în cadrul UAT si evaluarea performantelor SMC
pe baza Modelului CAF
4. OS 4 – Asigurarea unui instrument suport pentru SMC prin proiectarea si implementarea unui sistem informatic.
5. OS 5 – Promovarea standardelor si instrumentelor managementului calitatii prin oOrganizarea si derularea unei conferinte de
informare/ constientizare privind principiile si instrumentele managementului calitatii</t>
  </si>
  <si>
    <t xml:space="preserve">Alba </t>
  </si>
  <si>
    <t>Sebeș</t>
  </si>
  <si>
    <t>APL</t>
  </si>
  <si>
    <t>119 - Investiții în capacitatea instituțională și în eficiența administrațiilor și a serviciilor publice la nivel național, regional și local, în perspectiva realizării de reforme, a unei mai bune legiferări și a bunei guvernanțe</t>
  </si>
  <si>
    <t>Finalizat</t>
  </si>
  <si>
    <t>Alba Iulia ISO Smart</t>
  </si>
  <si>
    <t>Muncipiul Alba Iulia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</si>
  <si>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</si>
  <si>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Alba Iulia</t>
  </si>
  <si>
    <t>na</t>
  </si>
  <si>
    <t>AP 2/11i /2.1</t>
  </si>
  <si>
    <t>CP6 less /2017</t>
  </si>
  <si>
    <t>Performanța si eficiența în administrație prin implementarea unui management competitiv</t>
  </si>
  <si>
    <t>Municipiul Aiud</t>
  </si>
  <si>
    <t>Asociația Română pentru Transparență</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</si>
  <si>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</si>
  <si>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</si>
  <si>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AP 2/11i/2.2</t>
  </si>
  <si>
    <t>CP1 less /2017</t>
  </si>
  <si>
    <t>Integritatea - condiþie esenþiala pentru o
administratie eficienta</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</si>
  <si>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</si>
  <si>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</si>
  <si>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</si>
  <si>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</si>
  <si>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</si>
  <si>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</si>
  <si>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</si>
  <si>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</si>
  <si>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CP10 less /2018</t>
  </si>
  <si>
    <t>ALBA IULIA- ADMINISTRATIE PUBLICA DIGITALA</t>
  </si>
  <si>
    <t>Municipiul Alba iulia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</si>
  <si>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</si>
  <si>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 xml:space="preserve"> în implementare</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</si>
  <si>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</si>
  <si>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</si>
  <si>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AA1/06.06.2019</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</si>
  <si>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</si>
  <si>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</si>
  <si>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Administrație publică locală eficientă pentru cetățeni</t>
  </si>
  <si>
    <t>Asociația Romana pentru Transparenta</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</si>
  <si>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</si>
  <si>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AA1/28.10.2019</t>
  </si>
  <si>
    <t>CP 12 less/2018</t>
  </si>
  <si>
    <t>Municipiul Alba Iulia - Administratie
inteligenta</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</si>
  <si>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2. OS2.Dezvoltarea si implementarea la nivelul Municipiului Alba Iulia, a 2 mecanisme de colaborare si consultare cu actori relevanti pentru sustinerea dezvoltarii locale, in termen de 12 luni de la initierea procesului.</t>
  </si>
  <si>
    <t>Planificare strategică și management al performanței la nivelul Municipiului Arad prin instrumentul Balanced Scorecard – Tablou de Bord Echilibrat</t>
  </si>
  <si>
    <t>Municipiul Arad</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</si>
  <si>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</si>
  <si>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Arad</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</si>
  <si>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</si>
  <si>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</si>
  <si>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</si>
  <si>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</si>
  <si>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AA1/08.11.2019</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</si>
  <si>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</si>
  <si>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</si>
  <si>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AA1/26.11.2019</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</si>
  <si>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</si>
  <si>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</si>
  <si>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Promovarea politicilor publice la nivelul județului Arad</t>
  </si>
  <si>
    <t>Îmbunatațirea capacitaþii de planificare strategica la nivelul judetului Arad
Obiectivele specifice ale proiectului
1. Elaborarea Strategiei de dezvoltare a Judeþului Arad pentru perioada 2021-2027
2. Elaborarea a doua strategii sectoriale (Culturala, Eficiența energetica) pentru perioada 2021-2027</t>
  </si>
  <si>
    <t>Performanță în serviciile de administrație publică locală ale Municipiului Pitești</t>
  </si>
  <si>
    <t>Primăria Municipiului 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</si>
  <si>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</si>
  <si>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Argeș</t>
  </si>
  <si>
    <t>Pitești</t>
  </si>
  <si>
    <t>AA1 /08.11.2018</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</si>
  <si>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</si>
  <si>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</si>
  <si>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</si>
  <si>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</si>
  <si>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</si>
  <si>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</si>
  <si>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</si>
  <si>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</si>
  <si>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</si>
  <si>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</si>
  <si>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</si>
  <si>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</si>
  <si>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</si>
  <si>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Bacău</t>
  </si>
  <si>
    <t>AA 1/29.05.2019</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</si>
  <si>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</si>
  <si>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</si>
  <si>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Implementarea unei platforme informatice cu componente back-office și front-office ca măsură de simplificare administrativă și optimizare a furnizării serviciilor pentru cetățeni la nivelul Municipiului Bacău</t>
  </si>
  <si>
    <t>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</si>
  <si>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</si>
  <si>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</si>
  <si>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</si>
  <si>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 Sprijinirea mdunicipiului Bacău pentru asigurarea managementului performantei și calității”</t>
  </si>
  <si>
    <t>Municipiul Bacău</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</si>
  <si>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</si>
  <si>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</si>
  <si>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Soluții informatice integrate pentru simplificarea procedurilor administrative si reducerea birocrației la nivelul municipiului Onești</t>
  </si>
  <si>
    <t>Municipiul Onești</t>
  </si>
  <si>
    <t>n.a.</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</si>
  <si>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</si>
  <si>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Onești</t>
  </si>
  <si>
    <t>Servicii de calitate în administrația publică locală a municipiului Beiuș asigurate prin introducerea și menținerea sistemului de management al calității ISO 9001</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</si>
  <si>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</si>
  <si>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</si>
  <si>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Bihor</t>
  </si>
  <si>
    <t>Beiuș</t>
  </si>
  <si>
    <t>AA2/09.08.2019</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</si>
  <si>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</si>
  <si>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</si>
  <si>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</si>
  <si>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</si>
  <si>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AA1/26.09.2019</t>
  </si>
  <si>
    <t>Solutii informatice integrate pentru simplificarea procedurilor administrative si reducerea birocratiei la nivelul Municipiului Oradea</t>
  </si>
  <si>
    <t>Municipiul Oradea</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</si>
  <si>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</si>
  <si>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 xml:space="preserve">Oradea </t>
  </si>
  <si>
    <t>Optimizarea proceselor orientate către cetăţeni prin implementarea Instrumentului CAF la nivelul Primăriei Municipiului Bistriţa</t>
  </si>
  <si>
    <t>Municipiul Bistriţa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</si>
  <si>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</si>
  <si>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Bistrița-Năsăud</t>
  </si>
  <si>
    <t>Bistrița</t>
  </si>
  <si>
    <t>AA1 /13.06.2019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</si>
  <si>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</si>
  <si>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</si>
  <si>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RAISE: Retro-Digitalizarea Arhivei si
Informatizarea Serviciilor Electronice la
Consiliul Judetean Bistrița-Nasaud</t>
  </si>
  <si>
    <t>Județul Bistrița Năsăud</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</si>
  <si>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</si>
  <si>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în implementare</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</si>
  <si>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</si>
  <si>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</si>
  <si>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</si>
  <si>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 xml:space="preserve"> </t>
  </si>
  <si>
    <t>Botoșani</t>
  </si>
  <si>
    <t>Botoșani spune NU corupției</t>
  </si>
  <si>
    <t>Asociația Institutul pentru Politici Publice                            Universitatea George Bacovia</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</si>
  <si>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</si>
  <si>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</si>
  <si>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Administratie moderna in sprijunul cetatenilor</t>
  </si>
  <si>
    <t>Judetul Botosani</t>
  </si>
  <si>
    <t>NA</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</si>
  <si>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</si>
  <si>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Simplificarea administrativa si reducerea birocratiei prin implementarea de masuri de digitalizare in Municipiul Botosani</t>
  </si>
  <si>
    <t>Municipiul Botosani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</si>
  <si>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</si>
  <si>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Botosani </t>
  </si>
  <si>
    <t>Botosani</t>
  </si>
  <si>
    <t>Sprijinirea Municipiului Brăila pentru introducerea managementului calității</t>
  </si>
  <si>
    <t>Municipiul Brăila</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</si>
  <si>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</si>
  <si>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</si>
  <si>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BRĂILA</t>
  </si>
  <si>
    <t>BRAĂILA</t>
  </si>
  <si>
    <t>AA2/07.10.2019</t>
  </si>
  <si>
    <t>Calitate și performanță în administrația publică din județul Brăila</t>
  </si>
  <si>
    <t>Județul Brăila</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</si>
  <si>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</si>
  <si>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</si>
  <si>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</si>
  <si>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O administratie in slujba cetateanului</t>
  </si>
  <si>
    <t>Municipiul Braila</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</si>
  <si>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</si>
  <si>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</si>
  <si>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</si>
  <si>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</si>
  <si>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</si>
  <si>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</si>
  <si>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Sistem de management integrat la standarde europene pentru administrația județului Brașov</t>
  </si>
  <si>
    <t>Jud. Brasov</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</si>
  <si>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</si>
  <si>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Brasov</t>
  </si>
  <si>
    <t>Sisteme, standarde si procese eficientizate si optimizate in cadrul Primariei Municipiului Codlea</t>
  </si>
  <si>
    <t xml:space="preserve">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</si>
  <si>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</si>
  <si>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Sprijinirea măsurilor referitoare la prevenirea corupției la nivelul autorităților publice locale din regiunile mai puțin dezvoltate</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</si>
  <si>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</si>
  <si>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Codlea</t>
  </si>
  <si>
    <t>eFuncționar+. Servicii electronice și simplificare administrativă</t>
  </si>
  <si>
    <t>Municipiul Brașov</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</si>
  <si>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</si>
  <si>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AA1/11.03.2020</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</si>
  <si>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</si>
  <si>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</si>
  <si>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</si>
  <si>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Administrație publică împreună cu cetățenii</t>
  </si>
  <si>
    <t>Municipiul Făgăraș</t>
  </si>
  <si>
    <t>Îmbunataþirea procesului decizional si reducerea birocraþiei la nivelul Consiliului Judeþean Brasov</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</si>
  <si>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</si>
  <si>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</si>
  <si>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</si>
  <si>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AA1/24.12.2019</t>
  </si>
  <si>
    <t>CP4 more /2017</t>
  </si>
  <si>
    <t>DEZVOLTAREA UNUI MANAGEMENT PERFORMANT ÎN CADRUL PRIMĂRIEI SECTOR 4 BUCUREȘTI PRIN OPTIMIZAREA PROCESELOR ORIENTATE CĂTRE BENEFICIARI ȘI PREGĂTIREA RESURSELOR UMANE</t>
  </si>
  <si>
    <t>Sect. 4 București</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</si>
  <si>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</si>
  <si>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București</t>
  </si>
  <si>
    <t>Bucuresti</t>
  </si>
  <si>
    <t>Implementarea unui sistem de management performant pentru imbunatatirea proceselor interne și cresterea calitatii serviciilor Primariei Sectorului 6 Bucureşti</t>
  </si>
  <si>
    <t>Sect. 6 București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</si>
  <si>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</si>
  <si>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AA1/06.09.2019</t>
  </si>
  <si>
    <t>CP1 more /2017</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</si>
  <si>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</si>
  <si>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</si>
  <si>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AA 1/29.11.2018          AA 2 /03.04.2019</t>
  </si>
  <si>
    <t xml:space="preserve">Alege libertatea, spune NU corupției </t>
  </si>
  <si>
    <t>Sectorul 2 al Municipiului București</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</si>
  <si>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</si>
  <si>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</si>
  <si>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</si>
  <si>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</si>
  <si>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</si>
  <si>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Act aditional nr. 1</t>
  </si>
  <si>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</si>
  <si>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</si>
  <si>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</si>
  <si>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CP 12 more/2018</t>
  </si>
  <si>
    <t>O primarie mai aproape de oameni la doar un click distanta</t>
  </si>
  <si>
    <t>PRIMARIA SECTOR 5</t>
  </si>
  <si>
    <t>ASOCIATIA PENTRU IMPLEMENTAREA DEMOCRATIEI</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</si>
  <si>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</si>
  <si>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AP1/11i /1.1</t>
  </si>
  <si>
    <t>IP1/2015</t>
  </si>
  <si>
    <t>Dezvoltarea capacității instituționale a Ministerului Economiei</t>
  </si>
  <si>
    <t>MINISTERUL ECONOMIEI, ENERGIEI ȘI MEDIULUI DE AFACERI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</si>
  <si>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</si>
  <si>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 xml:space="preserve"> Proiect cu acoperire națională</t>
  </si>
  <si>
    <t>APC</t>
  </si>
  <si>
    <t>AA1/03.05.2017; AA2/28.06.2017; AA3/30.07.2018; AA4/12.08.2019</t>
  </si>
  <si>
    <t>Mecanisme si instrumente implementate la nivelul S1MB pentru fundamentarea deciziilor si planificarii
strategice pe termen lung</t>
  </si>
  <si>
    <t>SECTORUL 1 AL MUNICIPIULUI BUCUREŞTI</t>
  </si>
  <si>
    <t>N.A.</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</si>
  <si>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</si>
  <si>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Servicii electronice eficiente și simplificare administrativă prin platforme informatice inovative</t>
  </si>
  <si>
    <t>SECTORUL 3 AL MUNICIPIULUI BUCURESTI</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</si>
  <si>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</si>
  <si>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Management al performantei in cadrul Primariei Sectorului 2</t>
  </si>
  <si>
    <t>SECTORUL 2 AL MUNICIPIULUI BUCURESTI</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</si>
  <si>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</si>
  <si>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CP 13 more/2019</t>
  </si>
  <si>
    <t>Instrumente pentru reducerea birocrației în serviciile de asistență socială la nivelul Sectorului 1 al Municipiului București</t>
  </si>
  <si>
    <t>SECTORUL 1 AL MUNICIPIULUI BUCURESTI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</si>
  <si>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</si>
  <si>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</si>
  <si>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</si>
  <si>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</si>
  <si>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OS1: Implementarea de masuri de eficientizare a proceselor de lucru specifice domeniului asistenþei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cunostinþelor, competenþelor si abilitaþilor personalului din cadrul Direcþiei Generale de Asistenþa
Sociala si Protecþie a Copilului Sector 3 prin participarea la programe de instruire, inclusiv prin abordarea temelor de dezvoltare
durabila, egalitate de sanse, nediscriminare si egalitate de gen, în vederea utilizarii si administrarii soluþiilor informatice
implementate. Pentru realizarea obiectivului specific 2 se are în vedere activitatea A4 - Instruirea utilizatorilor si administratorilor
soluþiilor informatice implementate. Rezultatul 2 contribuie la atingerea acestuia.</t>
  </si>
  <si>
    <t>Consolidarea integrității, reducerea vulnerabilităților și a riscurilor de corupție</t>
  </si>
  <si>
    <t>Municipiul Buzău</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</si>
  <si>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</si>
  <si>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Buzău</t>
  </si>
  <si>
    <t>AA 1/ 28.03.2019</t>
  </si>
  <si>
    <t>Parteneriat pentru etică și integritate în Consiliul Județean Buzau</t>
  </si>
  <si>
    <t>Județul Buzău</t>
  </si>
  <si>
    <t>Asociația Română Pentru Transparență</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</si>
  <si>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</si>
  <si>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</si>
  <si>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</si>
  <si>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</si>
  <si>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</si>
  <si>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119 -  Investiții în capacitatea instituțională și în eficiența administrațiilor și a serviciilor publice la nivel național, regional și local, în perspectiva realizării de reforme, a unei mai bune legiferări și a bunei guvernanțe</t>
  </si>
  <si>
    <t>AA 1/16.07.2019 prel 8 L</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</si>
  <si>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</si>
  <si>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</si>
  <si>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Servicii publice de calitate oferite de administrația publică locală a Municipiului Râmnicu Sărat</t>
  </si>
  <si>
    <t>Municipiul Râmnicu Sărat</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</si>
  <si>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</si>
  <si>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Municipiul Rm. Sarat</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</si>
  <si>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</si>
  <si>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</si>
  <si>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Centru operațional de management integrat pentru fundamentarea deciziilor în implementarea proiectelor strategice și informarea cetățenilor - COMUNIC</t>
  </si>
  <si>
    <t xml:space="preserve">Obiectivul general este implementarea unor proceduri integrate de management al proceselor complexe, de emitere si fundamentare a deciziilor strategice de dezvoltare a Municipiului Buzau, precum si de facilitare a procesului de consultare a cetaþenilor în vederea elaborarii actelor administrative.
Obiectivele specifice ale proiectului
1. Definirea unui set de cerinþe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</si>
  <si>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</si>
  <si>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</si>
  <si>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</si>
  <si>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CĂLĂRAȘI</t>
  </si>
  <si>
    <t xml:space="preserve">AA 1/02.04.2019 </t>
  </si>
  <si>
    <t>Integritate prin proceduri, instruire si prevenire - IPIP</t>
  </si>
  <si>
    <t>Municipiul Călărași</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</si>
  <si>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</si>
  <si>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</si>
  <si>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</si>
  <si>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</si>
  <si>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AA/03.02.2020</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</si>
  <si>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</si>
  <si>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</si>
  <si>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AA 1/12.03.2020</t>
  </si>
  <si>
    <t>Simplificarea administrativa si reducerea birocratiei pentru cetatenii din Municipiul Oltenita</t>
  </si>
  <si>
    <t>Municipiul Oltenita</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</si>
  <si>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</si>
  <si>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</si>
  <si>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</si>
  <si>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CETATE.Caransebeş, Eficient şi Tânăr prin Administrare Transparentă şi Economică</t>
  </si>
  <si>
    <t>Municipiul  Caransebeș</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</si>
  <si>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</si>
  <si>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</si>
  <si>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</si>
  <si>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</si>
  <si>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</si>
  <si>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</si>
  <si>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</si>
  <si>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</si>
  <si>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Consolidarea capacității instituționale a Primăriei Municipiului Turda prin implementarea sistemului de management al calității</t>
  </si>
  <si>
    <t>Primăria Municipiului Turda</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</si>
  <si>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</si>
  <si>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Cluj</t>
  </si>
  <si>
    <t>Turda</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</si>
  <si>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</si>
  <si>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</si>
  <si>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</si>
  <si>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Cluj Napoca</t>
  </si>
  <si>
    <t>Sisteme de management performant pentru Primăria Cluj-Napoca</t>
  </si>
  <si>
    <t>Primăria municipiului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</si>
  <si>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</si>
  <si>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AA 1/ 01.04.2019</t>
  </si>
  <si>
    <t>ADEPT – Administrație digitala eficienta pentru cetaþenii din Turda</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</si>
  <si>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</si>
  <si>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</si>
  <si>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Judetul Cluj - Smart Territory</t>
  </si>
  <si>
    <t>Judetul Cluj</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</si>
  <si>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</si>
  <si>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AA 1/20.11.2019</t>
  </si>
  <si>
    <t>Creșterea transparenței decizionale si simplificarea procedurilor administrative pentru cetățeni - ANTO-CIIC</t>
  </si>
  <si>
    <t>Municipiul Cluj Napoca</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</si>
  <si>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</si>
  <si>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Soluții informatice integrate pentru
simplificarea procedurilor administrative si
reducerea birocrației la nivelul Municipiului
DEJ</t>
  </si>
  <si>
    <t>Municipiul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</si>
  <si>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</si>
  <si>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</si>
  <si>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Management performant la nivelul Primăriei Mangalia</t>
  </si>
  <si>
    <t>Municipiul Mangalia</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</si>
  <si>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</si>
  <si>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Constanța</t>
  </si>
  <si>
    <t>Mangalia</t>
  </si>
  <si>
    <t>Cresterea capacitatii administrative a Municipiului Constanta prin implementarea de masuri in
domeniul anticoruptiei</t>
  </si>
  <si>
    <t>Municipiul Constanta</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</si>
  <si>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</si>
  <si>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</si>
  <si>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</si>
  <si>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Imbunatatirea capacitatii adm-ve a CJ Constanța</t>
  </si>
  <si>
    <t>Judetul Constanta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</si>
  <si>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</si>
  <si>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Cresterea capacitatii administrative a Municipiului Constanta prin introducerea si mentinerea
sistemului de management al calitatii ISO 9001</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</si>
  <si>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</si>
  <si>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</si>
  <si>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Simplificarea procedurilor administrative și reducerea birocrației pentru cetățeni la nivelul Primăriei Municipiului Sfântu Gheorghe</t>
  </si>
  <si>
    <t>Municipiul Sfântu Gheorghe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</si>
  <si>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</si>
  <si>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Covasna</t>
  </si>
  <si>
    <t>Sfântu Gheorghe</t>
  </si>
  <si>
    <t>APT_SMC – Administrație Publică eficienTă prin Sistem de Management al Calității</t>
  </si>
  <si>
    <t>Judeţul Dâmbovița</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</si>
  <si>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</si>
  <si>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Dâmbovița</t>
  </si>
  <si>
    <t>Târgoviste</t>
  </si>
  <si>
    <t>Prevenire ,educatie si combaterea
coruptiei (PECC)</t>
  </si>
  <si>
    <t>Municipiul Moreni</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</si>
  <si>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</si>
  <si>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</si>
  <si>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Eficienta institutionala si buna guvernare la
nivelul Municipiului Moreni</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</si>
  <si>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</si>
  <si>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</si>
  <si>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</si>
  <si>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</si>
  <si>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 xml:space="preserve">Dolj </t>
  </si>
  <si>
    <t>Bailești</t>
  </si>
  <si>
    <t>SIMCA - Standarde și Instrumente în Implementarea Managementului Calității Administrative la nivelul Primăriei Municipiului Craiova</t>
  </si>
  <si>
    <t>Munuicipiul Craiova</t>
  </si>
  <si>
    <t>Craiova</t>
  </si>
  <si>
    <t>AA1/16.05.2019</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</si>
  <si>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</si>
  <si>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</si>
  <si>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</si>
  <si>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Dolj</t>
  </si>
  <si>
    <t>Băilești</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</si>
  <si>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</si>
  <si>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</si>
  <si>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</si>
  <si>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</si>
  <si>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AA1/18.09.2018</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</si>
  <si>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</si>
  <si>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</si>
  <si>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AA1/12.08.2019</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</si>
  <si>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</si>
  <si>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</si>
  <si>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</si>
  <si>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„CIVIC - CONSULTARE, INOVARE, VOLUNTARIAT, INFORMATIZARE ȘI COMUNICARE ÎN MUNICIPIUL BĂILEȘTI”</t>
  </si>
  <si>
    <t>ASOCIATIA CENTRUL PENTRU DEZVOLTARE DURABILA COLUMNA</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</si>
  <si>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</si>
  <si>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Simplificarea procedurilor prin eficientizare si digitalizare la consiliul județean</t>
  </si>
  <si>
    <t>Consiliul Județean Dolj</t>
  </si>
  <si>
    <t>Obiectivul general al proiectului/Scopul proiectului
Consolidarea capacitații Consiliului Județean Dolj de a asigura calitatea si accesul la serviciile publice oferite exclusiv prin simplificarea
procedurilor administraþiei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</si>
  <si>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AP 2/11i/2.3</t>
  </si>
  <si>
    <t>CP8 less /2018</t>
  </si>
  <si>
    <t>Asistență și educație juridica la nivelul cetățenilor din Drobeta-Turnu Severin</t>
  </si>
  <si>
    <t>UAT Municipiul Drobeta 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</si>
  <si>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</si>
  <si>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Calitate și performanță în administrația publică - Primăria municipiului Tecuci</t>
  </si>
  <si>
    <t>Primăria Municipiului Tecuci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</si>
  <si>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</si>
  <si>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Galați</t>
  </si>
  <si>
    <t>Tecuci</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</si>
  <si>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</si>
  <si>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</si>
  <si>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</si>
  <si>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</si>
  <si>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</si>
  <si>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Implementarea unui sistem informatic integrat de management al documentelor, arhivă electronică și managementul relației cu cetățenii și mediul de afaceri, elaborarea Strategiilor de Dezvoltare Durabilă și Smart City</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</si>
  <si>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</si>
  <si>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AA1/10.12.2019</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</si>
  <si>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</si>
  <si>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</si>
  <si>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</si>
  <si>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</si>
  <si>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</si>
  <si>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</si>
  <si>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</si>
  <si>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</si>
  <si>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Giurgiu</t>
  </si>
  <si>
    <t>Dezvoltarea sistemului de management anticorupíe la nivelul judeúlui Giurgiu - SisABC</t>
  </si>
  <si>
    <t>Județul Giurgiu</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</si>
  <si>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</si>
  <si>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</si>
  <si>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AA1/05.06.2019</t>
  </si>
  <si>
    <t>Servicii transparente către cetățeni - Administrație locală perfromantă (SETALP)</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</si>
  <si>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</si>
  <si>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</si>
  <si>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OPTIMIZAREA PERFORMANȚEI SISTEMELOR INTERNE MANAGERIALE</t>
  </si>
  <si>
    <t>Judetul Gorj</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</si>
  <si>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</si>
  <si>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Gorj</t>
  </si>
  <si>
    <t>Tg. Jiu</t>
  </si>
  <si>
    <t>CALITATE = EFICIENTA = PERFORMANTA</t>
  </si>
  <si>
    <t>MUNICIPIUL TG - JIU</t>
  </si>
  <si>
    <t>JUDEȚUL GORJ</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</si>
  <si>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</si>
  <si>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</si>
  <si>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</si>
  <si>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</si>
  <si>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</si>
  <si>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</si>
  <si>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</si>
  <si>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</si>
  <si>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AA2/01.11.2019</t>
  </si>
  <si>
    <t>Introducerea de sisteme si standarde comune în administraþia publica locala ce optimizeaza procesele orientate catre beneficiari în
concordanța cu SCAP</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</si>
  <si>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</si>
  <si>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</si>
  <si>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Consolidarea Capacității Administrative a UAT Municipiul Motru</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</si>
  <si>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</si>
  <si>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</si>
  <si>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</si>
  <si>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Planificare strategica si managementul performantei la nivelul Primariei Municipiului
Gheorgheni prin instrumentul Balanced Scorecard</t>
  </si>
  <si>
    <t>Municipiului
Gheorgheni</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</si>
  <si>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</si>
  <si>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Harghita</t>
  </si>
  <si>
    <t>Gheorgheni</t>
  </si>
  <si>
    <t>AA2/13.08.2019</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</si>
  <si>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</si>
  <si>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</si>
  <si>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</si>
  <si>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Îmbunătățirea capacității instituționale și reducerea birocrației pentru cetățenii din Municipiul Toplița</t>
  </si>
  <si>
    <t>Municipiul Toplița</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</si>
  <si>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</si>
  <si>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Toplita</t>
  </si>
  <si>
    <t>Eficientizarea proceselor interne ale primăriei și a interacțiunii cu cetățenii prin implementarea unui sistem informatic integrat și a unui portal de servicii electronice</t>
  </si>
  <si>
    <t>Municipiul Gheorgheni</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</si>
  <si>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</si>
  <si>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Management performant în administrația publică din municipiul Vulcan</t>
  </si>
  <si>
    <t>Municipiul Vulcan</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</si>
  <si>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</si>
  <si>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 xml:space="preserve">Hunedoara </t>
  </si>
  <si>
    <t>Vulcan</t>
  </si>
  <si>
    <t>Măsuri pentru prevenirea corupției în administrația publică locală a Municipiului Deva din județul Hunedoara</t>
  </si>
  <si>
    <t>Municipiul Deva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</si>
  <si>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</si>
  <si>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Hunedoara</t>
  </si>
  <si>
    <t>Deva</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</si>
  <si>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</si>
  <si>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</si>
  <si>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Solutii informatice integrate pentru simplificarea procedurilor administrative si reducerea birocratiei</t>
  </si>
  <si>
    <t>Municipiul Hunedoara</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</si>
  <si>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</si>
  <si>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</si>
  <si>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</si>
  <si>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</si>
  <si>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AA1/22.08.2019</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</si>
  <si>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</si>
  <si>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</si>
  <si>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</si>
  <si>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</si>
  <si>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Proceduri Administrative Simplificate prin Eficientizare Digitala - la Primaria Municipiului Lupeni</t>
  </si>
  <si>
    <t>Municipiul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</si>
  <si>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</si>
  <si>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</si>
  <si>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și reducerea birocrației la nivelul Municipiului Orăștie</t>
  </si>
  <si>
    <t>Municipiul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</si>
  <si>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</si>
  <si>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Orăștie</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</si>
  <si>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</si>
  <si>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</si>
  <si>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Creșterea gradului de transparență în administrația publică locală și facilitarea accesului cetățeanului la serviciile publice în format electronic la nivelul Municipiului Brad</t>
  </si>
  <si>
    <t>MUNICIPIUL 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</si>
  <si>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</si>
  <si>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Brad</t>
  </si>
  <si>
    <t>Implementarea cadrului comun de auto-evaluare - garanția unei administrații eficiente în slujba cetățeanului</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</si>
  <si>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</si>
  <si>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</si>
  <si>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</si>
  <si>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</si>
  <si>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Calitate și performanță în administrația publică locală a Municipiului Urziceni</t>
  </si>
  <si>
    <t>Primăria Municipiului Urziceni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</si>
  <si>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</si>
  <si>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Urziceni</t>
  </si>
  <si>
    <t>AA 2/ 05.06.2019</t>
  </si>
  <si>
    <t>Formare, Dezvoltare, Responsabilizare pentru prevenirea coruptiei si asigurarea eticii si integritatii in administratia publica a Municipiului Fetesti</t>
  </si>
  <si>
    <t>Municipiul Fetesti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</si>
  <si>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</si>
  <si>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Fetesti</t>
  </si>
  <si>
    <t>AA 1/22.07.2019</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</si>
  <si>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</si>
  <si>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</si>
  <si>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</si>
  <si>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Eficiență și performanta in administratia
publica locala a Municipiului Fetesti</t>
  </si>
  <si>
    <t>Municipiul 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</si>
  <si>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</si>
  <si>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Fetești</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</si>
  <si>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</si>
  <si>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</si>
  <si>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</si>
  <si>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Simplificarea Procedurilor Administrative prin Digitalizare</t>
  </si>
  <si>
    <t>Municipiul Pascani</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</si>
  <si>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</si>
  <si>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Iasi</t>
  </si>
  <si>
    <t>Pascani</t>
  </si>
  <si>
    <t>CP6 more /2017</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</si>
  <si>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</si>
  <si>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</si>
  <si>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</si>
  <si>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</si>
  <si>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Bucurețti</t>
  </si>
  <si>
    <t>AA2/13.12.2019 prelungire 5 luni + 1 lună</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</si>
  <si>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</si>
  <si>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</si>
  <si>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</si>
  <si>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</si>
  <si>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MaraQuality</t>
  </si>
  <si>
    <t>Județul Maramureș</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</si>
  <si>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</si>
  <si>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Maramureș</t>
  </si>
  <si>
    <t>Baia Mare</t>
  </si>
  <si>
    <t>MaraStrategy</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</si>
  <si>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</si>
  <si>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</si>
  <si>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</si>
  <si>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</si>
  <si>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</si>
  <si>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Imbunătățirea procesului de management în cadrul UAT Municipiul Drobeta Turnu Severin</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</si>
  <si>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</si>
  <si>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Mehedinți</t>
  </si>
  <si>
    <t>Drobeta Turnu Severin</t>
  </si>
  <si>
    <t>AA2/16.05.2019</t>
  </si>
  <si>
    <t>Sprijinirea măsurilor referitoare la prevenirea corupției la nivelul municipiului Drobeta Turnu Severin</t>
  </si>
  <si>
    <t>Municipiul Drobeta Turnu Severin</t>
  </si>
  <si>
    <t xml:space="preserve">Asociația Transparență pentru Integritate   </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</si>
  <si>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</si>
  <si>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AA1/26.07.2019</t>
  </si>
  <si>
    <t>Introducerea de sisteme SMART pentru reducerea birocrației din Municipiul Drobeta Turnu Severin</t>
  </si>
  <si>
    <t>Asociația Centrul pentru Dezvoltare Durabilă Columna</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</si>
  <si>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</si>
  <si>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</si>
  <si>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</si>
  <si>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</si>
  <si>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Mureș</t>
  </si>
  <si>
    <t>Târgu Mureș</t>
  </si>
  <si>
    <t>Creșterea calității serviciilor publice, îmbunătățirea sistemului de management al calității - Târgu-Mureș</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</si>
  <si>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</si>
  <si>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</si>
  <si>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</si>
  <si>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eCetatean@Sighisoara2021</t>
  </si>
  <si>
    <t>Municipiului Sighișoara</t>
  </si>
  <si>
    <t>Consolidarea capacitaþii Primariei Municipiului Sighisoara de a asigura calitatea si accesul la serviciile publice oferite exclusiv de primarie prin simplificarea procedurilor administraþiei locale si reducerea birocraþiei pentru cetaþeni</t>
  </si>
  <si>
    <t>Județul Mureș</t>
  </si>
  <si>
    <t>Municipiul Sighișoara</t>
  </si>
  <si>
    <t>Implementarea unor masuri de simplificare a serviciilor pentru cetateni la nivelul Consiliului Judetean Mures</t>
  </si>
  <si>
    <t>Consolidarea capacitații Consiliului Judetean Mures de a asigura calitatea si accesul la serviciile publice oferite prin simplificarea
procedurilor administrative si reducerea birocraþiei pentru cetațeni.</t>
  </si>
  <si>
    <t>Planificare strategica si simplificarea procedurilor administrative la nivelul Municipiului Tarnaveni</t>
  </si>
  <si>
    <t>Municipiul Tarnaveni</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</si>
  <si>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</si>
  <si>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MURES</t>
  </si>
  <si>
    <t xml:space="preserve">Municipiul Tarnaveni </t>
  </si>
  <si>
    <t>Implementarea managementului calității - administrație durabilă (IMCAD)</t>
  </si>
  <si>
    <t>Județul Neamț</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</si>
  <si>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</si>
  <si>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NEAMȚ</t>
  </si>
  <si>
    <t>Municipiul Piatra Neamț</t>
  </si>
  <si>
    <t>finalizat</t>
  </si>
  <si>
    <t>Creșterea capacității administrative a Municipiului Roman prin reproiectarea SMC și introducerea CAF</t>
  </si>
  <si>
    <t>Municipiul ROMAN</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</si>
  <si>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</si>
  <si>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</si>
  <si>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</si>
  <si>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</si>
  <si>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ADMINISTRAȚIE ELECTRONICĂ LA NIVELUL MUNICIPIULUI ROMAN PENTRU REDUCEREA
BIROCRAȚIEI</t>
  </si>
  <si>
    <t>Municipiul Roman</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</si>
  <si>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</si>
  <si>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Implementarea unui sistem de management performant pentru îmbunătățirea proceselor interne și creșterea calității serviciilor Primăriei Municipiului Caracal</t>
  </si>
  <si>
    <t>Municipiul Caracal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</si>
  <si>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</si>
  <si>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Olt</t>
  </si>
  <si>
    <t>Caracal</t>
  </si>
  <si>
    <t>Transparență, etică și integritate prin parteneriat social</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</si>
  <si>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</si>
  <si>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</si>
  <si>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AA1</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</si>
  <si>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</si>
  <si>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</si>
  <si>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</si>
  <si>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AA 1/</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</si>
  <si>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</si>
  <si>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</si>
  <si>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Administratie eficienta, servicii de calitate la nivel judetean</t>
  </si>
  <si>
    <t>Judetul Olt</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</si>
  <si>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</si>
  <si>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Asigurarea managementului performantei si calitatii in Municipiul Ploiesti</t>
  </si>
  <si>
    <t>Municipiul PLOIEȘTI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</si>
  <si>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</si>
  <si>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</si>
  <si>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</si>
  <si>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</si>
  <si>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</si>
  <si>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</si>
  <si>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</si>
  <si>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PRAHOVA</t>
  </si>
  <si>
    <t>AA1/27.02.2019</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</si>
  <si>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</si>
  <si>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</si>
  <si>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</si>
  <si>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AA1/09.08.2019</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</si>
  <si>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</si>
  <si>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</si>
  <si>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Soluții informatice integrate pentru simplificarea procedurilor administrative si reducerea birocrației la nivelul Municipiului Câmpina</t>
  </si>
  <si>
    <t>Municpiul Câmpina
/PROGRAME DE FINANTARE, RELATII INTERNATIONALE SI PROTOCOL</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</si>
  <si>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</si>
  <si>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</si>
  <si>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</si>
  <si>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</si>
  <si>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</si>
  <si>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</si>
  <si>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Sălajul spune NU corupției!</t>
  </si>
  <si>
    <t>Județul Sălaj</t>
  </si>
  <si>
    <t>n/a</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</si>
  <si>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</si>
  <si>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SĂLAJ</t>
  </si>
  <si>
    <t>Zalău</t>
  </si>
  <si>
    <t>AA1/19.11.2019</t>
  </si>
  <si>
    <t>SPECIAL ZALĂU - Servicii Publice Electronice de Calitate și Integrate pentru Administrația Locală din Municipiul Zalău</t>
  </si>
  <si>
    <t>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</si>
  <si>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</si>
  <si>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</si>
  <si>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</si>
  <si>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Sălaj</t>
  </si>
  <si>
    <t>Implementarea Sistemului de Management al Calitatii si Performantei conform SR EN ISO 9001:2015 în cadrul Consiliului Judetean Salaj</t>
  </si>
  <si>
    <t>Judetul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</si>
  <si>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</si>
  <si>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Salaj</t>
  </si>
  <si>
    <t>Zalau</t>
  </si>
  <si>
    <t>Sisteme de management performant pentru Consiliul Județean Sălaj</t>
  </si>
  <si>
    <t>Consiliul Județean Sălaj</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</si>
  <si>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</si>
  <si>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AA1/11.02.2019</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</si>
  <si>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</si>
  <si>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Implementarea sistemului de management al calității pentru creșterea performanței administrației publice locale în municipiul Satu Mare</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</si>
  <si>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</si>
  <si>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</si>
  <si>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</si>
  <si>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Satu Mare</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</si>
  <si>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</si>
  <si>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</si>
  <si>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</si>
  <si>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</si>
  <si>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</si>
  <si>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</si>
  <si>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Sa spunem NU coruptiei</t>
  </si>
  <si>
    <t>Județul Sibiu</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</si>
  <si>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</si>
  <si>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</si>
  <si>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0,00</t>
  </si>
  <si>
    <t>AA nr.1/18.11.2019</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</si>
  <si>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</si>
  <si>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</si>
  <si>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</si>
  <si>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</si>
  <si>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</si>
  <si>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</si>
  <si>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Județul SIBIU</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</si>
  <si>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</si>
  <si>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Resurse Integrate pentru o Dezvoltare Locală Sustenabilă</t>
  </si>
  <si>
    <t>Municipiul Mediaș</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</si>
  <si>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</si>
  <si>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Etică și integritate în județul Suceava</t>
  </si>
  <si>
    <t>Județul Suceava</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</si>
  <si>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</si>
  <si>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Suceava</t>
  </si>
  <si>
    <t>AP2/11i /2.1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</si>
  <si>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</si>
  <si>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</si>
  <si>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</si>
  <si>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Administrație publică locală eficientă, transparentă și orientată către cetățean în municipiul Turnu Măgurel</t>
  </si>
  <si>
    <t>Municipiul Turnu Măgurele</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</si>
  <si>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</si>
  <si>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</si>
  <si>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Turnu Magurele</t>
  </si>
  <si>
    <t>AA 1/09.08.2019 prel 2L</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</si>
  <si>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</si>
  <si>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</si>
  <si>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</si>
  <si>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SEPA - Simplificarea si eficientizarea procedurilor administrative</t>
  </si>
  <si>
    <t>Primăria Rosiorii de Vede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</si>
  <si>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</si>
  <si>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</si>
  <si>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</si>
  <si>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Dezvoltarea unui management performant în cadrul primăriei municipiului Lugoj prin optimizarea proceselor orientate către beneficiari și pregătirea resurselor umane</t>
  </si>
  <si>
    <t>Municipiului Lugoj</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</si>
  <si>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</si>
  <si>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</si>
  <si>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</si>
  <si>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</si>
  <si>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</si>
  <si>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</si>
  <si>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</si>
  <si>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AA1/21.11.2019; AA2/20.03.2020</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</si>
  <si>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</si>
  <si>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</si>
  <si>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AA 1/08.07.2019</t>
  </si>
  <si>
    <t>Consolidarea capacității administrative a Municipiului Lugoj prin dezvoltarea capacității de planificare strategică și prin simplificarea procedurilor administrative pentru reducerea birocrației destinate</t>
  </si>
  <si>
    <t>Municipiu Lugoj</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</si>
  <si>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</si>
  <si>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</si>
  <si>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</si>
  <si>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</si>
  <si>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TULCEA</t>
  </si>
  <si>
    <t>Tulcea</t>
  </si>
  <si>
    <t>AA nr. 1/18.10.2019</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</si>
  <si>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</si>
  <si>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</si>
  <si>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AA 1/05.12.2018</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</si>
  <si>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</si>
  <si>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</si>
  <si>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</si>
  <si>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Dezvoltarea unui sistem unitar de management al calității la nivelul Consiliului Județean Vâlcea și al instituțiilor subordonate</t>
  </si>
  <si>
    <t>Județul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</si>
  <si>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</si>
  <si>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VÂLCEA</t>
  </si>
  <si>
    <t>Râmnicu Vâlcea</t>
  </si>
  <si>
    <t>AA 1/ 12.04.2019, AA2/28.10.2019</t>
  </si>
  <si>
    <t>Prevenirea corupției prin măsuri  de sprijin integrate</t>
  </si>
  <si>
    <t>Municipiul 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</si>
  <si>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</si>
  <si>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Drăgășani</t>
  </si>
  <si>
    <t>Actul aditional nr.1/26.02.2019</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</si>
  <si>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</si>
  <si>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</si>
  <si>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</si>
  <si>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</si>
  <si>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</si>
  <si>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Calitate și performanță: strategie de management la Consiliul Județean Vaslui</t>
  </si>
  <si>
    <t>Consiliul Județean Vaslui</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</si>
  <si>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</si>
  <si>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Vaslui</t>
  </si>
  <si>
    <t>AA 1/ 15.04.2019</t>
  </si>
  <si>
    <t>Implementarea unui sistem de management al performanței și calității în Primăria municipiului Huși, județul Vaslui</t>
  </si>
  <si>
    <t>Primăria Municipiului 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</si>
  <si>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</si>
  <si>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Huși</t>
  </si>
  <si>
    <t>Sistem de management al performanței și calității în cadrul Primăriei Municipiului Vaslui SMC-BSC</t>
  </si>
  <si>
    <t>Primăria Municipiului Vaslui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</si>
  <si>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</si>
  <si>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Etică și integritate la Consiliul Județean Vaslui</t>
  </si>
  <si>
    <t>Județul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</si>
  <si>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</si>
  <si>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</si>
  <si>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</si>
  <si>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</si>
  <si>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</si>
  <si>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</si>
  <si>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</si>
  <si>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</si>
  <si>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</si>
  <si>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Introducerea de sisteme informatice pentru
optimizarea proceselor in Municipiul Husi</t>
  </si>
  <si>
    <t>Municipiul Huși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</si>
  <si>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</si>
  <si>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</si>
  <si>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</si>
  <si>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</si>
  <si>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VRANCEA</t>
  </si>
  <si>
    <t>Focșani</t>
  </si>
  <si>
    <t>Viziune și performanță prin implementarea unor instrumente de planificare strategică, sisteme de managementul calității/performanței și a unor sisteme informatice inovative la nivelul Municipiului Focșani</t>
  </si>
  <si>
    <t>Municipiul Focsani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</si>
  <si>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</si>
  <si>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Creșterea capacității Ministerului Transporturilor de a realiza planificări strategice și a administra Master Planul General de Transport al României</t>
  </si>
  <si>
    <t>MINISTERUL TRANSPORTURILOR, INFRASTRUCTURII ȘI COMUNICAȚIILOR</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</si>
  <si>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</si>
  <si>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 xml:space="preserve">AA1/09.06.2017; AA2/12.10.2018; AA3/22.07.2019             </t>
  </si>
  <si>
    <t>Stabilirea cadrului de dezvoltare a instrumentelor de e-guvernare (EGOV)</t>
  </si>
  <si>
    <t>1. Secretariatul General al Guvernului</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</si>
  <si>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</si>
  <si>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 xml:space="preserve">                                                 AA1/08.12.2016; AA2/28.04.2017; AA3/18.01.2018; AA4/08.04.2019; AA5/19.03.2020</t>
  </si>
  <si>
    <t>AP1/11i /1.4</t>
  </si>
  <si>
    <t>IP5/2016</t>
  </si>
  <si>
    <t xml:space="preserve">Creșterea capacității administrative a ANAP și a instituțiilor publice responsabile  pentru  implementarea Strategiei naționale în domeniul achiziții publice </t>
  </si>
  <si>
    <t>Agenția Națională pentru Achiziții Publice</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</si>
  <si>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</si>
  <si>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AA6 /16.07.19</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</si>
  <si>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</si>
  <si>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</si>
  <si>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</si>
  <si>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</si>
  <si>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ONG</t>
  </si>
  <si>
    <t>IP3/2016</t>
  </si>
  <si>
    <t>Sistematizarea legislației din domeniul amenajării teritoriului, urbanismului și construcțiilor și consolidarea capacității administrative a structurilor de specialitate din instituțiile publice centrale cu responsabilități în domeniu</t>
  </si>
  <si>
    <t>MINISTERUL LUCRĂRILOR PUBLICE, DEZVOLTĂRII ȘI ADMINISTRAȚIEI</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</si>
  <si>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</si>
  <si>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Proiect cu acoperire națională</t>
  </si>
  <si>
    <t>BUCUREȘTI</t>
  </si>
  <si>
    <t xml:space="preserve">Management performant și unitar la nivelul Ministerului Afacerilor Interne pentru serviciile de urgență </t>
  </si>
  <si>
    <t>Ministerul Afacerilor Interne</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</si>
  <si>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</si>
  <si>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AA1/27.11.2018</t>
  </si>
  <si>
    <t xml:space="preserve">AP1/11i /1.3 </t>
  </si>
  <si>
    <t>IP4/2016</t>
  </si>
  <si>
    <t xml:space="preserve">Întărirea capacității Ministerului Public de punere în aplicare a noilor prevederi ale codurilor penale în domeniul audierilor  </t>
  </si>
  <si>
    <t>Ministerul Public - Parchetul de pe lângă Înalta Curte de Casație și Justiție</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</si>
  <si>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</si>
  <si>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AA1/10.01.2020</t>
  </si>
  <si>
    <t>Creșterea transparentei, calității și accesibilității serviciilor oferite cetățenilor de către sistemul judiciar, cu ajutorul tehnologiei</t>
  </si>
  <si>
    <t>Asociatia Technology and Innovation for Society Tehnologie si Inovare pentru Societate</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</si>
  <si>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</si>
  <si>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1,2,3,4,5,6,7</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</si>
  <si>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</si>
  <si>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Justiție pentru mediu rural</t>
  </si>
  <si>
    <t>Asociatia Technology and Innovation For Society/Tehnologie ți Inovare pentru Societate Filiala Satu Mare</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</si>
  <si>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</si>
  <si>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Elaborarea planului de dezinstituționalizare a copiilor din instituții și asigurarea tranziției îngrijirii acestora în comunitate</t>
  </si>
  <si>
    <t>AUTORITATEA NATIONALA PENTRU PERSOANELE CU DIZABILITĂȚI, COPIL ȘI ADOPȚII</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</si>
  <si>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</si>
  <si>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AA5 /08.03.2018</t>
  </si>
  <si>
    <t>Dezvoltarea capacității Ministerului Educației Naționale de monitorizare și prognoză a evoluției învățământului superior în raport cu piața muncii</t>
  </si>
  <si>
    <t>Ministerul Educației și Cercetării</t>
  </si>
  <si>
    <t>1. Academia Română</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</si>
  <si>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</si>
  <si>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AA6/02.11.2018</t>
  </si>
  <si>
    <t>Implementarea unui sistem de elaborare de politici publice în domeniul incluziunii sociale la nivelul MMJS</t>
  </si>
  <si>
    <t>Ministerul Muncii și Protecției Sociale</t>
  </si>
  <si>
    <t>1. INCE</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</si>
  <si>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</si>
  <si>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AA7/25.01.2018</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</si>
  <si>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</si>
  <si>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</si>
  <si>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AA2/13.09.2019
AA3/13.12.2019</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</si>
  <si>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</si>
  <si>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</si>
  <si>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AA3 /17.05.2019</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</si>
  <si>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</si>
  <si>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</si>
  <si>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Întărirea capacităţii administrative a Ministerului Finanţelor Publice în implementarea măsurilor de sprijin de natura ajutorului de stat</t>
  </si>
  <si>
    <t>Ministerul Finanțelor Publice</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</si>
  <si>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</si>
  <si>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AA3/15.04.2019</t>
  </si>
  <si>
    <t xml:space="preserve">Consolidarea cadrului pentru creșterea calității serviciilor publice și pentru sprijinirea dezvoltării la nivel local (SPC) </t>
  </si>
  <si>
    <t>1. Scoala Națională de Studii Politice</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</si>
  <si>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</si>
  <si>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Omdrap 1120/19.02.2019</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</si>
  <si>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</si>
  <si>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AA2/ 13.12.2017</t>
  </si>
  <si>
    <t xml:space="preserve">Starea Națiunii. Construirea unui instrument inovator pentru fundamentarea politicilor publice </t>
  </si>
  <si>
    <t>Secretariatul General al Guvernului - Direcția pentru Strategii Guvernamentale</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</si>
  <si>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</si>
  <si>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AA5 /24.11.2017
AA6/18.10.2018</t>
  </si>
  <si>
    <t>Îmbunatăţirea capacităţii de planificare strategică şi management al Programelor Naţionale de Sănătate Publică (PNSP) finanțate de  Ministerul Sănătăţii</t>
  </si>
  <si>
    <t>Ministerul Sănătății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</si>
  <si>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</si>
  <si>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AA4 /17.02.2020</t>
  </si>
  <si>
    <t>Dezvoltarea și implementarea unui sistem integrat de management strategic la nivelul sistemului judiciar - SIMS</t>
  </si>
  <si>
    <t>Ministerul Justiției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</si>
  <si>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</si>
  <si>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</si>
  <si>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AA1/21.12.2018
AA2/17.12.2019</t>
  </si>
  <si>
    <t>Îmbunătățirea politicilor publice în învățământul superior și creșterea calității reglementărilor prin actualizarea standardelor de calitate -QAFIN</t>
  </si>
  <si>
    <t>2. Agenția Română de Asigurare a Calității in Învățământul Superior</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</si>
  <si>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</si>
  <si>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Monitorizarea și evaluarea strategiilor condiționalități ex-ante în educație și îmbunătățirea procesului decizional prin monitorizarea performanței instituționale la nivel central și local</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</si>
  <si>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</si>
  <si>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AA5/ 27.06.2018</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</si>
  <si>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</si>
  <si>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</si>
  <si>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AA1/10.11.2016; AA2/28.04.2017; AA3/16.01.2018; AA4/10.07.2018; AA5/31.01.2019</t>
  </si>
  <si>
    <t>Elaborarea ghidurilor necesare îmbunătățirii capacității administrative a autorităților pentru protecția mediului în scopul derulării unitare a procedurii de evaluare a impactului asupra mediului (EGEIA)</t>
  </si>
  <si>
    <t>MINISTERUL MEDIULUI, APELOR ȘI PĂDURILOR</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</si>
  <si>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</si>
  <si>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AA4/ 30.01.2018
AA5/03.07.2018 prel 6 luni</t>
  </si>
  <si>
    <t>AP 2/11i  /2.2</t>
  </si>
  <si>
    <t>IP7/2017</t>
  </si>
  <si>
    <t xml:space="preserve">Consolidarea capacității administrative a secretariatului tehnic al Strategiei Naționale Anticorupție 2016-2020 de a sprijini implementarea măsurilor anticorupție  </t>
  </si>
  <si>
    <t xml:space="preserve">1. Ministerul Afacerilor Interne
Direcţia Generală Anticorupţie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</si>
  <si>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</si>
  <si>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AA1/09.11.2018; AA2/09.08.2019;
AA3/18.12.2019</t>
  </si>
  <si>
    <t>Dezvoltarea capacității administrative a Ministerului Mediului de a implementa politica în domeniul managementului deșeurilor și al siturilor contaminate - C.A.D.S</t>
  </si>
  <si>
    <t>1.MFE</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</si>
  <si>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</si>
  <si>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AA6/08.04.2019 PRELUNGIRE 6 LUNI</t>
  </si>
  <si>
    <t>Dezvoltarea capacității administrative a Ministerului Mediului de a implementa politica în domeniul biodiversității</t>
  </si>
  <si>
    <t>1. I.N.C.E.</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</si>
  <si>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</si>
  <si>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AA6/ 04.01.2018</t>
  </si>
  <si>
    <t>Dezvoltarea capacității de management strategic prin operaționalizarea, la nivelul Centrului Guvernului, a unei structuri tip Strategy Unit (SU)</t>
  </si>
  <si>
    <t xml:space="preserve">Secretariatul General al Guvernului </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</si>
  <si>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</si>
  <si>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AA8 /30.01.2019</t>
  </si>
  <si>
    <t>Îmbunătățirea capacității CNCISCAP de a coordona implementarea Strategiei pentru Consolidarea Administrației Publice 2014 - 2020</t>
  </si>
  <si>
    <t>Secretariatul General al Guvernului</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</si>
  <si>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</si>
  <si>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AA5/ 09.01.2019</t>
  </si>
  <si>
    <t>Dezvoltarea capacității administrației publice centrale de a realiza studii de impact</t>
  </si>
  <si>
    <t>1. Agenția Națională a Funcționarilor Publici</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</si>
  <si>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</si>
  <si>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AA7/19.09.2018</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</si>
  <si>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</si>
  <si>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</si>
  <si>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AA5/ 27.11.2017</t>
  </si>
  <si>
    <t>Dezvoltarea capacității administrative a MCI de implementare a unor acțiuni stabilite în Strategia Națională de Cercetare, Dezvoltare tehnologică și Inovare 2014-2020</t>
  </si>
  <si>
    <t>1. UEFISCDI
2. INCSMPS</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</si>
  <si>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</si>
  <si>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AA6/ 03.05.2018</t>
  </si>
  <si>
    <t>Extinderea sistemului de planificare strategică la nivelul ministerelor de resort</t>
  </si>
  <si>
    <t>1. Curtea de conturi
2. Academia Română</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</si>
  <si>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</si>
  <si>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 xml:space="preserve">AA8 /03.09.2018 prel. Proiect 45L               AA9/11.02.2019 realoc.sume                 AA 10/03.07.2019 prel. 50 L </t>
  </si>
  <si>
    <t>Îmbunătățirea capacității procesului decizional la nivelul sectorului financiar din Romania – TREZOR</t>
  </si>
  <si>
    <t>Agenția Națională de Administrare Fiscală</t>
  </si>
  <si>
    <t>1. Ministerul Finanțelor Publice</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</si>
  <si>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</si>
  <si>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AA2 /14.09.2017</t>
  </si>
  <si>
    <t>Evaluarea riscurilor de dezastre la nivel național (RO-RISK)</t>
  </si>
  <si>
    <t>Inspectoratul General pentru Situații de Urgență (IGSU)</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</si>
  <si>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</si>
  <si>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</si>
  <si>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AA7/17.05.2018</t>
  </si>
  <si>
    <t xml:space="preserve">Calitate, Standarde, Performanță - premisele unui management eficient la nivelul Ministerului Dezvoltării Regionale si Administrației Publice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</si>
  <si>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</si>
  <si>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Omdrap nr. 5844/03.10.2018</t>
  </si>
  <si>
    <t>Creșterea performanței activității vamale pentru facilitarea comerțului legitim</t>
  </si>
  <si>
    <t>Agentia Națională de Administrare Fiscală</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</si>
  <si>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</si>
  <si>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</si>
  <si>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</si>
  <si>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</si>
  <si>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</si>
  <si>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AA1/17.12.2019</t>
  </si>
  <si>
    <t>ETICA - Eficiență, Transparență și Interes pentru Conduita din Administrație</t>
  </si>
  <si>
    <t>Agenția Națională a Funcționarilor Publici</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</si>
  <si>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</si>
  <si>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AA2/06.09.2019</t>
  </si>
  <si>
    <t>Implementarea și dezvoltarea de sisteme și standarde comune pentru optimizarea proceselor decizionale în domeniul mediului</t>
  </si>
  <si>
    <t>1. ASE</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</si>
  <si>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</si>
  <si>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AA1/19.08.2019</t>
  </si>
  <si>
    <t xml:space="preserve">AP1/11i /1.2 </t>
  </si>
  <si>
    <t>IP6/2016</t>
  </si>
  <si>
    <t>Dezvoltarea unui sistem de management unitar al resurselor umane din administrația publică</t>
  </si>
  <si>
    <t>1. Ministerul Muncii și Protecției Sociale
2. Agenția Națională a Funcționarilor Publici</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</si>
  <si>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</si>
  <si>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AA3/20.11.2019 prelungire</t>
  </si>
  <si>
    <t>CP 2/2017 (MySMIS: POCA/111/1/1)</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</si>
  <si>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</si>
  <si>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</si>
  <si>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</si>
  <si>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</si>
  <si>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AA1/31.07.2019</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</si>
  <si>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</si>
  <si>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</si>
  <si>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</si>
  <si>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AA2/13.12.2019</t>
  </si>
  <si>
    <t>IP8/2017 (MySMIS:
POCA/129/1/1)</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</si>
  <si>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</si>
  <si>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</si>
  <si>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Consolidarea și eficientizarea sistemului național de recuperare a creanțelor provenite din infracțiuni</t>
  </si>
  <si>
    <t>Agenția Națională de Administrare a Bunurilor Indisponibilizate</t>
  </si>
  <si>
    <t>1. Ministerul Public - Parchetul de pe lângă Înalta Curte de Casație și Justiție</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</si>
  <si>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</si>
  <si>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</si>
  <si>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</si>
  <si>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AA1/02.04.2019 PRELUNGIRE 10 LUNI</t>
  </si>
  <si>
    <t>Sistem integrat de management pentru o societate informațională performantă (SIMSIP)</t>
  </si>
  <si>
    <t>CENTRUL NATIONAL DE RASPUNS LA INCIDENTE DE SECURITATE CIBERNETICA - CERTRO</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</si>
  <si>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</si>
  <si>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AA1/09.12.2019</t>
  </si>
  <si>
    <t>IP2/2015</t>
  </si>
  <si>
    <t>Consolidarea implementării standardelor de control intern managerial la nivel central şi local</t>
  </si>
  <si>
    <t>1. MDRAP</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</si>
  <si>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</si>
  <si>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AA3/ 12.10.2017</t>
  </si>
  <si>
    <t>Guvernare transparentă, deschisă și participativă – standartizare, armonizare, dialog îmbunătățit</t>
  </si>
  <si>
    <t xml:space="preserve">1. Ministerul Afacerilor Interne
</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</si>
  <si>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</si>
  <si>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AA1/05.05.2017; AA2/29.05.2017; AA3/18.12.2017; AA4/27.07.2018; AA5/27.05.2019</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</si>
  <si>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</si>
  <si>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</si>
  <si>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AA6/ 21.11.2017</t>
  </si>
  <si>
    <t xml:space="preserve">Consolidarea sistemelor de integritate - cea mai 
bună strategie de prevenire a corupției în administrația publică
</t>
  </si>
  <si>
    <t>1.Asociația pentru Democrației</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</si>
  <si>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</si>
  <si>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Omdrapfe nr.  1227/28.02.2019 </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</si>
  <si>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</si>
  <si>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</si>
  <si>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</si>
  <si>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Aplicarea sistemului de politici bazate pe
dovezi în Ministerul Mediului pentru
sistematizarea si simplificarea legislaþiei din
domeniul deseurilor si realizarea unor
proceduri simplificate pentru reducerea
poverii administrative pentru mediul de
afaceri în domeniul schimbarilor climatice</t>
  </si>
  <si>
    <t>Academia de Studii Economice</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</si>
  <si>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</si>
  <si>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AP3/  /3.2</t>
  </si>
  <si>
    <t>AT 1/2016</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</si>
  <si>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</si>
  <si>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</si>
  <si>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123 - Informare și comunicare</t>
  </si>
  <si>
    <t>Omdrap nr. 5760/21.09.2018</t>
  </si>
  <si>
    <t>AP3/  /3.1</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</si>
  <si>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</si>
  <si>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</si>
  <si>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 xml:space="preserve">121 - Pregătire, punere în aplicare, monitorizare și inspectare
122 - Evaluare și studii
</t>
  </si>
  <si>
    <t>Omdrap nr. 5759/21.09.2018</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</si>
  <si>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</si>
  <si>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</si>
  <si>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121 - Pregătire, punere în aplicare, monitorizare și inspectare</t>
  </si>
  <si>
    <t>Omdrapfe nr. 222/23.01.18; Omlpda nr. 991/03.02.2020</t>
  </si>
  <si>
    <t>Cresterea capacitatii CNIPMMR de a formula si sustine politici publice alternative cu privire la activitatea sectorului IMM</t>
  </si>
  <si>
    <t>CONSILIUL NAȚIONAL AL INTREPRINDERILOR PRIVATE MICI ȘI MIJLOCII DIN ROMÂNIA</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</si>
  <si>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</si>
  <si>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Sectorul 1</t>
  </si>
  <si>
    <t>Creșterea capacității Federației naționale a sindicatelor muncii și protecției sociale și a membrilor acesteia în formularea de politici publice alternative în domeniul protecției muncii</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</si>
  <si>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</si>
  <si>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</si>
  <si>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</si>
  <si>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</si>
  <si>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</si>
  <si>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</si>
  <si>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</si>
  <si>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</si>
  <si>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</si>
  <si>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</si>
  <si>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</si>
  <si>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Politici publice pentru Educație (EDUPOL)</t>
  </si>
  <si>
    <t>Asociația Centrul Syene pentru Educație</t>
  </si>
  <si>
    <t>Asociația pentru Promovarea Economiei Cunoașterii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</si>
  <si>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</si>
  <si>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t xml:space="preserve"> O societate civila implicata in sistemul de sanatate si protectie sociala</t>
  </si>
  <si>
    <t>FEDERAȚIA UNIUNEA NAȚIONALĂ A ORGANIZAȚIILOR PERSOANELOR AFECTATE DE HIV/SIDA (UNOPA)</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</si>
  <si>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</si>
  <si>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NOSTRA - Noi standarde comune în administrația publică centrală din domeniul sănătății sexuale și reproductive</t>
  </si>
  <si>
    <t>Asociația Medicilor Rezidenți</t>
  </si>
  <si>
    <t>Asociatia ACCEPT</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</si>
  <si>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</si>
  <si>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ONG21. Participarea ONG-urilor la politica de Educație pentru dezvoltarea durabilă</t>
  </si>
  <si>
    <t>Asociatia REPER21</t>
  </si>
  <si>
    <t>Fundatia pentru Dezvoltarea Societatii Civile 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</si>
  <si>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</si>
  <si>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</si>
  <si>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</si>
  <si>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OMDRAP nr. 3247/25.11.2019/Actul adițional nr.2/25.11.2019</t>
  </si>
  <si>
    <t>PRO-PACT - Promovarea ONGurilor și partenerilor sociali prin advocacy, capacitare și training</t>
  </si>
  <si>
    <t>Centrul de Dezvoltare Socială T&amp;CO</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</si>
  <si>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</si>
  <si>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IAȘI</t>
  </si>
  <si>
    <t>Etica – eficiență, transparență și intiminate în cariera din admninistrație</t>
  </si>
  <si>
    <t>Blocul Național Sindical</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</si>
  <si>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</si>
  <si>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AA2/17.04.2019</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</si>
  <si>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</si>
  <si>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</si>
  <si>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</si>
  <si>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„Acces la educație incluzivă de calitate pentru copiii CES cu deficiențe auditive și vizuale (EDU-CES)”,</t>
  </si>
  <si>
    <t>Asociația "C4C Communication for Community"</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</si>
  <si>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</si>
  <si>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AA1/ 24.07.2019</t>
  </si>
  <si>
    <t>PRO Dezvoltare - ONGuri PRO-active în politicile publice vizând dezvoltarea economică și socială</t>
  </si>
  <si>
    <t>Fundația PAEM ALBA</t>
  </si>
  <si>
    <t>Asociaţia Consultanţilor și Experţilor în Economie Socială România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</si>
  <si>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</si>
  <si>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ALBA</t>
  </si>
  <si>
    <t>ALBA IULIA</t>
  </si>
  <si>
    <t>ONG-uri, actori relevanți în societatea civilă</t>
  </si>
  <si>
    <t>Asociația Centrul Regional de Voluntariat</t>
  </si>
  <si>
    <t>1. Asociaţia Tinerilor cu Iniţiativă din Zona Olteniei - Atizo
2.Asociatia Consilierilor Romani</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</si>
  <si>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</si>
  <si>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</si>
  <si>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</si>
  <si>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</si>
  <si>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Iași</t>
  </si>
  <si>
    <t>AA2/26.08.2019;
AA3/18.12.2019</t>
  </si>
  <si>
    <t>Politici alternative in economia sociala</t>
  </si>
  <si>
    <t>UNIUNEA GENERALA A INDUSTRIASILOR DIN ROMANIA UGIR 1903 FILIALA DOLJ</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</si>
  <si>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</si>
  <si>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 xml:space="preserve">                  AA4/02.08.2019</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</si>
  <si>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</si>
  <si>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</si>
  <si>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</si>
  <si>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AA1/20.08.2019            AA2/19.12.2019</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</si>
  <si>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</si>
  <si>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</si>
  <si>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</si>
  <si>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</si>
  <si>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TIMIS</t>
  </si>
  <si>
    <t>Timisoara</t>
  </si>
  <si>
    <t>Creșterea eficienței intervențiilor atât la nivelul MMJS, cât și a structurilor aflate în coordonarea MMJS</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</si>
  <si>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</si>
  <si>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</si>
  <si>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Act aditional nr. 1/13.09.2018</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</si>
  <si>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</si>
  <si>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1. Academia de Studii Economice
2. INSTITUTUL NAȚIONAL DE CERCETARE-DEZVOLTARE ÎN SILVICULTURA "MARIN
DRACEA"</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</si>
  <si>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</si>
  <si>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Optimizarea procedurilor administrative din cadrul Ministerului pentru Relația cu Parlamentul</t>
  </si>
  <si>
    <t>Departamentul pentru Relația cu Parlamentul</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</si>
  <si>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</si>
  <si>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POlitici în turism pentru o dezvoltare durabilă</t>
  </si>
  <si>
    <t>Agenția de Dezvoltare Durabilă a Județului Brașov</t>
  </si>
  <si>
    <t>1. Asociația de Dezvoltare Economică și Regională - A.D.E.R
2. Asociația pentru Promovarea și Dezvoltarea Turismului din Județul Brașov</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</si>
  <si>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</si>
  <si>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AA2/29.07.2019</t>
  </si>
  <si>
    <t>Buna guvernare in domeniul serviciilor sociale</t>
  </si>
  <si>
    <t>ASOCIATIA ASISTENTILOR SOCIALI PROFESIONISTI "PROSOCIAL"</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</si>
  <si>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</si>
  <si>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Cluj-Napoca</t>
  </si>
  <si>
    <t>”Zero birocrație - mecanism integrat de identificare si simplificare a sarcinilor administrative pentru mediul de afaceri si pentru cetațeni”</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</si>
  <si>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</si>
  <si>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Implicare civică pentru formularea propunerilor alternative de politici publice în educație”</t>
  </si>
  <si>
    <t>Institutul Roman Pentru Educație și Incluziune Sociala</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</si>
  <si>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</si>
  <si>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</si>
  <si>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Galati</t>
  </si>
  <si>
    <t>AA1/12.10.2018</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</si>
  <si>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</si>
  <si>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</si>
  <si>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</si>
  <si>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</si>
  <si>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</si>
  <si>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</si>
  <si>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</si>
  <si>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COOL JOBS –propunere alternativa de politici publici pentru prevenirea somajului în rândul tinerilor</t>
  </si>
  <si>
    <t>Federația „Forumul Tinerilor din România”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</si>
  <si>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</si>
  <si>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Tinerii au prioritate pe agenda publica!</t>
  </si>
  <si>
    <t>CENTRUL DE RESURSE ECONOMICE SI EDUCATIE PENTRU DEZVOLTARE - CREED</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</si>
  <si>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</si>
  <si>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Neamț</t>
  </si>
  <si>
    <t>Patra Neamț</t>
  </si>
  <si>
    <t>AA1/09.09.2019</t>
  </si>
  <si>
    <t>Initiativa Nationala pentru Formularea si Promovarea de Politici Publice Alternative - INAPP</t>
  </si>
  <si>
    <t>Fundația de Caritate și Întrajutorare ANA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</si>
  <si>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</si>
  <si>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</si>
  <si>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AA2/18.12.2019</t>
  </si>
  <si>
    <t>Coaliția pentru romi: elaborare și monitorizare de politici publice</t>
  </si>
  <si>
    <t>Agenția de Dezvoltare Comunitară ,,ÎMPREUNĂ”</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</si>
  <si>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</si>
  <si>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AA2 din 06.09.2019</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</si>
  <si>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</si>
  <si>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</si>
  <si>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</si>
  <si>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</si>
  <si>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AP 2/11i /2.3</t>
  </si>
  <si>
    <t>IP9/2017 (MySMIS:
POCA/131/2/3)</t>
  </si>
  <si>
    <t>Creșterea gradului de pregătire profesională a personalului auxiliar pentru a face față noilor provocări legislative</t>
  </si>
  <si>
    <t>Școala Națională de Grefieri</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</si>
  <si>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</si>
  <si>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AA1 din 27.06.2019              AA2 din 04.02.2020</t>
  </si>
  <si>
    <t>„Politici Publice in Economie Sociala - P.P.E.S"</t>
  </si>
  <si>
    <t>Fundația Orizont</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</si>
  <si>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</si>
  <si>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AA1/14.08.2019</t>
  </si>
  <si>
    <t>"RePas - Responsabilitate ;I parteneriat pentru sănătate"</t>
  </si>
  <si>
    <t>Asociația Română pentr Promovarea Sănătății</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</si>
  <si>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</si>
  <si>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Bucuresști</t>
  </si>
  <si>
    <t>Justiția 2020: profesionalism și integritate</t>
  </si>
  <si>
    <t>Institutul National al Magistraturii</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</si>
  <si>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</si>
  <si>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AA2/19.09.2019</t>
  </si>
  <si>
    <t>Consolidarea capacității instituționale a Oficiului Național al Registrului Comerțului, a sistemului registrului comerțului și a sistemului de publicitate legală</t>
  </si>
  <si>
    <t xml:space="preserve"> Oficiului Național al Registrului Comerțului</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</si>
  <si>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</si>
  <si>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AA1/16.09.2019</t>
  </si>
  <si>
    <t>Bugetarea pe bază de gen în politicile public</t>
  </si>
  <si>
    <t>Fundația Corona</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</si>
  <si>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</si>
  <si>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</si>
  <si>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AA1/20.09.2018
AA2/19.09.2019
AA3/02.12.2019</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</si>
  <si>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</si>
  <si>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</si>
  <si>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</si>
  <si>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</si>
  <si>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</si>
  <si>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</si>
  <si>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</si>
  <si>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</si>
  <si>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</si>
  <si>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</si>
  <si>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</si>
  <si>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AA1/01.10.2019</t>
  </si>
  <si>
    <t>Cresterea capacitatii societatii civile de a formula politici publice alternative pentru sprijinirea
protectiei mediului prin reglementarea aplicabilitatii legilor privind perdelele forestiere – RPR</t>
  </si>
  <si>
    <t>ASOCIATIA "ROMANIA PRINDE RADACINI"</t>
  </si>
  <si>
    <t>AA3/27.09.2019</t>
  </si>
  <si>
    <t>Politici publice pentru dezvoltare durabilă</t>
  </si>
  <si>
    <t>Asociația ,,Centrul pentru Politici Publice Durabile Ecopolis”</t>
  </si>
  <si>
    <t>AA1/17.09.2019</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</si>
  <si>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</si>
  <si>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</si>
  <si>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</si>
  <si>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AA4/10.09.2019</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</si>
  <si>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</si>
  <si>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</si>
  <si>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</si>
  <si>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</si>
  <si>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Nonformal se poate – Politica publica alternativa pentru inserția tinerilor pe piața muncii</t>
  </si>
  <si>
    <t>Asociatia SE POATE</t>
  </si>
  <si>
    <t>Asociația Umanistă Română</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</si>
  <si>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</si>
  <si>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 xml:space="preserve">Ilfov </t>
  </si>
  <si>
    <t>Chiajna</t>
  </si>
  <si>
    <t>AA1-08.07.2019
AA2-20.09.2019</t>
  </si>
  <si>
    <t>Optiuni strategice pentru dezvoltarea durabila a sectorului forestier</t>
  </si>
  <si>
    <t>Asociația Administratorilor de Păduri</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</si>
  <si>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</si>
  <si>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Întărirea capacității societății civile de a formula politici publice alternative în domeniul serviciilor sociale prin dezvoltarea unui mecanism de colectare și monitorizare a nevoilor persoanelor vulnerabile</t>
  </si>
  <si>
    <t>Asociația Centrul European pentru Sprijinirea Incluziunii Sociale a Romilor din România (CESIRR)</t>
  </si>
  <si>
    <t>Asociația ASIST</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</si>
  <si>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</si>
  <si>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iNFOLex</t>
  </si>
  <si>
    <t>ASOCIATIA "SOCIETATEA NATIONALA SPIRU HARET PENTRU EDUCATIE, STIINTA SI CULTURA"</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</si>
  <si>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</si>
  <si>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2, 3, 4, 7</t>
  </si>
  <si>
    <t>Constanța
Prahova
Giurgiu
Arges
Dolj
Gorj
Mehedinți
Vâlcea
Brașov
Sibiu</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</si>
  <si>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</si>
  <si>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</si>
  <si>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</si>
  <si>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</si>
  <si>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</si>
  <si>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AA1/26.02.2020</t>
  </si>
  <si>
    <t>Îmbunatațirea cadrului juridic privind finanțarea publica a organizațiilor neguvernamentale</t>
  </si>
  <si>
    <t>Asociația Centrul pentru Legislație Nonprofit</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</si>
  <si>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</si>
  <si>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AA2/24.09.2019</t>
  </si>
  <si>
    <t>AP 2/11i /2.2</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</si>
  <si>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</si>
  <si>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</si>
  <si>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</si>
  <si>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</si>
  <si>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</si>
  <si>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AA1/24.07.2019</t>
  </si>
  <si>
    <t>AP2/11i /2.3</t>
  </si>
  <si>
    <t>CP3/2017 (MySMIS: POCA/113/2/3)</t>
  </si>
  <si>
    <t>INFO-MEDIERE - relație eficientă administrație -cetățean folosind alternativa amiabilă și accesibilă a medierii în soluționarea litigiilor</t>
  </si>
  <si>
    <t>Asociația "Institutul pentru Politici Publice"</t>
  </si>
  <si>
    <t xml:space="preserve"> 1. ASOCIATIA MUNICIPIILOR DIN ROMANIA - (A.M.R.),
2.  ASOCIATIA PROFESIONALA A MEDIATORILOR DIN ROMANIA, 
3. Asociatia PRO MEDIEREA</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</si>
  <si>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</si>
  <si>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t>AA 1/12.11.2018         AA 2/20.09.2019</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</si>
  <si>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</si>
  <si>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</si>
  <si>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</si>
  <si>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AA3/29.08.2019</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</si>
  <si>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</si>
  <si>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</si>
  <si>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</si>
  <si>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</si>
  <si>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</si>
  <si>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</si>
  <si>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</si>
  <si>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</si>
  <si>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</si>
  <si>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</si>
  <si>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</si>
  <si>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</si>
  <si>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</si>
  <si>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</si>
  <si>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</si>
  <si>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AA3/25.11.2019</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</si>
  <si>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</si>
  <si>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</si>
  <si>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</si>
  <si>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Program de educație și asistență juridică pentru îmbunătățirea accesului cetățenilor la justiție – JUST ACCESS</t>
  </si>
  <si>
    <t>Uniunea Naționala a Barourilor din Romania</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</si>
  <si>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</si>
  <si>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</si>
  <si>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AA2/22.10.2019         AA3/09.12.2019</t>
  </si>
  <si>
    <t>„VALUEMED - Elaborarea de politici publice în domeniul sănătății prin utilizarea studiilor de evaluare a tehnologiilor medicale”</t>
  </si>
  <si>
    <t>Societatea Academică din România (SAR)</t>
  </si>
  <si>
    <t>1. AUTORITATEA NAŢIONALĂ DE MANAGEMENT AL CALITĂŢII ÎN SĂNĂTATE
2. ASOCIATIA NATIONALA PENTRU PROTECTIA PACIENTILOR</t>
  </si>
  <si>
    <t>AA4/22.11.2019</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</si>
  <si>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</si>
  <si>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</si>
  <si>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</si>
  <si>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</si>
  <si>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</si>
  <si>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</si>
  <si>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</si>
  <si>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</si>
  <si>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</si>
  <si>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Slatina</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</si>
  <si>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</si>
  <si>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</si>
  <si>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</si>
  <si>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</si>
  <si>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</si>
  <si>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</si>
  <si>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</si>
  <si>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</si>
  <si>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</si>
  <si>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AA1 din 21.06.2019</t>
  </si>
  <si>
    <t>ALT-POL - Capacitarea uniunilor sindicale
din domeniul sanitar de a formula politici
publice alternative</t>
  </si>
  <si>
    <t>UNIUNEA SINDICALA "SANITAS" BUCURESTI</t>
  </si>
  <si>
    <t>1.SINDICATUL SANITAS COVASNA
2. FUNDATIA EUROACCES</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</si>
  <si>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</si>
  <si>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</si>
  <si>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</si>
  <si>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</si>
  <si>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</si>
  <si>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</si>
  <si>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</si>
  <si>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 xml:space="preserve">AA /1 03.12.2018 </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</si>
  <si>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</si>
  <si>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</si>
  <si>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</si>
  <si>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</si>
  <si>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</si>
  <si>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</si>
  <si>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</si>
  <si>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AA2/01.10.2019</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</si>
  <si>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</si>
  <si>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</si>
  <si>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</si>
  <si>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</si>
  <si>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</si>
  <si>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</si>
  <si>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</si>
  <si>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AA 2/08.07.2019 prel. 16 L</t>
  </si>
  <si>
    <t>Dezvoltarea parteneriatului dintre ONG-uri si administratie pentru promovarea modalitatilor durabile de
transport in interiorul localitatilor</t>
  </si>
  <si>
    <t>AGENTIA PTR.DEZVOLTARE REGIONALA A REGIUNII DE DEZVOLTARE SUD-EST</t>
  </si>
  <si>
    <t>ASOCIAȚIA ORGANIZAȚIA PENTRU
PROMOVAREA TRANSPORTULUI
ALTERNATIV ÎN ROMÂNIA</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</si>
  <si>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</si>
  <si>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Brăila</t>
  </si>
  <si>
    <t>AA 2/11.11.2019 prelungire</t>
  </si>
  <si>
    <t>Monumente istorice - planificare strategica si politici publice optimizate</t>
  </si>
  <si>
    <t>MINISTERUL CULTURII</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</si>
  <si>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</si>
  <si>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</si>
  <si>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AA 1/24.04.2019</t>
  </si>
  <si>
    <t>Servicii de consiliere juridică pentru victime ale unor abuzuri sau nereguli din administrație și justiție</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</si>
  <si>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</si>
  <si>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</si>
  <si>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AA1/13.11.2019</t>
  </si>
  <si>
    <t>Acces la justiție și la metodele alternative de soluționare a litigiilor</t>
  </si>
  <si>
    <t>Asociația Profesională Neguvernamentală de Asistența Socială ASSOC</t>
  </si>
  <si>
    <t>1. AASOCIAȚIA PROFESIONALĂ NEGUVERNAMENTALĂ DE ASISTENȚA SOCIALA ASSOC - FILIALA VÂLCEA
2. COMUNA MĂCIUCA</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</si>
  <si>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</si>
  <si>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3, 4, 5, 6, 7</t>
  </si>
  <si>
    <t xml:space="preserve">Arges
Vâlcea
Bistrița-Nasaud
Maramureș
Satu Mare
Sălaj
Alba
Sibiu
Hunedoara
</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</si>
  <si>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</si>
  <si>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</si>
  <si>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</si>
  <si>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AA 1/18.10.2019</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</si>
  <si>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</si>
  <si>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</si>
  <si>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</si>
  <si>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</si>
  <si>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</si>
  <si>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</si>
  <si>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AA3 /13.09.2019</t>
  </si>
  <si>
    <t>ForLegallnfo</t>
  </si>
  <si>
    <t>FUNDATIA "LUMINA INSTITUTII DE INVATAMANT"</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</si>
  <si>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</si>
  <si>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1, 6, 3, 2</t>
  </si>
  <si>
    <t xml:space="preserve">Iași
Neamț
Vaslui
Bihor
Cluj
Calarasi
Dâmbovița
Giurgiu
Prahova
Buzau
Constanța
Tulcea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</si>
  <si>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</si>
  <si>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</si>
  <si>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</si>
  <si>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AA4/02.03.2020</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</si>
  <si>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</si>
  <si>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</si>
  <si>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</si>
  <si>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</si>
  <si>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</si>
  <si>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</si>
  <si>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</si>
  <si>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</si>
  <si>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AA2/29.01.2020</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</si>
  <si>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</si>
  <si>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</si>
  <si>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</si>
  <si>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</si>
  <si>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</si>
  <si>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</si>
  <si>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AA1/02.08.2019</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</si>
  <si>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</si>
  <si>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</si>
  <si>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</si>
  <si>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</si>
  <si>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</si>
  <si>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„Servicii sociale pentru fiecare vârstnic – pachet de achiziții de servicii în fiecare comunitate”</t>
  </si>
  <si>
    <t>Fundația de Sprijin Comunitar</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</si>
  <si>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</si>
  <si>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</si>
  <si>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AA1/21.08.2019</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</si>
  <si>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</si>
  <si>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</si>
  <si>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</si>
  <si>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</si>
  <si>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</si>
  <si>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</si>
  <si>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</si>
  <si>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AA nr.2/29.11.2019 prelungire si modif fse, bn si cp</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</si>
  <si>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</si>
  <si>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</si>
  <si>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</si>
  <si>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</si>
  <si>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</si>
  <si>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</si>
  <si>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</si>
  <si>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AA1/18.12.2018</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</si>
  <si>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</si>
  <si>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</si>
  <si>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</si>
  <si>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</si>
  <si>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AA2/18.11.2019</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</si>
  <si>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</si>
  <si>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</si>
  <si>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</si>
  <si>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AA1/19.12.2019</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</si>
  <si>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</si>
  <si>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</si>
  <si>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</si>
  <si>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</si>
  <si>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AA1/25.09.2019</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</si>
  <si>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</si>
  <si>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</si>
  <si>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</si>
  <si>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</si>
  <si>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Dezvoltarea mediului rural prin implementarea dialogului social si civic</t>
  </si>
  <si>
    <t>ASOCIATIA MASTER. CONFERENCE. AWARDS. LAW. - (MCAL)</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</si>
  <si>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</si>
  <si>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</si>
  <si>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</si>
  <si>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AA1/14.10.2019</t>
  </si>
  <si>
    <t>Politica publica pentru mestesugul traditional</t>
  </si>
  <si>
    <t>Centrul Romano de Studii și Dezvoltare Socială (fostă Asociația Mesteșukar Mobil)</t>
  </si>
  <si>
    <t>1. Ministerul Culturii și Identității Naționale                                         2. Secretariatul General al Guvernului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</si>
  <si>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</si>
  <si>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Florești</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</si>
  <si>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</si>
  <si>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</si>
  <si>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</si>
  <si>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</si>
  <si>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</si>
  <si>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</si>
  <si>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</si>
  <si>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AA1/17.05.2019</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</si>
  <si>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</si>
  <si>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</si>
  <si>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</si>
  <si>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</si>
  <si>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Instrumente de consolidare a dialogului structurat în politicile publice în domeniul tineretului – ACTIVONGT</t>
  </si>
  <si>
    <t>CONVENTIA Nationala a Fundatiilor pentru Tineret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</si>
  <si>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</si>
  <si>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</si>
  <si>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Act adițional nr. 2/27.11.2019 modif fse, bn si cp</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</si>
  <si>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</si>
  <si>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</si>
  <si>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</si>
  <si>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</si>
  <si>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</si>
  <si>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</si>
  <si>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</si>
  <si>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</si>
  <si>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</si>
  <si>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</si>
  <si>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Act aditional nr. 1/28.01.2019</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</si>
  <si>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</si>
  <si>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</si>
  <si>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</si>
  <si>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AA1/27.09.2019</t>
  </si>
  <si>
    <t>Consolidarea integritatii în institutiiile_x000D_
publice si în mediul de afaceri</t>
  </si>
  <si>
    <t>MINISTERUL FINANTELOR PUBLICE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</si>
  <si>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</si>
  <si>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AA 1/06 .06.2019                                               AA2/10.02.2020</t>
  </si>
  <si>
    <t>ProLexKampanya</t>
  </si>
  <si>
    <t>FUNDAȚIA ''TUNA''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</si>
  <si>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</si>
  <si>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</si>
  <si>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</si>
  <si>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</si>
  <si>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</si>
  <si>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</si>
  <si>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</si>
  <si>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</si>
  <si>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</si>
  <si>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</si>
  <si>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</si>
  <si>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</si>
  <si>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</si>
  <si>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EDU Digital - Propunere alternativa de politica publica pentru simplificarea cadrului legislativ în educaþie</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</si>
  <si>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</si>
  <si>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</si>
  <si>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</si>
  <si>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ASOCIAȚIA CREST</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</si>
  <si>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</si>
  <si>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</si>
  <si>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</si>
  <si>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</si>
  <si>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</si>
  <si>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</si>
  <si>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</si>
  <si>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</si>
  <si>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</si>
  <si>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</si>
  <si>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Acces egal la educaþie pentru minoritațile
etnice din România</t>
  </si>
  <si>
    <t>ASOCIATIA ARES'EL</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</si>
  <si>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</si>
  <si>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</si>
  <si>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</si>
  <si>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</si>
  <si>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</si>
  <si>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</si>
  <si>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</si>
  <si>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</si>
  <si>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</si>
  <si>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</si>
  <si>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AA1/07.03.2019     AA2/09.12.2019</t>
  </si>
  <si>
    <t>METROPOLITAN – Politica publica alternativa la politicile publice iniþiate de Guvern în domeniul
transportului public local si metropolitan de calatori din România</t>
  </si>
  <si>
    <t>Federația Zonelor Metropolitane și Agromerărilor Urbane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</si>
  <si>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</si>
  <si>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</si>
  <si>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 nr.1/13.02.2020</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</si>
  <si>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</si>
  <si>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</si>
  <si>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</si>
  <si>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</si>
  <si>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</si>
  <si>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</si>
  <si>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Asociația Habilitas - Centrul de Resurse și formare profesională</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</si>
  <si>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</si>
  <si>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AA3/02.03.2020</t>
  </si>
  <si>
    <t>Implică-te în politici publice pentru afaceri</t>
  </si>
  <si>
    <t>ASOCIAȚIA PENTRU DEZVOLTAREA ANTREPRENORIATULUI FEMININ</t>
  </si>
  <si>
    <t>AA1/16.10.2019                                           AA2/213.02.2020</t>
  </si>
  <si>
    <t>IP12/2018
(MySMIS: 
POCA/ 399/1/1)</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</si>
  <si>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</si>
  <si>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</si>
  <si>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Consolidarea capacitații Agenției Naționale de Administrare Fiscala de a susține inițiativele de modernizare</t>
  </si>
  <si>
    <t>Agenția Naționlă de Administrare Fiscală</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</si>
  <si>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</si>
  <si>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Sistem de management al calitatii pentru Ministerul Educatiei Nationale si structuri subordonate</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</si>
  <si>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</si>
  <si>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</si>
  <si>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1. ASOCIATIA PENTRU IMPLEMENTAREA DEMOCRATIEI 2. UNITATEA EXECUTIVA PENTRU FINANTAREA INVATAMANTULUI SUPERIOR, A CERCETARII,
DEZVOLTARII SI INOVARII/Centrul pentru Politici Publice in Invatamantul Superior, Stiinta, Inovare
si Antreprenoriat                                3. ASOCIATIA "C4C COMMUNICATION FOR COMMUNITY"</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</si>
  <si>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</si>
  <si>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AA1/22.07.2019</t>
  </si>
  <si>
    <t>Primarie Fara Hartie si Implicarea Cetatenilor in Planificarea Strategica a Sectorului 6</t>
  </si>
  <si>
    <t>SECTORUL 6 AL MUNICIPIULUI BUCUREŞTI</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</si>
  <si>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</si>
  <si>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</si>
  <si>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</si>
  <si>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</si>
  <si>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</si>
  <si>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</si>
  <si>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TAEJ - Transparenta, accesibilitate si educatie juridica prin imbunatatirea comunicarii publice la nivelul sistemului judiciar</t>
  </si>
  <si>
    <t>Consiliul Superior al Magistraturii</t>
  </si>
  <si>
    <t xml:space="preserve">1. Scoala Nationala de Grefieri;                                         2. Inspectia Judiciara                        3. Parchetul de pe langa Inalta Curte de Casatie si Justitie/adjunct procuror general                                                                                  4. Institutul National al Magistraturii                                                         5. Ministerul Justitiei                                                                                                                  </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</si>
  <si>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</si>
  <si>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</si>
  <si>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</si>
  <si>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</si>
  <si>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</si>
  <si>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În implementare</t>
  </si>
  <si>
    <t>AA1/08.04.2019
AA2/06.01.2020</t>
  </si>
  <si>
    <t>AP2/11i /2.2</t>
  </si>
  <si>
    <t>CP 11/2018</t>
  </si>
  <si>
    <t>Dezvoltarea de reglementări instituționale privind etica, integritatea și anticorupție în sistemul de educație</t>
  </si>
  <si>
    <t>1. Academia de Poliție Al.Ioan Cuza
2. Asociația pentru Implementarea Democrației</t>
  </si>
  <si>
    <t>Obiectivul general: Cresterea capacitatii institutionale a MEN de aplicare a normelor, mecanismelor si procedurilor în materie de etica, integritate si anticoruptie la nivelul activitatii sale manageriale si administrative, în concordanþa cu SCAP
Obiective specifice:
OS1. Dezvoltarea si actualizarea unui cadru procedural unitar pentru asigurarea eticii, integritatii si conduitei anticoruptie in
activitatea manageriala si administrativa a MEN care reglementeaza organizarea si functionarea sistemului de educatie
OS2. Cresterea nivelului de educatie anticoruptie in randul personalului angajat al MEN
OS3. Cresterea gradului de constientizare publica a implementarii masurilor anticoruptie in domeniul educatie</t>
  </si>
  <si>
    <t>AA1/03.02.2020</t>
  </si>
  <si>
    <t>IP14/2019
(MySMIS: 
POCA/ 513/1/1 )</t>
  </si>
  <si>
    <t>INCLUZIUNE ȘI EGALITATE DE SANSE
POST-2020 - Cadru strategic național de
politică pentru incluziunea socială și
egalitatea de șanse post 2020</t>
  </si>
  <si>
    <t>MINISTERUL MUNCII ȘI PROTECȚIEI SOCIALE</t>
  </si>
  <si>
    <t>1. AGENȚIA NAȚIONALĂ PENTRU EGALITATEA DE ȘANSE ÎNTRE FEMEI ȘI BĂRBAȚI
2. SCOALA NATIONALĂ DE STUDII POLITICE SI ADMINISTRATIVE</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</si>
  <si>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</si>
  <si>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AA1/27.11.2019 FSE SI CP</t>
  </si>
  <si>
    <t>Cresterea capacității sistemului CDI de a răspunde provocarilor globale. Consolidarea capacității+G413
anticipatorii de elaborare a politicilor publice bazate pe dovezi</t>
  </si>
  <si>
    <t>UNITATEA EXECUTIVA PENTRU FINANTAREA INVATAMANTULUI SUPERIOR, A CERCETARII,</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</si>
  <si>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legislaþiei în domeniul CDI, asociat cadrului strategic dezvoltat
5. Implementarea unui sistem de managementul calitaþii la nivelul MCI
6. Dezvoltarea competenþelor membrilor grupului þinta si actorilor implicaþi în activitaþile proiectului si în implementara cadrului
strategic dezvoltat (SNCDI, SNSI)</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</si>
  <si>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</si>
  <si>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</si>
  <si>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</si>
  <si>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Armonizarea cadrului legislativ pentru implementarea planului de reformă în sănătate</t>
  </si>
  <si>
    <t>MINISTERUL SĂNĂTĂȚII</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</si>
  <si>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</si>
  <si>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IP 11/2018</t>
  </si>
  <si>
    <t>Sprijin în implementarea SNAP prin consolidarea capacitații administrative a ANAP și a autoritaților contractante</t>
  </si>
  <si>
    <t>MINISTERUL LUCRĂRILOR PUBLICE, DEZVOLTĂRII ȘI ADMINISTRAȚIEI (Institutul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</si>
  <si>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</si>
  <si>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</si>
  <si>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</si>
  <si>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</si>
  <si>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</si>
  <si>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</si>
  <si>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</si>
  <si>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AA1/19.02.2020</t>
  </si>
  <si>
    <t>IP15/2019
(MySMIS: 
POCA/ 535/1/2 )</t>
  </si>
  <si>
    <t>POLISE - Implementarea de politici și instrumente moderne pentru selectia si evaluarea resurselor umane în Serviciul de Protecție si Pază</t>
  </si>
  <si>
    <t>SERVICIUL DE PROTECŢIE ŞI PAZĂ - U.M. 0149 BUCUREŞTI</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</si>
  <si>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</si>
  <si>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</si>
  <si>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</si>
  <si>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</si>
  <si>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</si>
  <si>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A.N.A.N.P.-Pilon strategic în dezvoltarea comunitaþiilor locale si a mediului de afaceri prin
consolidarea capacitaþii administrative în ariile naturale protejate din România</t>
  </si>
  <si>
    <t>AGENTIA NATIONALĂ PENTRU ARII NATURALE PROTEJATE</t>
  </si>
  <si>
    <t>INSTITUTUL NATIONAL DE CERCETARI ECONOMICE "COSTIN C. KIRITESCU"</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</si>
  <si>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</si>
  <si>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</si>
  <si>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</si>
  <si>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</si>
  <si>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</si>
  <si>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</si>
  <si>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</si>
  <si>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</si>
  <si>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PROGRES în asigurarea tranziþiei de la îngrijirea în instituþii la îngrijirea în comunitate</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</si>
  <si>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</si>
  <si>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</si>
  <si>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</si>
  <si>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31.09.2021</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</si>
  <si>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</si>
  <si>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</si>
  <si>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</si>
  <si>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</si>
  <si>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</si>
  <si>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Întărirea capacității INA privind dezvoltarea de studii/ analize cu impact asupra sistemului de formare profesională în administrația publică</t>
  </si>
  <si>
    <t>Institutul Național de Administrație</t>
  </si>
  <si>
    <t>1. SGG
2. ANFP</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</si>
  <si>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</si>
  <si>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AA 1/15.01.2019 - SUSPENDARE 3 LUNI</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</si>
  <si>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</si>
  <si>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</si>
  <si>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</si>
  <si>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</si>
  <si>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</si>
  <si>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</si>
  <si>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Optimizarea, eficientizarea cadrului procedural și digitalizarea proceselor  de management al resurselor umane din cadrul STS</t>
  </si>
  <si>
    <t>SERVICIUL DE TELECOMUNICATII SPECIALE</t>
  </si>
  <si>
    <t>1. ACADEMIA DE STUDII ECONOMICE DIN BUCURESTI
2. UNITATEA MILITARA 01512/Conducere
3. UNITATEA MILITARA 02648</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</si>
  <si>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</si>
  <si>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INTELLIGENCE în serviciul cetățenilor</t>
  </si>
  <si>
    <t>SERVICIUL ROMÂN DE INFORMAȚII PRIN UNITATEA MILITARĂ 0929 BUCUREȘTI</t>
  </si>
  <si>
    <t>1. UM 0472 BUCUREȘTI
2. ACADEMIA NATIONALA DE INFORMATII "MIHAI VITEAZUL" - UNITATEA MILITARA 0418 BUCURESTI
3. SERVICIUL ROMAN DE INFORMATII PRIN INSTITUTUL PENTRU TEHNOLOGII AVANSATE</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</si>
  <si>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</si>
  <si>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</si>
  <si>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</si>
  <si>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</si>
  <si>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Consolidarea funcțiilor de management strategic la nivelul SGG</t>
  </si>
  <si>
    <t>-</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</si>
  <si>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</si>
  <si>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Fundamentarea politicii de investiții pentru dezvoltarea socio-economică în perioada 2021-2030</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</si>
  <si>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</si>
  <si>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</si>
  <si>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</si>
  <si>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</si>
  <si>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MINISTERUL AFACERILOR INTERNE/DGMRU</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</si>
  <si>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</si>
  <si>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</si>
  <si>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</si>
  <si>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</si>
  <si>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Național</t>
  </si>
  <si>
    <t>AA1/26.11.2019 AA LA ACORDUL DE PARTENERIAT</t>
  </si>
  <si>
    <t>CCR-SAI pentru cetățean</t>
  </si>
  <si>
    <t>Curtea de Conturi a României</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</si>
  <si>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</si>
  <si>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Monitorizarea și evaluarea integrată a performanței serviciilor publice</t>
  </si>
  <si>
    <t>1. Patronatul Serviciilor Publice
2. MINISTERUL ECONOMIEI, ENERGIEI ȘI MEDIULUI DE AFACERI</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</si>
  <si>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</si>
  <si>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</si>
  <si>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MINISTERUL AGRICULTURII SI DEZVOLTARII RURALE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</si>
  <si>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</si>
  <si>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</si>
  <si>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</si>
  <si>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Consolidarea Sistemului Statistic National
si modernizarea proceselor de productie
statistica pentru efectuarea recensamintelor
nationale</t>
  </si>
  <si>
    <t>INSTITUTUL NATIONAL DE STATISTICA</t>
  </si>
  <si>
    <t>INA</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</si>
  <si>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</si>
  <si>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Creșterea capacității administrative a Camerei Deputaților pentru furnizarea de servicii de calitate</t>
  </si>
  <si>
    <t>CAMERA DEPUTATILOR/DA</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</si>
  <si>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</si>
  <si>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Elaborarea politicii urbane ca instrument de consolidare a capacității administrative si de planificare strategică a zonelor urbane din România</t>
  </si>
  <si>
    <t>N.A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</si>
  <si>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</si>
  <si>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</si>
  <si>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MINISTERUL FONDURILOR EUROPENE/DGMRU-SACA</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</si>
  <si>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</si>
  <si>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</si>
  <si>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Agentia Nationala de Integritate</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</si>
  <si>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</si>
  <si>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</si>
  <si>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</si>
  <si>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</si>
  <si>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</si>
  <si>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</si>
  <si>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</si>
  <si>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</si>
  <si>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</si>
  <si>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</si>
  <si>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</si>
  <si>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AGENTIA NATIONALA DE ADMINISTRARE FISCALA/Cabinet Secretar General</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</si>
  <si>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</si>
  <si>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</si>
  <si>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</si>
  <si>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</si>
  <si>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</si>
  <si>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</si>
  <si>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DEPARTAMENTUL PENTRU ROMÂNII DE PRETUTINDENI</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</si>
  <si>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</si>
  <si>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</si>
  <si>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</si>
  <si>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Întărirea capacității autorității publice centrale în domeniul apelor în scopul implementării etapelor a 2-a și a 3-a ale Ciclului II al Directivei Inundații - RO-FLOODS</t>
  </si>
  <si>
    <t>ADMINISTRATIA NATIONALA "APELE ROMANE"</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</si>
  <si>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</si>
  <si>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</si>
  <si>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</si>
  <si>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</si>
  <si>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</si>
  <si>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</si>
  <si>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</si>
  <si>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1. MINISTERUL ECONOMIEI, ENERGIEI ȘI MEDIULUI DE AFACERI (INSTITUTUL NAŢIONAL DE     ADMINISTRAŢIE)                      2. AGENTIA NATIONALA A FUNCTIONARILOR PUBLICI</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</si>
  <si>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</si>
  <si>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</si>
  <si>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</si>
  <si>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</si>
  <si>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</si>
  <si>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</si>
  <si>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</si>
  <si>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</si>
  <si>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</si>
  <si>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</si>
  <si>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</si>
  <si>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</si>
  <si>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</si>
  <si>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</si>
  <si>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</si>
  <si>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</si>
  <si>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Ajustarea legislației relevante privind combaterea dopajului în sport</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</si>
  <si>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</si>
  <si>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</si>
  <si>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Modernizarea sistemului de evaluare a dizabilităţii din România</t>
  </si>
  <si>
    <t>AUTORITATEA NATIONALA PENTRU PERSOANELE CU DIZABILITATI</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</si>
  <si>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</si>
  <si>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</si>
  <si>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</si>
  <si>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</si>
  <si>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</si>
  <si>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</si>
  <si>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MINISTERUL MEDIULUI, APELOR SI PADURILOR</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</si>
  <si>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</si>
  <si>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</si>
  <si>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</si>
  <si>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 AGENTIA NATIONALA PENTRU PROTECTIA MEDIULUI                                  2. GARDA NATIONALA DE MEDIU                                       3. UNIVERSITATEA DIN BUCURESTI                                 4. AGENŢIA NAŢIONALĂ PENTRU ARII NATURALE PROTEJATE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</si>
  <si>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</si>
  <si>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</si>
  <si>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</si>
  <si>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1. Sistematizarea procesului de colectare si prelucrare a datelor utilizate pentru calculul costurilor serviciilor spitalicesti în
România, prin elaborarea si implementarea instrumentelor unitare, necesare în analiza si evaluarea serviciilor de sanatate.
2. Elaborarea si adoptarea unor standarde de cost pentru primele 20 cele mai frecvente patologii - cazuri internate în
regim de spitalizare continua, ceea ce va permite consolidarea capacitaþii administrative de planificare strategica si financiara la
nivelul sistemului de sanatate.
3. Sistematizarea si simplificarea actelor normative incidente în domeniul calitaþii serviciilor de sanatate.</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</si>
  <si>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</si>
  <si>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</si>
  <si>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</si>
  <si>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IP16/2019</t>
  </si>
  <si>
    <t>Dezvoltarea și implementarea unor mecanisme electronice integrate pentru desfășurarea și
monitorizarea achizițiilor centralizate</t>
  </si>
  <si>
    <t>Oficiul Național pentru Achiziții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</si>
  <si>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</si>
  <si>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</si>
  <si>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AP1/11i /1.2</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</si>
  <si>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</si>
  <si>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</si>
  <si>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</si>
  <si>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</si>
  <si>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</si>
  <si>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Cresterea capacitatii institutionale pentru dezvoltarea nationala coordonata a ingrijirilor paleative si ingrijirilor la domiciliu (PAL PLAN)</t>
  </si>
  <si>
    <t>MINISTERUL SANATATII</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</si>
  <si>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</si>
  <si>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</si>
  <si>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Valoarea neeligibilă a proiectului</t>
  </si>
  <si>
    <t>Procent executie</t>
  </si>
  <si>
    <t>Diferenta de plata pana la finalizarea proiectului</t>
  </si>
  <si>
    <t>CP 13 less/2019</t>
  </si>
  <si>
    <t>Municipiul Blaj – Administratie publica
inteligenta si participativa</t>
  </si>
  <si>
    <t>Obiectivele specifice ale proiectului
OS1. Elaborarea documentelor strategice ce vor sta la baza obþinerii finanþarilor din politica de coeziune aferente perioadei 2021-
2027, inclusiv Strategia integrata de dezvoltare urbana (SIDU), si Planul de mobilitate urbana durabila (PMUD).OS 2. Infiintarea Centrului de Inovare si Imaginatie Civica (CIIC) si dezvoltarea mecanismelor în vederea optimizarii proceselor decizionale orientate catre cetateni si mediul de afaceri din Municipiul Blaj.OS3.Dezvoltarea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(GIS).OS4. Retro-digitalizarea documentelor din arhiva si crearea infrastructurii necesare arhivarii electronice a documentelor tradiþionale existente în arhiva instituþiei, care prezinta valoare operaþionala în prezent.OS 5. Formarea/instruirea functionarilor publici si contractuali, inclusiv a factorilor de decizie la nivel politic, în planificare strategica si utilizarea instrumentelor digitale.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</si>
  <si>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</si>
  <si>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</si>
  <si>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</si>
  <si>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Promovarea dezvoltarii urbane durabile prin
elaborarea documentelor de planificare
strategica pentru perioada 2021-2027 -
PLANIFIC</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</si>
  <si>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cunostinþelor si abilitaþilor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</si>
  <si>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Imbunatatirea calitatii serviciilor furnizate de primaria Municipiului Toplita prin introducerea si mentinerea sistemului de management al calitatii ISO9001:2015</t>
  </si>
  <si>
    <t>Obiectivul general al proiectului consta in dezvoltarea capacitatii administrative a municipiului Toplita, prin reproiectarea proceselor operationale pentru alinierea sistemului existent la cerintele sistemului de management al calitatii in conformitate cu prevederile standardului SR EN ISO 9001:2015, fapt ce va determina cresterea calitatii actului administrativ pe termen lung.
Obiectivele specifice ale proiectului
1. Obiectivele specifice ale proiectului sunt:
OS1-Revizuirea si optimizarea fluxurilor interne de lucru in vederea reproiectarii corespunzatoare a sistemului de management al calitatii la nivelul Primariei Municipiului Toplita
OS2-Realizarea tranzitiei sistemului de management al calitatii existent in conformitate cu prevederile standardului SR EN ISO
9001:2015, coroborata cu implementarea unui program informatic de management al documentelor, care va permite
imbunatatirea semnificativa a calitatii si eficientei serviciilor publice furnizate de catre Municipiul Toplita
OS3-Promovarea modernizarii in administratia publica locala din municipiul Toplita, prin specializarea personalului din cadrul
primariei pe teme specifice managementului calitatii (170 persoane), ceea ce va determina motivarea si mobilizarea acestora in directia inovatiei si in oferirea de servicii publice de calitate.</t>
  </si>
  <si>
    <t>Toplița</t>
  </si>
  <si>
    <t>REZILIAT</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</si>
  <si>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</si>
  <si>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</si>
  <si>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</si>
  <si>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</si>
  <si>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</si>
  <si>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AA2/19.02.2020, I3</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</si>
  <si>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</si>
  <si>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</si>
  <si>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</si>
  <si>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</si>
  <si>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Ordin 1352/24.03.2020</t>
  </si>
  <si>
    <t>AA3/04.09.2019; suspendat din 09.04.2020 pt 2 luni</t>
  </si>
  <si>
    <t>AA1/19.03.2020</t>
  </si>
  <si>
    <t>AA2/24.10.2019, I3</t>
  </si>
  <si>
    <t>Optimizarea procesului decizional si al planificării strategice și bugetare la nivelul Consiliului Județean Bihor</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</si>
  <si>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</si>
  <si>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</si>
  <si>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</si>
  <si>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r>
      <t xml:space="preserve">Municipiului </t>
    </r>
    <r>
      <rPr>
        <sz val="12"/>
        <color theme="1"/>
        <rFont val="Calibri"/>
        <family val="2"/>
        <scheme val="minor"/>
      </rPr>
      <t>Galați</t>
    </r>
  </si>
  <si>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</si>
  <si>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</si>
  <si>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sz val="12"/>
        <rFont val="Calibri"/>
        <family val="2"/>
        <scheme val="minor"/>
      </rPr>
      <t xml:space="preserve">etica si integritatea, inclusiv prin abordarea temelor de devoltare durabila, egalitate de 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
</t>
    </r>
  </si>
  <si>
    <r>
      <t>FEDERA</t>
    </r>
    <r>
      <rPr>
        <sz val="12"/>
        <color theme="1"/>
        <rFont val="Calibri"/>
        <family val="2"/>
        <scheme val="minor"/>
      </rPr>
      <t>ŢIA NAŢIONALĂ A SINDICATELOR MUNCII ȘI PROTECŢIEI SOCIALE</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</si>
  <si>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sz val="12"/>
        <rFont val="Calibri"/>
        <family val="2"/>
        <scheme val="minor"/>
      </rPr>
      <t>Obiectivele specifice ale proiectului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</si>
  <si>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sz val="12"/>
        <rFont val="Calibri"/>
        <family val="2"/>
        <scheme val="minor"/>
      </rPr>
      <t>Obiectiv general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Obiective specifice                                                                                                                                                                                                                         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</si>
  <si>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sz val="12"/>
        <rFont val="Calibri"/>
        <family val="2"/>
        <scheme val="minor"/>
      </rPr>
      <t>Obiectivul general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Obiectivele specifice ale proiectului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</si>
  <si>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sz val="12"/>
        <rFont val="Calibri"/>
        <family val="2"/>
        <scheme val="minor"/>
      </rPr>
      <t>Obiectivul general consta in dezvoltarea capacitatii ONG-urilor de a dezvolta politici publice alternative, în vederea optimizarii proceselor decizionale ale administratieipublice, orientate catre cetateni si mediul de afaceri. Obiective specifice: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</si>
  <si>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sz val="12"/>
        <rFont val="Calibri"/>
        <family val="2"/>
        <scheme val="minor"/>
      </rPr>
      <t>Obiectiv general: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Obiective specifice: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</si>
</sst>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000000"/>
    <numFmt numFmtId="165" formatCode="_-* #,##0.00\ _l_e_i_-;\-* #,##0.00\ _l_e_i_-;_-* &quot;-&quot;??\ _l_e_i_-;_-@_-"/>
    <numFmt numFmtId="166" formatCode="#,##0.00_ ;\-#,##0.00\ "/>
    <numFmt numFmtId="167" formatCode="#,##0.00;[Red]#,##0.00"/>
  </numFmts>
  <fonts count="14" x14ac:knownFonts="1">
    <font>
      <sz val="11"/>
      <color theme="1"/>
      <name val="Calibri"/>
      <family val="2"/>
      <scheme val="minor"/>
    </font>
    <font>
      <sz val="11"/>
      <color theme="1"/>
      <name val="Calibri"/>
      <family val="2"/>
      <scheme val="minor"/>
    </font>
    <font>
      <sz val="11"/>
      <color theme="1"/>
      <name val="Calibri"/>
      <family val="2"/>
      <charset val="238"/>
      <scheme val="minor"/>
    </font>
    <font>
      <b/>
      <sz val="12"/>
      <color theme="1"/>
      <name val="Calibri"/>
      <family val="2"/>
      <scheme val="minor"/>
    </font>
    <font>
      <sz val="12"/>
      <color theme="1"/>
      <name val="Calibri"/>
      <family val="2"/>
      <scheme val="minor"/>
    </font>
    <font>
      <sz val="12"/>
      <name val="Calibri"/>
      <family val="2"/>
      <scheme val="minor"/>
    </font>
    <font>
      <u/>
      <sz val="12"/>
      <name val="Calibri"/>
      <family val="2"/>
      <scheme val="minor"/>
    </font>
    <font>
      <i/>
      <sz val="12"/>
      <color theme="1"/>
      <name val="Calibri"/>
      <family val="2"/>
      <scheme val="minor"/>
    </font>
    <font>
      <sz val="12"/>
      <name val="Calibri"/>
      <family val="2"/>
      <charset val="238"/>
      <scheme val="minor"/>
    </font>
    <font>
      <sz val="12"/>
      <color theme="1"/>
      <name val="Calibri"/>
      <family val="2"/>
      <charset val="238"/>
      <scheme val="minor"/>
    </font>
    <font>
      <sz val="12"/>
      <name val="Trebuchet MS"/>
      <family val="2"/>
      <charset val="238"/>
    </font>
    <font>
      <sz val="12"/>
      <color theme="1"/>
      <name val="Trebuchet MS"/>
      <family val="2"/>
      <charset val="238"/>
    </font>
    <font>
      <sz val="12"/>
      <color rgb="FF000000"/>
      <name val="Calibri"/>
      <family val="2"/>
      <charset val="238"/>
      <scheme val="minor"/>
    </font>
    <font>
      <i/>
      <sz val="12"/>
      <color theme="1"/>
      <name val="Calibri"/>
      <family val="2"/>
      <charset val="238"/>
      <scheme val="minor"/>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double">
        <color rgb="FFFF800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2" fillId="0" borderId="0"/>
  </cellStyleXfs>
  <cellXfs count="177">
    <xf numFmtId="0" fontId="0" fillId="0" borderId="0" xfId="0"/>
    <xf numFmtId="0" fontId="3" fillId="0" borderId="0" xfId="0" applyFont="1" applyAlignment="1">
      <alignment vertical="center" wrapText="1"/>
    </xf>
    <xf numFmtId="166" fontId="8" fillId="0" borderId="1" xfId="1" applyNumberFormat="1" applyFont="1" applyFill="1" applyBorder="1" applyAlignment="1">
      <alignment horizontal="right" vertical="center" wrapText="1"/>
    </xf>
    <xf numFmtId="0" fontId="3" fillId="2" borderId="1" xfId="0" applyFont="1" applyFill="1" applyBorder="1" applyAlignment="1">
      <alignment horizontal="center" vertical="center" wrapText="1"/>
    </xf>
    <xf numFmtId="0" fontId="9" fillId="0" borderId="0" xfId="0" applyFont="1" applyAlignment="1">
      <alignment vertical="center" wrapText="1"/>
    </xf>
    <xf numFmtId="14" fontId="9" fillId="0" borderId="0" xfId="0" applyNumberFormat="1" applyFont="1" applyAlignment="1">
      <alignment horizontal="center" vertical="center" wrapText="1"/>
    </xf>
    <xf numFmtId="0" fontId="9" fillId="0" borderId="0" xfId="0" applyFont="1" applyAlignment="1">
      <alignment vertical="center"/>
    </xf>
    <xf numFmtId="0" fontId="9" fillId="0" borderId="0" xfId="0" applyFont="1" applyAlignment="1">
      <alignment horizontal="center" vertical="center"/>
    </xf>
    <xf numFmtId="2" fontId="9" fillId="0" borderId="0" xfId="0" applyNumberFormat="1" applyFont="1" applyAlignment="1">
      <alignment horizontal="center" vertical="center"/>
    </xf>
    <xf numFmtId="43" fontId="9" fillId="0" borderId="0" xfId="1" applyFont="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left" vertical="center"/>
    </xf>
    <xf numFmtId="0" fontId="9" fillId="0" borderId="1" xfId="0" applyFont="1" applyBorder="1" applyAlignment="1">
      <alignment vertical="center"/>
    </xf>
    <xf numFmtId="0" fontId="8" fillId="0" borderId="1" xfId="0" applyFont="1" applyBorder="1" applyAlignment="1">
      <alignment horizontal="left" vertical="center" wrapText="1"/>
    </xf>
    <xf numFmtId="0" fontId="8" fillId="0" borderId="1" xfId="0" applyFont="1" applyBorder="1" applyAlignment="1">
      <alignment horizontal="justify" vertical="top" wrapText="1"/>
    </xf>
    <xf numFmtId="14" fontId="8" fillId="0" borderId="1" xfId="0" applyNumberFormat="1" applyFont="1" applyBorder="1" applyAlignment="1">
      <alignment horizontal="center" vertical="center"/>
    </xf>
    <xf numFmtId="164" fontId="8" fillId="0" borderId="1" xfId="0" applyNumberFormat="1" applyFont="1" applyBorder="1" applyAlignment="1">
      <alignment horizontal="center" vertical="center"/>
    </xf>
    <xf numFmtId="0" fontId="9" fillId="0" borderId="1" xfId="0" applyFont="1" applyBorder="1" applyAlignment="1">
      <alignment horizontal="center" vertical="center"/>
    </xf>
    <xf numFmtId="0" fontId="8" fillId="0" borderId="1" xfId="0" applyFont="1" applyBorder="1" applyAlignment="1">
      <alignment horizontal="center" vertical="center" wrapText="1"/>
    </xf>
    <xf numFmtId="166" fontId="8" fillId="0" borderId="1" xfId="1" applyNumberFormat="1" applyFont="1" applyFill="1" applyBorder="1" applyAlignment="1">
      <alignment horizontal="right" vertical="center"/>
    </xf>
    <xf numFmtId="4" fontId="9" fillId="0" borderId="0" xfId="0" applyNumberFormat="1" applyFont="1" applyAlignment="1">
      <alignment horizontal="right" vertical="center"/>
    </xf>
    <xf numFmtId="4" fontId="8" fillId="0" borderId="1" xfId="1" applyNumberFormat="1" applyFont="1" applyFill="1" applyBorder="1" applyAlignment="1">
      <alignment horizontal="right" vertical="center"/>
    </xf>
    <xf numFmtId="3" fontId="8" fillId="0" borderId="1" xfId="0" applyNumberFormat="1" applyFont="1" applyBorder="1" applyAlignment="1">
      <alignment horizontal="right" vertical="center"/>
    </xf>
    <xf numFmtId="14" fontId="9" fillId="0" borderId="1" xfId="0" applyNumberFormat="1" applyFont="1" applyBorder="1" applyAlignment="1">
      <alignment horizontal="right" vertical="center"/>
    </xf>
    <xf numFmtId="4" fontId="8" fillId="0" borderId="1" xfId="0" applyNumberFormat="1" applyFont="1" applyBorder="1" applyAlignment="1">
      <alignment horizontal="right" vertical="center"/>
    </xf>
    <xf numFmtId="4" fontId="8" fillId="0" borderId="5" xfId="0" applyNumberFormat="1" applyFont="1" applyBorder="1" applyAlignment="1">
      <alignment horizontal="right" vertical="center"/>
    </xf>
    <xf numFmtId="43" fontId="9" fillId="0" borderId="1" xfId="1" applyFont="1" applyBorder="1" applyAlignment="1">
      <alignment vertical="center"/>
    </xf>
    <xf numFmtId="10" fontId="9" fillId="0" borderId="1" xfId="0" applyNumberFormat="1" applyFont="1" applyBorder="1" applyAlignment="1">
      <alignment vertical="center"/>
    </xf>
    <xf numFmtId="14"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 fontId="8" fillId="0" borderId="1" xfId="1" applyNumberFormat="1" applyFont="1" applyFill="1" applyBorder="1" applyAlignment="1">
      <alignment horizontal="right" vertical="center" wrapText="1"/>
    </xf>
    <xf numFmtId="14" fontId="9" fillId="0" borderId="1" xfId="0" applyNumberFormat="1" applyFont="1" applyBorder="1" applyAlignment="1">
      <alignment horizontal="right" vertical="center" wrapText="1"/>
    </xf>
    <xf numFmtId="4" fontId="8" fillId="0" borderId="1" xfId="0" applyNumberFormat="1" applyFont="1" applyBorder="1" applyAlignment="1">
      <alignment horizontal="right" vertical="center" wrapText="1"/>
    </xf>
    <xf numFmtId="4" fontId="8" fillId="0" borderId="5" xfId="0" applyNumberFormat="1" applyFont="1" applyBorder="1" applyAlignment="1">
      <alignment horizontal="right" vertical="center" wrapText="1"/>
    </xf>
    <xf numFmtId="0" fontId="8" fillId="0" borderId="4" xfId="0" applyFont="1" applyBorder="1" applyAlignment="1">
      <alignment horizontal="center" vertical="center" wrapText="1"/>
    </xf>
    <xf numFmtId="2" fontId="8" fillId="0" borderId="1" xfId="0" applyNumberFormat="1" applyFont="1" applyBorder="1" applyAlignment="1">
      <alignment horizontal="right" vertical="center" wrapText="1"/>
    </xf>
    <xf numFmtId="3" fontId="8" fillId="0" borderId="1" xfId="0" applyNumberFormat="1" applyFont="1" applyBorder="1" applyAlignment="1">
      <alignment horizontal="right" vertical="center" wrapText="1"/>
    </xf>
    <xf numFmtId="0" fontId="8" fillId="0" borderId="4" xfId="0" applyFont="1" applyBorder="1" applyAlignment="1">
      <alignment horizontal="left" vertical="center" wrapText="1"/>
    </xf>
    <xf numFmtId="0" fontId="8" fillId="0" borderId="1" xfId="0" applyFont="1" applyBorder="1" applyAlignment="1">
      <alignment horizontal="right" vertical="center" wrapText="1"/>
    </xf>
    <xf numFmtId="166" fontId="8" fillId="0" borderId="1" xfId="0" applyNumberFormat="1" applyFont="1" applyBorder="1" applyAlignment="1">
      <alignment horizontal="right" vertical="center" wrapText="1"/>
    </xf>
    <xf numFmtId="0" fontId="8" fillId="0" borderId="1" xfId="0" applyFont="1" applyBorder="1" applyAlignment="1">
      <alignment horizontal="left" vertical="top"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14" fontId="10"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166" fontId="10" fillId="0" borderId="1" xfId="1" applyNumberFormat="1" applyFont="1" applyFill="1" applyBorder="1" applyAlignment="1">
      <alignment horizontal="right" vertical="center" wrapText="1"/>
    </xf>
    <xf numFmtId="4" fontId="10" fillId="0" borderId="1" xfId="1" applyNumberFormat="1" applyFont="1" applyFill="1" applyBorder="1" applyAlignment="1">
      <alignment horizontal="right" vertical="center" wrapText="1"/>
    </xf>
    <xf numFmtId="4" fontId="9" fillId="0" borderId="0" xfId="0" applyNumberFormat="1" applyFont="1" applyAlignment="1">
      <alignment horizontal="right" vertical="center" wrapText="1"/>
    </xf>
    <xf numFmtId="0" fontId="9" fillId="0" borderId="0" xfId="0" applyFont="1" applyAlignment="1">
      <alignment wrapText="1"/>
    </xf>
    <xf numFmtId="0" fontId="9" fillId="0" borderId="1" xfId="0" applyFont="1" applyBorder="1" applyAlignment="1">
      <alignment wrapText="1"/>
    </xf>
    <xf numFmtId="0" fontId="8" fillId="0" borderId="1" xfId="0" applyFont="1" applyBorder="1" applyAlignment="1">
      <alignment horizontal="justify" vertical="center" wrapText="1"/>
    </xf>
    <xf numFmtId="1" fontId="8" fillId="0" borderId="1" xfId="0" applyNumberFormat="1" applyFont="1" applyBorder="1" applyAlignment="1">
      <alignment horizontal="center" vertical="center" wrapText="1"/>
    </xf>
    <xf numFmtId="166" fontId="8" fillId="0" borderId="1" xfId="1" applyNumberFormat="1" applyFont="1" applyFill="1" applyBorder="1" applyAlignment="1">
      <alignment horizontal="center" vertical="center" wrapText="1"/>
    </xf>
    <xf numFmtId="4" fontId="12" fillId="0" borderId="0" xfId="0" applyNumberFormat="1" applyFont="1" applyAlignment="1">
      <alignment horizontal="center" vertical="center" wrapText="1"/>
    </xf>
    <xf numFmtId="166" fontId="8" fillId="0" borderId="6" xfId="1" applyNumberFormat="1" applyFont="1" applyFill="1" applyBorder="1" applyAlignment="1">
      <alignment horizontal="right" vertical="center" wrapText="1"/>
    </xf>
    <xf numFmtId="4" fontId="8" fillId="0" borderId="6" xfId="1" applyNumberFormat="1" applyFont="1" applyFill="1" applyBorder="1" applyAlignment="1">
      <alignment horizontal="right" vertical="center" wrapText="1"/>
    </xf>
    <xf numFmtId="0" fontId="9" fillId="0" borderId="1" xfId="0" applyFont="1" applyBorder="1" applyAlignment="1">
      <alignment vertical="top" wrapText="1"/>
    </xf>
    <xf numFmtId="0" fontId="9" fillId="0" borderId="1" xfId="0" applyFont="1" applyBorder="1" applyAlignment="1">
      <alignment horizontal="left" vertical="center" wrapText="1"/>
    </xf>
    <xf numFmtId="0" fontId="9" fillId="0" borderId="1" xfId="0" applyFont="1" applyBorder="1" applyAlignment="1">
      <alignment vertical="center" wrapText="1"/>
    </xf>
    <xf numFmtId="4" fontId="9" fillId="0" borderId="1" xfId="0" applyNumberFormat="1" applyFont="1" applyBorder="1" applyAlignment="1">
      <alignment horizontal="right" vertical="center" wrapText="1"/>
    </xf>
    <xf numFmtId="0" fontId="9" fillId="0" borderId="4" xfId="0" applyFont="1" applyBorder="1" applyAlignment="1">
      <alignment horizontal="left" vertical="center" wrapText="1"/>
    </xf>
    <xf numFmtId="4" fontId="8" fillId="0" borderId="7" xfId="1" applyNumberFormat="1" applyFont="1" applyFill="1" applyBorder="1" applyAlignment="1">
      <alignment horizontal="right" vertical="center" wrapText="1"/>
    </xf>
    <xf numFmtId="0" fontId="9" fillId="0" borderId="4" xfId="0" applyFont="1" applyBorder="1" applyAlignment="1">
      <alignment horizontal="center" vertical="center" wrapText="1"/>
    </xf>
    <xf numFmtId="4" fontId="9" fillId="0" borderId="1" xfId="1" applyNumberFormat="1" applyFont="1" applyFill="1" applyBorder="1" applyAlignment="1">
      <alignment horizontal="right" vertical="center" wrapText="1"/>
    </xf>
    <xf numFmtId="4" fontId="9" fillId="0" borderId="0" xfId="0" applyNumberFormat="1" applyFont="1" applyAlignment="1">
      <alignment vertical="center" wrapText="1"/>
    </xf>
    <xf numFmtId="14" fontId="8" fillId="0" borderId="1" xfId="0" applyNumberFormat="1" applyFont="1" applyBorder="1" applyAlignment="1">
      <alignment horizontal="right" vertical="center" wrapText="1"/>
    </xf>
    <xf numFmtId="0" fontId="8" fillId="0" borderId="1" xfId="0" applyFont="1" applyBorder="1" applyAlignment="1">
      <alignment vertical="top" wrapText="1"/>
    </xf>
    <xf numFmtId="14" fontId="8" fillId="0" borderId="3"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165" fontId="9" fillId="0" borderId="1" xfId="0" applyNumberFormat="1" applyFont="1" applyBorder="1" applyAlignment="1">
      <alignment horizontal="center" vertical="center" wrapText="1"/>
    </xf>
    <xf numFmtId="2" fontId="8" fillId="0" borderId="4" xfId="0" applyNumberFormat="1" applyFont="1" applyBorder="1" applyAlignment="1">
      <alignment horizontal="center" vertical="center" wrapText="1"/>
    </xf>
    <xf numFmtId="4" fontId="8" fillId="0" borderId="1" xfId="0" applyNumberFormat="1" applyFont="1" applyBorder="1"/>
    <xf numFmtId="4" fontId="8" fillId="0" borderId="1" xfId="0" applyNumberFormat="1" applyFont="1" applyBorder="1" applyAlignment="1">
      <alignment horizontal="center" vertical="center"/>
    </xf>
    <xf numFmtId="0" fontId="8" fillId="0" borderId="8" xfId="0" applyFont="1" applyBorder="1" applyAlignment="1">
      <alignment horizontal="left" vertical="center" wrapText="1"/>
    </xf>
    <xf numFmtId="0" fontId="9" fillId="0" borderId="9" xfId="0" applyFont="1" applyBorder="1" applyAlignment="1">
      <alignment vertical="top" wrapText="1"/>
    </xf>
    <xf numFmtId="0" fontId="8" fillId="0" borderId="10" xfId="0" applyFont="1" applyBorder="1" applyAlignment="1">
      <alignment horizontal="center" vertical="center" wrapText="1"/>
    </xf>
    <xf numFmtId="0" fontId="9" fillId="0" borderId="0" xfId="0" applyFont="1" applyAlignment="1">
      <alignment horizontal="center" vertical="center" wrapText="1"/>
    </xf>
    <xf numFmtId="4" fontId="8" fillId="0" borderId="1" xfId="0" applyNumberFormat="1" applyFont="1" applyBorder="1" applyAlignment="1">
      <alignment horizontal="left" vertical="center" wrapText="1"/>
    </xf>
    <xf numFmtId="0" fontId="9" fillId="0" borderId="10" xfId="0" applyFont="1" applyBorder="1" applyAlignment="1">
      <alignment horizontal="left" vertical="center" wrapText="1"/>
    </xf>
    <xf numFmtId="4" fontId="8" fillId="0" borderId="4" xfId="1" applyNumberFormat="1" applyFont="1" applyFill="1" applyBorder="1" applyAlignment="1">
      <alignment horizontal="right" vertical="center" wrapText="1"/>
    </xf>
    <xf numFmtId="166" fontId="8" fillId="0" borderId="5" xfId="1" applyNumberFormat="1" applyFont="1" applyFill="1" applyBorder="1" applyAlignment="1">
      <alignment horizontal="right"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9" xfId="0" applyFont="1" applyBorder="1" applyAlignment="1">
      <alignment horizontal="left" vertical="center" wrapText="1"/>
    </xf>
    <xf numFmtId="165" fontId="8" fillId="0" borderId="1" xfId="0" applyNumberFormat="1" applyFont="1" applyBorder="1" applyAlignment="1">
      <alignment horizontal="right" vertical="center" wrapText="1"/>
    </xf>
    <xf numFmtId="3" fontId="8" fillId="0" borderId="4"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4" fontId="8" fillId="0" borderId="1" xfId="0" applyNumberFormat="1" applyFont="1" applyBorder="1" applyAlignment="1">
      <alignment horizontal="left" vertical="top" wrapText="1"/>
    </xf>
    <xf numFmtId="49" fontId="8" fillId="0" borderId="4" xfId="0" applyNumberFormat="1" applyFont="1" applyBorder="1" applyAlignment="1">
      <alignment horizontal="center" vertical="center" wrapText="1"/>
    </xf>
    <xf numFmtId="4" fontId="8" fillId="0" borderId="10" xfId="0" applyNumberFormat="1" applyFont="1" applyBorder="1" applyAlignment="1">
      <alignment horizontal="left" vertical="center" wrapText="1"/>
    </xf>
    <xf numFmtId="0" fontId="13" fillId="0" borderId="0" xfId="0" applyFont="1" applyAlignment="1">
      <alignment vertical="center" wrapText="1"/>
    </xf>
    <xf numFmtId="0" fontId="9" fillId="0" borderId="0" xfId="0" applyFont="1" applyAlignment="1">
      <alignment horizontal="left" vertical="center" wrapText="1"/>
    </xf>
    <xf numFmtId="3" fontId="8" fillId="0" borderId="1" xfId="1" applyNumberFormat="1" applyFont="1" applyFill="1" applyBorder="1" applyAlignment="1">
      <alignment horizontal="right" vertical="center" wrapText="1"/>
    </xf>
    <xf numFmtId="166" fontId="8" fillId="0" borderId="4" xfId="1" applyNumberFormat="1" applyFont="1" applyFill="1" applyBorder="1" applyAlignment="1">
      <alignment horizontal="right" vertical="center" wrapText="1"/>
    </xf>
    <xf numFmtId="166" fontId="8" fillId="0" borderId="9" xfId="1" applyNumberFormat="1" applyFont="1" applyFill="1" applyBorder="1" applyAlignment="1">
      <alignment horizontal="right" vertical="center" wrapText="1"/>
    </xf>
    <xf numFmtId="4" fontId="8" fillId="0" borderId="0" xfId="0" applyNumberFormat="1" applyFont="1" applyAlignment="1">
      <alignment horizontal="right" vertical="center" wrapText="1"/>
    </xf>
    <xf numFmtId="4" fontId="8" fillId="0" borderId="11" xfId="0" applyNumberFormat="1" applyFont="1" applyBorder="1" applyAlignment="1">
      <alignment horizontal="right" vertical="center" wrapText="1"/>
    </xf>
    <xf numFmtId="4" fontId="9" fillId="0" borderId="8" xfId="0" applyNumberFormat="1" applyFont="1" applyBorder="1" applyAlignment="1">
      <alignment horizontal="right" vertical="center" wrapText="1"/>
    </xf>
    <xf numFmtId="4" fontId="9" fillId="0" borderId="11" xfId="0" applyNumberFormat="1" applyFont="1" applyBorder="1" applyAlignment="1">
      <alignment horizontal="right" vertical="center" wrapText="1"/>
    </xf>
    <xf numFmtId="4" fontId="8" fillId="0" borderId="6" xfId="0" applyNumberFormat="1" applyFont="1" applyBorder="1" applyAlignment="1">
      <alignment horizontal="right" vertical="center" wrapText="1"/>
    </xf>
    <xf numFmtId="0" fontId="9" fillId="0" borderId="1" xfId="0" applyFont="1" applyBorder="1" applyAlignment="1">
      <alignment horizontal="right" vertical="center" wrapText="1"/>
    </xf>
    <xf numFmtId="0" fontId="9" fillId="0" borderId="0" xfId="0" applyFont="1" applyAlignment="1">
      <alignment horizontal="right" vertical="center" wrapText="1"/>
    </xf>
    <xf numFmtId="166" fontId="8" fillId="0" borderId="1" xfId="0" applyNumberFormat="1" applyFont="1" applyBorder="1" applyAlignment="1">
      <alignment vertical="center"/>
    </xf>
    <xf numFmtId="166" fontId="8" fillId="0" borderId="0" xfId="0" applyNumberFormat="1" applyFont="1" applyAlignment="1">
      <alignment vertical="center"/>
    </xf>
    <xf numFmtId="4" fontId="8" fillId="0" borderId="9" xfId="0" applyNumberFormat="1" applyFont="1" applyBorder="1" applyAlignment="1">
      <alignment horizontal="right" vertical="center" wrapText="1"/>
    </xf>
    <xf numFmtId="4" fontId="8" fillId="0" borderId="12" xfId="0" applyNumberFormat="1" applyFont="1" applyBorder="1" applyAlignment="1">
      <alignment horizontal="right" vertical="center" wrapText="1"/>
    </xf>
    <xf numFmtId="0" fontId="8" fillId="0" borderId="1" xfId="0" applyFont="1" applyBorder="1" applyAlignment="1">
      <alignment horizontal="justify" wrapText="1"/>
    </xf>
    <xf numFmtId="4" fontId="9" fillId="0" borderId="1" xfId="0" applyNumberFormat="1" applyFont="1" applyBorder="1" applyAlignment="1">
      <alignment vertical="center" wrapText="1"/>
    </xf>
    <xf numFmtId="0" fontId="8" fillId="0" borderId="1" xfId="0" applyFont="1" applyBorder="1" applyAlignment="1">
      <alignment horizontal="left" vertical="center" wrapText="1" indent="1"/>
    </xf>
    <xf numFmtId="166" fontId="8" fillId="0" borderId="7" xfId="0" applyNumberFormat="1" applyFont="1" applyBorder="1" applyAlignment="1">
      <alignment horizontal="right" vertical="center" wrapText="1"/>
    </xf>
    <xf numFmtId="4" fontId="8" fillId="0" borderId="9" xfId="1" applyNumberFormat="1" applyFont="1" applyFill="1" applyBorder="1" applyAlignment="1">
      <alignment horizontal="right" vertical="center" wrapText="1"/>
    </xf>
    <xf numFmtId="4" fontId="9" fillId="0" borderId="9" xfId="0" applyNumberFormat="1" applyFont="1" applyBorder="1" applyAlignment="1">
      <alignment horizontal="right" vertical="center" wrapText="1"/>
    </xf>
    <xf numFmtId="166" fontId="8" fillId="0" borderId="1" xfId="0" applyNumberFormat="1" applyFont="1" applyBorder="1"/>
    <xf numFmtId="166" fontId="9" fillId="0" borderId="1" xfId="0" applyNumberFormat="1" applyFont="1" applyBorder="1" applyAlignment="1">
      <alignment horizontal="right" vertical="center" wrapText="1"/>
    </xf>
    <xf numFmtId="166" fontId="9" fillId="0" borderId="1" xfId="0" applyNumberFormat="1" applyFont="1" applyBorder="1"/>
    <xf numFmtId="0" fontId="8" fillId="0" borderId="1" xfId="0" applyFont="1" applyBorder="1" applyAlignment="1">
      <alignment horizontal="left" vertical="justify" wrapText="1"/>
    </xf>
    <xf numFmtId="49" fontId="9" fillId="0" borderId="1" xfId="0" applyNumberFormat="1" applyFont="1" applyBorder="1" applyAlignment="1">
      <alignment horizontal="right" vertical="center" wrapText="1"/>
    </xf>
    <xf numFmtId="4" fontId="8" fillId="0" borderId="10" xfId="0" applyNumberFormat="1" applyFont="1" applyBorder="1" applyAlignment="1">
      <alignment horizontal="right" vertical="center" wrapText="1"/>
    </xf>
    <xf numFmtId="0" fontId="8" fillId="0" borderId="1" xfId="2" applyFont="1" applyBorder="1" applyAlignment="1">
      <alignment horizontal="center" vertical="center" wrapText="1"/>
    </xf>
    <xf numFmtId="4" fontId="8" fillId="0" borderId="13" xfId="0" applyNumberFormat="1" applyFont="1" applyBorder="1" applyAlignment="1">
      <alignment horizontal="right" vertical="center" wrapText="1"/>
    </xf>
    <xf numFmtId="0" fontId="9" fillId="0" borderId="0" xfId="0" applyFont="1" applyAlignment="1">
      <alignment horizontal="justify" vertical="center"/>
    </xf>
    <xf numFmtId="0" fontId="9" fillId="0" borderId="14" xfId="0" applyFont="1" applyBorder="1" applyAlignment="1">
      <alignment horizontal="center" vertical="center" wrapText="1"/>
    </xf>
    <xf numFmtId="0" fontId="9" fillId="0" borderId="1" xfId="0" applyFont="1" applyBorder="1" applyAlignment="1">
      <alignment horizontal="right"/>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8" fillId="0" borderId="9" xfId="0" applyFont="1" applyBorder="1" applyAlignment="1">
      <alignment horizontal="justify" vertical="top" wrapText="1"/>
    </xf>
    <xf numFmtId="167" fontId="8" fillId="0" borderId="1" xfId="1" applyNumberFormat="1" applyFont="1" applyFill="1" applyBorder="1" applyAlignment="1">
      <alignment horizontal="right" vertical="center" wrapText="1"/>
    </xf>
    <xf numFmtId="0" fontId="9" fillId="0" borderId="15" xfId="0" applyFont="1" applyBorder="1" applyAlignment="1">
      <alignment vertical="center" wrapText="1"/>
    </xf>
    <xf numFmtId="0" fontId="9" fillId="0" borderId="16" xfId="0" applyFont="1" applyBorder="1" applyAlignment="1">
      <alignment vertical="center" wrapText="1"/>
    </xf>
    <xf numFmtId="4" fontId="8" fillId="0" borderId="0" xfId="0" applyNumberFormat="1" applyFont="1" applyAlignment="1">
      <alignment horizontal="right" vertical="center"/>
    </xf>
    <xf numFmtId="0" fontId="9" fillId="0" borderId="1" xfId="0" applyFont="1" applyBorder="1"/>
    <xf numFmtId="0" fontId="8" fillId="0" borderId="4" xfId="2" applyFont="1" applyBorder="1" applyAlignment="1">
      <alignment horizontal="center" vertical="center" wrapText="1"/>
    </xf>
    <xf numFmtId="0" fontId="9" fillId="0" borderId="1" xfId="2" applyFont="1" applyBorder="1" applyAlignment="1">
      <alignment vertical="center" wrapText="1"/>
    </xf>
    <xf numFmtId="0" fontId="8" fillId="0" borderId="1" xfId="2" applyFont="1" applyBorder="1" applyAlignment="1">
      <alignment horizontal="left" vertical="center" wrapText="1"/>
    </xf>
    <xf numFmtId="0" fontId="8" fillId="0" borderId="1" xfId="2" applyFont="1" applyBorder="1" applyAlignment="1">
      <alignment horizontal="justify" vertical="top" wrapText="1"/>
    </xf>
    <xf numFmtId="14" fontId="8" fillId="0" borderId="1" xfId="2" applyNumberFormat="1" applyFont="1" applyBorder="1" applyAlignment="1">
      <alignment horizontal="center" vertical="center" wrapText="1"/>
    </xf>
    <xf numFmtId="0" fontId="9" fillId="0" borderId="1" xfId="2" applyFont="1" applyBorder="1" applyAlignment="1">
      <alignment horizontal="center" vertical="center" wrapText="1"/>
    </xf>
    <xf numFmtId="14" fontId="9" fillId="0" borderId="1" xfId="0" applyNumberFormat="1" applyFont="1" applyBorder="1" applyAlignment="1">
      <alignment horizontal="left" vertical="center" wrapText="1"/>
    </xf>
    <xf numFmtId="4" fontId="8" fillId="0" borderId="17" xfId="0" applyNumberFormat="1" applyFont="1" applyBorder="1" applyAlignment="1">
      <alignment vertical="center" wrapText="1"/>
    </xf>
    <xf numFmtId="166" fontId="9" fillId="0" borderId="15" xfId="0" applyNumberFormat="1" applyFont="1" applyBorder="1" applyAlignment="1">
      <alignment vertical="center"/>
    </xf>
    <xf numFmtId="0" fontId="9" fillId="0" borderId="4" xfId="0" applyFont="1" applyBorder="1" applyAlignment="1">
      <alignment vertical="center" wrapText="1"/>
    </xf>
    <xf numFmtId="166" fontId="9"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0" fontId="8" fillId="0" borderId="1" xfId="0" applyFont="1" applyBorder="1" applyAlignment="1">
      <alignment horizontal="left" wrapText="1"/>
    </xf>
    <xf numFmtId="0" fontId="8" fillId="0" borderId="4" xfId="0" applyFont="1" applyBorder="1" applyAlignment="1">
      <alignment vertical="center" wrapText="1"/>
    </xf>
    <xf numFmtId="166" fontId="8" fillId="0" borderId="2" xfId="1" applyNumberFormat="1" applyFont="1" applyFill="1" applyBorder="1" applyAlignment="1">
      <alignment horizontal="right" vertical="center" wrapText="1"/>
    </xf>
    <xf numFmtId="0" fontId="8" fillId="0" borderId="1" xfId="0" applyFont="1" applyBorder="1" applyAlignment="1">
      <alignment vertical="center" wrapText="1"/>
    </xf>
    <xf numFmtId="0" fontId="9" fillId="0" borderId="1" xfId="0" applyFont="1" applyBorder="1" applyAlignment="1">
      <alignment horizontal="left" vertical="top" wrapText="1"/>
    </xf>
    <xf numFmtId="0" fontId="8" fillId="0" borderId="3"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9" fillId="0" borderId="18" xfId="0" applyFont="1" applyBorder="1" applyAlignment="1">
      <alignment horizontal="center" vertical="center" wrapText="1"/>
    </xf>
    <xf numFmtId="0" fontId="8" fillId="0" borderId="6" xfId="0" applyFont="1" applyBorder="1" applyAlignment="1">
      <alignment horizontal="justify" vertical="top" wrapText="1"/>
    </xf>
    <xf numFmtId="14" fontId="8" fillId="0" borderId="6" xfId="0" applyNumberFormat="1" applyFont="1" applyBorder="1" applyAlignment="1">
      <alignment horizontal="center" vertical="center" wrapText="1"/>
    </xf>
    <xf numFmtId="0" fontId="9" fillId="0" borderId="6" xfId="0" applyFont="1" applyBorder="1" applyAlignment="1">
      <alignment horizontal="center" vertical="center" wrapText="1"/>
    </xf>
    <xf numFmtId="0" fontId="9" fillId="0" borderId="6" xfId="0" applyFont="1" applyBorder="1" applyAlignment="1">
      <alignment horizontal="center" vertical="center"/>
    </xf>
    <xf numFmtId="166" fontId="8" fillId="0" borderId="6" xfId="0" applyNumberFormat="1" applyFont="1" applyBorder="1" applyAlignment="1">
      <alignment horizontal="right" vertical="center" wrapText="1"/>
    </xf>
    <xf numFmtId="14" fontId="9" fillId="0" borderId="6" xfId="0" applyNumberFormat="1" applyFont="1" applyBorder="1" applyAlignment="1">
      <alignment horizontal="right" vertical="center" wrapText="1"/>
    </xf>
    <xf numFmtId="4" fontId="9" fillId="0" borderId="1" xfId="0" applyNumberFormat="1" applyFont="1" applyBorder="1" applyAlignment="1">
      <alignment horizontal="right" vertical="center"/>
    </xf>
    <xf numFmtId="4" fontId="9" fillId="0" borderId="5" xfId="0" applyNumberFormat="1" applyFont="1" applyBorder="1" applyAlignment="1">
      <alignment horizontal="right" vertical="center"/>
    </xf>
    <xf numFmtId="4" fontId="9" fillId="0" borderId="9" xfId="0" applyNumberFormat="1" applyFont="1" applyBorder="1" applyAlignment="1">
      <alignment vertical="center"/>
    </xf>
    <xf numFmtId="4" fontId="9" fillId="0" borderId="12" xfId="0" applyNumberFormat="1" applyFont="1" applyBorder="1" applyAlignment="1">
      <alignment vertical="center"/>
    </xf>
    <xf numFmtId="14" fontId="9" fillId="0" borderId="9" xfId="0" applyNumberFormat="1" applyFont="1" applyBorder="1" applyAlignment="1">
      <alignment horizontal="right" vertical="center" wrapText="1"/>
    </xf>
    <xf numFmtId="4" fontId="9" fillId="0" borderId="9" xfId="0" applyNumberFormat="1" applyFont="1" applyBorder="1" applyAlignment="1">
      <alignment horizontal="right" vertical="center"/>
    </xf>
    <xf numFmtId="4" fontId="9" fillId="0" borderId="12" xfId="0" applyNumberFormat="1" applyFont="1" applyBorder="1" applyAlignment="1">
      <alignment horizontal="right" vertical="center"/>
    </xf>
    <xf numFmtId="0" fontId="10" fillId="0" borderId="4" xfId="0" applyFont="1" applyBorder="1" applyAlignment="1">
      <alignment horizontal="left" vertical="center" wrapText="1"/>
    </xf>
    <xf numFmtId="0" fontId="8" fillId="0" borderId="4" xfId="0" applyFont="1" applyBorder="1" applyAlignment="1">
      <alignment horizontal="left" vertical="top" wrapText="1"/>
    </xf>
    <xf numFmtId="0" fontId="3" fillId="2" borderId="1" xfId="0" applyFont="1" applyFill="1" applyBorder="1" applyAlignment="1">
      <alignment horizontal="center" vertical="center" wrapText="1"/>
    </xf>
    <xf numFmtId="43" fontId="3" fillId="2" borderId="1" xfId="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cellXfs>
  <cellStyles count="3">
    <cellStyle name="Comma" xfId="1" builtinId="3"/>
    <cellStyle name="Normal" xfId="0" builtinId="0"/>
    <cellStyle name="Normal 2" xfId="2" xr:uid="{A39806AA-D5B4-4B4F-9414-E0EAB4224E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2A4B2-E17A-41E7-B6E4-4B92351B9109}">
  <sheetPr>
    <pageSetUpPr fitToPage="1"/>
  </sheetPr>
  <dimension ref="A1:XFB482"/>
  <sheetViews>
    <sheetView tabSelected="1" zoomScale="70" zoomScaleNormal="70" workbookViewId="0">
      <pane xSplit="1" topLeftCell="B1" activePane="topRight" state="frozen"/>
      <selection pane="topRight" sqref="A1:A3"/>
    </sheetView>
  </sheetViews>
  <sheetFormatPr defaultRowHeight="15.75" x14ac:dyDescent="0.25"/>
  <cols>
    <col min="1" max="3" width="9.140625" style="7"/>
    <col min="4" max="4" width="13.5703125" style="6" customWidth="1"/>
    <col min="5" max="5" width="35.5703125" style="6" bestFit="1" customWidth="1"/>
    <col min="6" max="8" width="60.7109375" style="4" customWidth="1"/>
    <col min="9" max="9" width="100.7109375" style="4" customWidth="1"/>
    <col min="10" max="11" width="15.7109375" style="5" customWidth="1"/>
    <col min="12" max="17" width="15.7109375" style="6" customWidth="1"/>
    <col min="18" max="18" width="21.5703125" style="7" customWidth="1"/>
    <col min="19" max="19" width="19.7109375" style="7" customWidth="1"/>
    <col min="20" max="20" width="19.42578125" style="7" customWidth="1"/>
    <col min="21" max="21" width="19.28515625" style="7" customWidth="1"/>
    <col min="22" max="22" width="18.28515625" style="7" customWidth="1"/>
    <col min="23" max="23" width="19.28515625" style="7" customWidth="1"/>
    <col min="24" max="24" width="17.42578125" style="7" customWidth="1"/>
    <col min="25" max="25" width="19.7109375" style="7" customWidth="1"/>
    <col min="26" max="26" width="19.28515625" style="7" customWidth="1"/>
    <col min="27" max="29" width="15.7109375" style="7" customWidth="1"/>
    <col min="30" max="30" width="24.85546875" style="8" customWidth="1"/>
    <col min="31" max="31" width="19.42578125" style="7" customWidth="1"/>
    <col min="32" max="32" width="19.85546875" style="7" customWidth="1"/>
    <col min="33" max="33" width="20.140625" style="7" customWidth="1"/>
    <col min="34" max="34" width="15.7109375" style="7" customWidth="1"/>
    <col min="35" max="35" width="19" style="9" customWidth="1"/>
    <col min="36" max="36" width="19.42578125" style="9" customWidth="1"/>
    <col min="37" max="37" width="21" style="7" customWidth="1"/>
    <col min="38" max="38" width="17.42578125" style="6" customWidth="1"/>
    <col min="39" max="16384" width="9.140625" style="6"/>
  </cols>
  <sheetData>
    <row r="1" spans="1:39 16382:16382" s="1" customFormat="1" ht="75" customHeight="1" x14ac:dyDescent="0.25">
      <c r="A1" s="173" t="s">
        <v>0</v>
      </c>
      <c r="B1" s="173" t="s">
        <v>1</v>
      </c>
      <c r="C1" s="173" t="s">
        <v>2</v>
      </c>
      <c r="D1" s="173" t="s">
        <v>3</v>
      </c>
      <c r="E1" s="173" t="s">
        <v>4</v>
      </c>
      <c r="F1" s="173" t="s">
        <v>5</v>
      </c>
      <c r="G1" s="173" t="s">
        <v>6</v>
      </c>
      <c r="H1" s="173" t="s">
        <v>7</v>
      </c>
      <c r="I1" s="173" t="s">
        <v>8</v>
      </c>
      <c r="J1" s="175" t="s">
        <v>9</v>
      </c>
      <c r="K1" s="175" t="s">
        <v>10</v>
      </c>
      <c r="L1" s="173" t="s">
        <v>11</v>
      </c>
      <c r="M1" s="173" t="s">
        <v>12</v>
      </c>
      <c r="N1" s="173" t="s">
        <v>13</v>
      </c>
      <c r="O1" s="173" t="s">
        <v>14</v>
      </c>
      <c r="P1" s="173" t="s">
        <v>15</v>
      </c>
      <c r="Q1" s="173" t="s">
        <v>16</v>
      </c>
      <c r="R1" s="173" t="s">
        <v>17</v>
      </c>
      <c r="S1" s="173"/>
      <c r="T1" s="173"/>
      <c r="U1" s="173"/>
      <c r="V1" s="173"/>
      <c r="W1" s="173"/>
      <c r="X1" s="173"/>
      <c r="Y1" s="173"/>
      <c r="Z1" s="173"/>
      <c r="AA1" s="173"/>
      <c r="AB1" s="173" t="s">
        <v>15</v>
      </c>
      <c r="AC1" s="173"/>
      <c r="AD1" s="176" t="s">
        <v>18</v>
      </c>
      <c r="AE1" s="173" t="s">
        <v>1823</v>
      </c>
      <c r="AF1" s="173" t="s">
        <v>19</v>
      </c>
      <c r="AG1" s="173" t="s">
        <v>20</v>
      </c>
      <c r="AH1" s="173" t="s">
        <v>21</v>
      </c>
      <c r="AI1" s="174" t="s">
        <v>22</v>
      </c>
      <c r="AJ1" s="174"/>
      <c r="AK1" s="173" t="s">
        <v>1825</v>
      </c>
      <c r="AL1" s="173"/>
      <c r="AM1" s="173" t="s">
        <v>1824</v>
      </c>
    </row>
    <row r="2" spans="1:39 16382:16382" s="1" customFormat="1" ht="30" customHeight="1" x14ac:dyDescent="0.25">
      <c r="A2" s="173"/>
      <c r="B2" s="173"/>
      <c r="C2" s="173"/>
      <c r="D2" s="173"/>
      <c r="E2" s="173"/>
      <c r="F2" s="173"/>
      <c r="G2" s="173"/>
      <c r="H2" s="173"/>
      <c r="I2" s="173"/>
      <c r="J2" s="175"/>
      <c r="K2" s="175"/>
      <c r="L2" s="173"/>
      <c r="M2" s="173"/>
      <c r="N2" s="173"/>
      <c r="O2" s="173"/>
      <c r="P2" s="173"/>
      <c r="Q2" s="173"/>
      <c r="R2" s="173" t="s">
        <v>23</v>
      </c>
      <c r="S2" s="173"/>
      <c r="T2" s="173"/>
      <c r="U2" s="173"/>
      <c r="V2" s="173"/>
      <c r="W2" s="173"/>
      <c r="X2" s="173" t="s">
        <v>24</v>
      </c>
      <c r="Y2" s="173" t="s">
        <v>28</v>
      </c>
      <c r="Z2" s="173" t="s">
        <v>29</v>
      </c>
      <c r="AA2" s="173" t="s">
        <v>25</v>
      </c>
      <c r="AB2" s="173" t="s">
        <v>28</v>
      </c>
      <c r="AC2" s="173" t="s">
        <v>29</v>
      </c>
      <c r="AD2" s="176"/>
      <c r="AE2" s="173"/>
      <c r="AF2" s="173"/>
      <c r="AG2" s="173"/>
      <c r="AH2" s="173"/>
      <c r="AI2" s="174" t="s">
        <v>26</v>
      </c>
      <c r="AJ2" s="174" t="s">
        <v>27</v>
      </c>
      <c r="AK2" s="174" t="s">
        <v>26</v>
      </c>
      <c r="AL2" s="174" t="s">
        <v>27</v>
      </c>
      <c r="AM2" s="173"/>
    </row>
    <row r="3" spans="1:39 16382:16382" s="1" customFormat="1" ht="31.5" x14ac:dyDescent="0.25">
      <c r="A3" s="173"/>
      <c r="B3" s="173"/>
      <c r="C3" s="173"/>
      <c r="D3" s="173"/>
      <c r="E3" s="173"/>
      <c r="F3" s="173"/>
      <c r="G3" s="173"/>
      <c r="H3" s="173"/>
      <c r="I3" s="173"/>
      <c r="J3" s="175"/>
      <c r="K3" s="175"/>
      <c r="L3" s="173"/>
      <c r="M3" s="173"/>
      <c r="N3" s="173"/>
      <c r="O3" s="173"/>
      <c r="P3" s="173"/>
      <c r="Q3" s="173"/>
      <c r="R3" s="3" t="s">
        <v>26</v>
      </c>
      <c r="S3" s="3" t="s">
        <v>28</v>
      </c>
      <c r="T3" s="3" t="s">
        <v>29</v>
      </c>
      <c r="U3" s="3" t="s">
        <v>30</v>
      </c>
      <c r="V3" s="3" t="s">
        <v>28</v>
      </c>
      <c r="W3" s="3" t="s">
        <v>29</v>
      </c>
      <c r="X3" s="173"/>
      <c r="Y3" s="173"/>
      <c r="Z3" s="173"/>
      <c r="AA3" s="173"/>
      <c r="AB3" s="173"/>
      <c r="AC3" s="173"/>
      <c r="AD3" s="176"/>
      <c r="AE3" s="173"/>
      <c r="AF3" s="173"/>
      <c r="AG3" s="173"/>
      <c r="AH3" s="173"/>
      <c r="AI3" s="174"/>
      <c r="AJ3" s="174"/>
      <c r="AK3" s="174"/>
      <c r="AL3" s="174"/>
      <c r="AM3" s="173"/>
    </row>
    <row r="4" spans="1:39 16382:16382" ht="46.5" customHeight="1" x14ac:dyDescent="0.25">
      <c r="A4" s="10">
        <v>1</v>
      </c>
      <c r="B4" s="11">
        <v>110755</v>
      </c>
      <c r="C4" s="12">
        <v>121</v>
      </c>
      <c r="D4" s="13" t="s">
        <v>31</v>
      </c>
      <c r="E4" s="14" t="s">
        <v>32</v>
      </c>
      <c r="F4" s="15" t="s">
        <v>33</v>
      </c>
      <c r="G4" s="13" t="s">
        <v>34</v>
      </c>
      <c r="H4" s="12" t="s">
        <v>35</v>
      </c>
      <c r="I4" s="16" t="s">
        <v>36</v>
      </c>
      <c r="J4" s="17">
        <v>43145</v>
      </c>
      <c r="K4" s="17">
        <v>43630</v>
      </c>
      <c r="L4" s="18">
        <f t="shared" ref="L4:L67" si="0">R4/AD4*100</f>
        <v>84.999999517641427</v>
      </c>
      <c r="M4" s="12">
        <v>7</v>
      </c>
      <c r="N4" s="12" t="s">
        <v>37</v>
      </c>
      <c r="O4" s="12" t="s">
        <v>38</v>
      </c>
      <c r="P4" s="19" t="s">
        <v>39</v>
      </c>
      <c r="Q4" s="20" t="s">
        <v>40</v>
      </c>
      <c r="R4" s="21">
        <f t="shared" ref="R4:R6" si="1">S4+T4</f>
        <v>352434.92</v>
      </c>
      <c r="S4" s="22">
        <v>352434.92</v>
      </c>
      <c r="T4" s="21">
        <v>0</v>
      </c>
      <c r="U4" s="23">
        <f t="shared" ref="U4:U67" si="2">V4+W4</f>
        <v>53844.59</v>
      </c>
      <c r="V4" s="22">
        <v>53844.59</v>
      </c>
      <c r="W4" s="23">
        <v>0</v>
      </c>
      <c r="X4" s="23">
        <f t="shared" ref="X4" si="3">Y4+Z4</f>
        <v>8349.81</v>
      </c>
      <c r="Y4" s="22">
        <v>8349.81</v>
      </c>
      <c r="Z4" s="23">
        <v>0</v>
      </c>
      <c r="AA4" s="21">
        <f>AB4+AC4</f>
        <v>0</v>
      </c>
      <c r="AB4" s="21">
        <v>0</v>
      </c>
      <c r="AC4" s="21">
        <v>0</v>
      </c>
      <c r="AD4" s="21">
        <f>R4+U4+X4+AA4</f>
        <v>414629.32</v>
      </c>
      <c r="AE4" s="21">
        <v>0</v>
      </c>
      <c r="AF4" s="21">
        <f t="shared" ref="AF4:AF41" si="4">AD4+AE4</f>
        <v>414629.32</v>
      </c>
      <c r="AG4" s="24" t="s">
        <v>41</v>
      </c>
      <c r="AH4" s="25" t="s">
        <v>35</v>
      </c>
      <c r="AI4" s="26">
        <v>327238.19</v>
      </c>
      <c r="AJ4" s="27">
        <v>49995.08</v>
      </c>
      <c r="AK4" s="28">
        <f>R4-AI4</f>
        <v>25196.729999999981</v>
      </c>
      <c r="AL4" s="28">
        <f>U4-AJ4</f>
        <v>3849.5099999999948</v>
      </c>
      <c r="AM4" s="29">
        <f>AI4/R4</f>
        <v>0.9285067155093486</v>
      </c>
      <c r="XFB4" s="6">
        <v>2262541.7185062333</v>
      </c>
    </row>
    <row r="5" spans="1:39 16382:16382" ht="53.25" customHeight="1" x14ac:dyDescent="0.25">
      <c r="A5" s="10">
        <v>2</v>
      </c>
      <c r="B5" s="20">
        <v>109854</v>
      </c>
      <c r="C5" s="20">
        <v>116</v>
      </c>
      <c r="D5" s="15" t="s">
        <v>31</v>
      </c>
      <c r="E5" s="14" t="s">
        <v>32</v>
      </c>
      <c r="F5" s="15" t="s">
        <v>42</v>
      </c>
      <c r="G5" s="15" t="s">
        <v>43</v>
      </c>
      <c r="H5" s="20" t="s">
        <v>43</v>
      </c>
      <c r="I5" s="16" t="s">
        <v>44</v>
      </c>
      <c r="J5" s="30">
        <v>43186</v>
      </c>
      <c r="K5" s="30">
        <v>43551</v>
      </c>
      <c r="L5" s="31">
        <f t="shared" si="0"/>
        <v>85.000000944809514</v>
      </c>
      <c r="M5" s="20">
        <v>7</v>
      </c>
      <c r="N5" s="20" t="s">
        <v>37</v>
      </c>
      <c r="O5" s="20" t="s">
        <v>45</v>
      </c>
      <c r="P5" s="32" t="s">
        <v>39</v>
      </c>
      <c r="Q5" s="20" t="s">
        <v>40</v>
      </c>
      <c r="R5" s="33">
        <f t="shared" si="1"/>
        <v>359860.9</v>
      </c>
      <c r="S5" s="2">
        <v>359860.9</v>
      </c>
      <c r="T5" s="2">
        <v>0</v>
      </c>
      <c r="U5" s="33">
        <f t="shared" si="2"/>
        <v>55037.54</v>
      </c>
      <c r="V5" s="2">
        <v>55037.54</v>
      </c>
      <c r="W5" s="2">
        <v>0</v>
      </c>
      <c r="X5" s="33">
        <f>Y5+Z5</f>
        <v>8467.32</v>
      </c>
      <c r="Y5" s="2">
        <v>8467.32</v>
      </c>
      <c r="Z5" s="2">
        <v>0</v>
      </c>
      <c r="AA5" s="2">
        <f t="shared" ref="AA5:AA11" si="5">AB5+AC5</f>
        <v>0</v>
      </c>
      <c r="AB5" s="2">
        <v>0</v>
      </c>
      <c r="AC5" s="2">
        <v>0</v>
      </c>
      <c r="AD5" s="2">
        <f>R5+U5+X5+AA5</f>
        <v>423365.76</v>
      </c>
      <c r="AE5" s="2">
        <v>0</v>
      </c>
      <c r="AF5" s="2">
        <f t="shared" si="4"/>
        <v>423365.76</v>
      </c>
      <c r="AG5" s="24" t="s">
        <v>41</v>
      </c>
      <c r="AH5" s="34" t="s">
        <v>46</v>
      </c>
      <c r="AI5" s="35">
        <v>267801.62000000005</v>
      </c>
      <c r="AJ5" s="36">
        <v>40957.890000000007</v>
      </c>
      <c r="AK5" s="28">
        <f t="shared" ref="AK5:AK68" si="6">R5-AI5</f>
        <v>92059.27999999997</v>
      </c>
      <c r="AL5" s="28">
        <f t="shared" ref="AL5:AL68" si="7">U5-AJ5</f>
        <v>14079.649999999994</v>
      </c>
      <c r="AM5" s="29">
        <f t="shared" ref="AM5:AM68" si="8">AI5/R5</f>
        <v>0.7441809321323879</v>
      </c>
    </row>
    <row r="6" spans="1:39 16382:16382" ht="60.75" customHeight="1" x14ac:dyDescent="0.25">
      <c r="A6" s="10">
        <v>3</v>
      </c>
      <c r="B6" s="37">
        <v>119560</v>
      </c>
      <c r="C6" s="20">
        <v>471</v>
      </c>
      <c r="D6" s="20" t="s">
        <v>47</v>
      </c>
      <c r="E6" s="14" t="s">
        <v>48</v>
      </c>
      <c r="F6" s="15" t="s">
        <v>49</v>
      </c>
      <c r="G6" s="20" t="s">
        <v>50</v>
      </c>
      <c r="H6" s="20" t="s">
        <v>51</v>
      </c>
      <c r="I6" s="15" t="s">
        <v>52</v>
      </c>
      <c r="J6" s="30">
        <v>43265</v>
      </c>
      <c r="K6" s="30">
        <v>43752</v>
      </c>
      <c r="L6" s="31">
        <f t="shared" si="0"/>
        <v>84.216178284166972</v>
      </c>
      <c r="M6" s="20">
        <v>7</v>
      </c>
      <c r="N6" s="20" t="s">
        <v>37</v>
      </c>
      <c r="O6" s="20" t="s">
        <v>53</v>
      </c>
      <c r="P6" s="32" t="s">
        <v>39</v>
      </c>
      <c r="Q6" s="20" t="s">
        <v>40</v>
      </c>
      <c r="R6" s="33">
        <f t="shared" si="1"/>
        <v>336316.07</v>
      </c>
      <c r="S6" s="2">
        <v>336316.07</v>
      </c>
      <c r="T6" s="2">
        <v>0</v>
      </c>
      <c r="U6" s="33">
        <f t="shared" si="2"/>
        <v>55045.45</v>
      </c>
      <c r="V6" s="2">
        <v>55045.45</v>
      </c>
      <c r="W6" s="2">
        <v>0</v>
      </c>
      <c r="X6" s="33">
        <f t="shared" ref="X6:X69" si="9">Y6+Z6</f>
        <v>7987.01</v>
      </c>
      <c r="Y6" s="2">
        <v>7987.01</v>
      </c>
      <c r="Z6" s="2">
        <v>0</v>
      </c>
      <c r="AA6" s="2">
        <f t="shared" si="5"/>
        <v>0</v>
      </c>
      <c r="AB6" s="2">
        <v>0</v>
      </c>
      <c r="AC6" s="2">
        <v>0</v>
      </c>
      <c r="AD6" s="2">
        <f t="shared" ref="AD6:AD36" si="10">R6+U6+X6+AA6</f>
        <v>399348.53</v>
      </c>
      <c r="AE6" s="2">
        <v>0</v>
      </c>
      <c r="AF6" s="2">
        <f t="shared" si="4"/>
        <v>399348.53</v>
      </c>
      <c r="AG6" s="24" t="s">
        <v>41</v>
      </c>
      <c r="AH6" s="34" t="s">
        <v>46</v>
      </c>
      <c r="AI6" s="35">
        <v>271156.57999999996</v>
      </c>
      <c r="AJ6" s="36">
        <v>44248.240000000005</v>
      </c>
      <c r="AK6" s="28">
        <f t="shared" si="6"/>
        <v>65159.490000000049</v>
      </c>
      <c r="AL6" s="28">
        <f t="shared" si="7"/>
        <v>10797.209999999992</v>
      </c>
      <c r="AM6" s="29">
        <f t="shared" si="8"/>
        <v>0.80625519916428601</v>
      </c>
    </row>
    <row r="7" spans="1:39 16382:16382" ht="84" customHeight="1" x14ac:dyDescent="0.25">
      <c r="A7" s="10">
        <v>4</v>
      </c>
      <c r="B7" s="37">
        <v>117934</v>
      </c>
      <c r="C7" s="20">
        <v>417</v>
      </c>
      <c r="D7" s="15" t="s">
        <v>54</v>
      </c>
      <c r="E7" s="14" t="s">
        <v>55</v>
      </c>
      <c r="F7" s="15" t="s">
        <v>56</v>
      </c>
      <c r="G7" s="20" t="s">
        <v>50</v>
      </c>
      <c r="H7" s="20" t="s">
        <v>35</v>
      </c>
      <c r="I7" s="15" t="s">
        <v>57</v>
      </c>
      <c r="J7" s="30">
        <v>43278</v>
      </c>
      <c r="K7" s="30">
        <v>43765</v>
      </c>
      <c r="L7" s="31">
        <f t="shared" si="0"/>
        <v>84.999998780098935</v>
      </c>
      <c r="M7" s="20">
        <v>7</v>
      </c>
      <c r="N7" s="20" t="s">
        <v>37</v>
      </c>
      <c r="O7" s="20" t="s">
        <v>53</v>
      </c>
      <c r="P7" s="32" t="s">
        <v>39</v>
      </c>
      <c r="Q7" s="20" t="s">
        <v>40</v>
      </c>
      <c r="R7" s="33">
        <f>S7+T7</f>
        <v>243872.23</v>
      </c>
      <c r="S7" s="2">
        <v>243872.23</v>
      </c>
      <c r="T7" s="2">
        <v>0</v>
      </c>
      <c r="U7" s="33">
        <f t="shared" si="2"/>
        <v>37298.080000000002</v>
      </c>
      <c r="V7" s="2">
        <v>37298.080000000002</v>
      </c>
      <c r="W7" s="2">
        <v>0</v>
      </c>
      <c r="X7" s="33">
        <f t="shared" si="9"/>
        <v>5738.2</v>
      </c>
      <c r="Y7" s="2">
        <v>5738.2</v>
      </c>
      <c r="Z7" s="2">
        <v>0</v>
      </c>
      <c r="AA7" s="2">
        <f t="shared" si="5"/>
        <v>0</v>
      </c>
      <c r="AB7" s="38">
        <v>0</v>
      </c>
      <c r="AC7" s="38">
        <v>0</v>
      </c>
      <c r="AD7" s="2">
        <f t="shared" si="10"/>
        <v>286908.51</v>
      </c>
      <c r="AE7" s="2">
        <v>0</v>
      </c>
      <c r="AF7" s="2">
        <f t="shared" si="4"/>
        <v>286908.51</v>
      </c>
      <c r="AG7" s="24" t="s">
        <v>41</v>
      </c>
      <c r="AH7" s="39"/>
      <c r="AI7" s="35">
        <v>223752.58</v>
      </c>
      <c r="AJ7" s="36">
        <v>34220.97</v>
      </c>
      <c r="AK7" s="28">
        <f t="shared" si="6"/>
        <v>20119.650000000023</v>
      </c>
      <c r="AL7" s="28">
        <f t="shared" si="7"/>
        <v>3077.1100000000006</v>
      </c>
      <c r="AM7" s="29">
        <f t="shared" si="8"/>
        <v>0.91749921670048273</v>
      </c>
    </row>
    <row r="8" spans="1:39 16382:16382" ht="73.5" customHeight="1" x14ac:dyDescent="0.25">
      <c r="A8" s="10">
        <v>5</v>
      </c>
      <c r="B8" s="37">
        <v>118740</v>
      </c>
      <c r="C8" s="20">
        <v>436</v>
      </c>
      <c r="D8" s="15" t="s">
        <v>54</v>
      </c>
      <c r="E8" s="14" t="s">
        <v>55</v>
      </c>
      <c r="F8" s="40" t="s">
        <v>58</v>
      </c>
      <c r="G8" s="20" t="s">
        <v>34</v>
      </c>
      <c r="H8" s="20" t="s">
        <v>35</v>
      </c>
      <c r="I8" s="15" t="s">
        <v>59</v>
      </c>
      <c r="J8" s="30">
        <v>43321</v>
      </c>
      <c r="K8" s="30">
        <v>43808</v>
      </c>
      <c r="L8" s="31">
        <f t="shared" si="0"/>
        <v>85.000000362805537</v>
      </c>
      <c r="M8" s="20">
        <v>7</v>
      </c>
      <c r="N8" s="20" t="s">
        <v>37</v>
      </c>
      <c r="O8" s="20" t="s">
        <v>38</v>
      </c>
      <c r="P8" s="32" t="s">
        <v>39</v>
      </c>
      <c r="Q8" s="20" t="s">
        <v>40</v>
      </c>
      <c r="R8" s="33">
        <f t="shared" ref="R8:R14" si="11">S8+T8</f>
        <v>234285.28</v>
      </c>
      <c r="S8" s="2">
        <v>234285.28</v>
      </c>
      <c r="T8" s="2">
        <v>0</v>
      </c>
      <c r="U8" s="33">
        <f t="shared" si="2"/>
        <v>35831.870000000003</v>
      </c>
      <c r="V8" s="2">
        <v>35831.870000000003</v>
      </c>
      <c r="W8" s="2"/>
      <c r="X8" s="33">
        <f t="shared" si="9"/>
        <v>5512.59</v>
      </c>
      <c r="Y8" s="2">
        <v>5512.59</v>
      </c>
      <c r="Z8" s="2">
        <v>0</v>
      </c>
      <c r="AA8" s="2">
        <f t="shared" si="5"/>
        <v>0</v>
      </c>
      <c r="AB8" s="41">
        <v>0</v>
      </c>
      <c r="AC8" s="41">
        <v>0</v>
      </c>
      <c r="AD8" s="2">
        <f t="shared" si="10"/>
        <v>275629.74000000005</v>
      </c>
      <c r="AE8" s="2"/>
      <c r="AF8" s="2">
        <f t="shared" si="4"/>
        <v>275629.74000000005</v>
      </c>
      <c r="AG8" s="24" t="s">
        <v>41</v>
      </c>
      <c r="AH8" s="39"/>
      <c r="AI8" s="35">
        <v>204891.55</v>
      </c>
      <c r="AJ8" s="36">
        <v>31336.359999999997</v>
      </c>
      <c r="AK8" s="28">
        <f t="shared" si="6"/>
        <v>29393.73000000001</v>
      </c>
      <c r="AL8" s="28">
        <f t="shared" si="7"/>
        <v>4495.5100000000057</v>
      </c>
      <c r="AM8" s="29">
        <f t="shared" si="8"/>
        <v>0.87453872475470928</v>
      </c>
    </row>
    <row r="9" spans="1:39 16382:16382" ht="87" customHeight="1" x14ac:dyDescent="0.25">
      <c r="A9" s="10">
        <v>6</v>
      </c>
      <c r="B9" s="37">
        <v>119862</v>
      </c>
      <c r="C9" s="20">
        <v>483</v>
      </c>
      <c r="D9" s="20" t="s">
        <v>47</v>
      </c>
      <c r="E9" s="14" t="s">
        <v>48</v>
      </c>
      <c r="F9" s="40" t="s">
        <v>60</v>
      </c>
      <c r="G9" s="20" t="s">
        <v>61</v>
      </c>
      <c r="H9" s="20" t="s">
        <v>35</v>
      </c>
      <c r="I9" s="15" t="s">
        <v>62</v>
      </c>
      <c r="J9" s="30">
        <v>43325</v>
      </c>
      <c r="K9" s="30">
        <v>43629</v>
      </c>
      <c r="L9" s="31">
        <f t="shared" si="0"/>
        <v>84.999998288155666</v>
      </c>
      <c r="M9" s="20">
        <v>7</v>
      </c>
      <c r="N9" s="20" t="s">
        <v>63</v>
      </c>
      <c r="O9" s="20" t="s">
        <v>64</v>
      </c>
      <c r="P9" s="32" t="s">
        <v>39</v>
      </c>
      <c r="Q9" s="20" t="s">
        <v>40</v>
      </c>
      <c r="R9" s="33">
        <f t="shared" si="11"/>
        <v>223443.21</v>
      </c>
      <c r="S9" s="2">
        <v>223443.21</v>
      </c>
      <c r="T9" s="2">
        <v>0</v>
      </c>
      <c r="U9" s="33">
        <f t="shared" si="2"/>
        <v>34173.67</v>
      </c>
      <c r="V9" s="2">
        <v>34173.67</v>
      </c>
      <c r="W9" s="2">
        <v>0</v>
      </c>
      <c r="X9" s="33">
        <f t="shared" si="9"/>
        <v>5257.4900000000007</v>
      </c>
      <c r="Y9" s="2">
        <v>5257.4900000000007</v>
      </c>
      <c r="Z9" s="2">
        <v>0</v>
      </c>
      <c r="AA9" s="2">
        <f t="shared" si="5"/>
        <v>0</v>
      </c>
      <c r="AB9" s="42">
        <v>0</v>
      </c>
      <c r="AC9" s="42">
        <v>0</v>
      </c>
      <c r="AD9" s="2">
        <f t="shared" si="10"/>
        <v>262874.37</v>
      </c>
      <c r="AE9" s="2"/>
      <c r="AF9" s="2">
        <f t="shared" si="4"/>
        <v>262874.37</v>
      </c>
      <c r="AG9" s="24" t="s">
        <v>41</v>
      </c>
      <c r="AH9" s="39"/>
      <c r="AI9" s="35">
        <v>197238.88999999998</v>
      </c>
      <c r="AJ9" s="36">
        <v>30165.95</v>
      </c>
      <c r="AK9" s="28">
        <f t="shared" si="6"/>
        <v>26204.320000000007</v>
      </c>
      <c r="AL9" s="28">
        <f t="shared" si="7"/>
        <v>4007.7199999999975</v>
      </c>
      <c r="AM9" s="29">
        <f t="shared" si="8"/>
        <v>0.88272492146885995</v>
      </c>
    </row>
    <row r="10" spans="1:39 16382:16382" ht="76.5" customHeight="1" x14ac:dyDescent="0.25">
      <c r="A10" s="10">
        <v>7</v>
      </c>
      <c r="B10" s="37">
        <v>126492</v>
      </c>
      <c r="C10" s="20">
        <v>568</v>
      </c>
      <c r="D10" s="20" t="s">
        <v>47</v>
      </c>
      <c r="E10" s="14" t="s">
        <v>65</v>
      </c>
      <c r="F10" s="40" t="s">
        <v>66</v>
      </c>
      <c r="G10" s="20" t="s">
        <v>67</v>
      </c>
      <c r="H10" s="20" t="s">
        <v>35</v>
      </c>
      <c r="I10" s="15" t="s">
        <v>68</v>
      </c>
      <c r="J10" s="30">
        <v>43462</v>
      </c>
      <c r="K10" s="30">
        <v>44132</v>
      </c>
      <c r="L10" s="31">
        <f t="shared" si="0"/>
        <v>85.000000278232704</v>
      </c>
      <c r="M10" s="20">
        <v>7</v>
      </c>
      <c r="N10" s="20" t="s">
        <v>63</v>
      </c>
      <c r="O10" s="20" t="s">
        <v>45</v>
      </c>
      <c r="P10" s="32" t="s">
        <v>39</v>
      </c>
      <c r="Q10" s="20" t="s">
        <v>40</v>
      </c>
      <c r="R10" s="33">
        <f t="shared" si="11"/>
        <v>1221998.73</v>
      </c>
      <c r="S10" s="2">
        <v>1221998.73</v>
      </c>
      <c r="T10" s="2">
        <v>0</v>
      </c>
      <c r="U10" s="33">
        <f t="shared" si="2"/>
        <v>186893.92</v>
      </c>
      <c r="V10" s="2">
        <v>186893.92</v>
      </c>
      <c r="W10" s="2">
        <v>0</v>
      </c>
      <c r="X10" s="33">
        <f t="shared" si="9"/>
        <v>28752.91</v>
      </c>
      <c r="Y10" s="2">
        <v>28752.91</v>
      </c>
      <c r="Z10" s="2">
        <v>0</v>
      </c>
      <c r="AA10" s="2">
        <f t="shared" si="5"/>
        <v>0</v>
      </c>
      <c r="AB10" s="42">
        <v>0</v>
      </c>
      <c r="AC10" s="42">
        <v>0</v>
      </c>
      <c r="AD10" s="2">
        <f t="shared" si="10"/>
        <v>1437645.5599999998</v>
      </c>
      <c r="AE10" s="2"/>
      <c r="AF10" s="2">
        <f t="shared" si="4"/>
        <v>1437645.5599999998</v>
      </c>
      <c r="AG10" s="39" t="s">
        <v>69</v>
      </c>
      <c r="AH10" s="39"/>
      <c r="AI10" s="35">
        <v>596988.87</v>
      </c>
      <c r="AJ10" s="36">
        <v>91304.180000000008</v>
      </c>
      <c r="AK10" s="28">
        <f t="shared" si="6"/>
        <v>625009.86</v>
      </c>
      <c r="AL10" s="28">
        <f t="shared" si="7"/>
        <v>95589.74</v>
      </c>
      <c r="AM10" s="29">
        <f t="shared" si="8"/>
        <v>0.48853477122680805</v>
      </c>
    </row>
    <row r="11" spans="1:39 16382:16382" ht="88.5" customHeight="1" x14ac:dyDescent="0.25">
      <c r="A11" s="10">
        <v>8</v>
      </c>
      <c r="B11" s="37">
        <v>126520</v>
      </c>
      <c r="C11" s="20">
        <v>550</v>
      </c>
      <c r="D11" s="20" t="s">
        <v>47</v>
      </c>
      <c r="E11" s="14" t="s">
        <v>65</v>
      </c>
      <c r="F11" s="40" t="s">
        <v>70</v>
      </c>
      <c r="G11" s="20" t="s">
        <v>61</v>
      </c>
      <c r="H11" s="20" t="s">
        <v>35</v>
      </c>
      <c r="I11" s="43" t="s">
        <v>71</v>
      </c>
      <c r="J11" s="30">
        <v>43504</v>
      </c>
      <c r="K11" s="30">
        <v>44294</v>
      </c>
      <c r="L11" s="31">
        <f t="shared" si="0"/>
        <v>84.999999104679475</v>
      </c>
      <c r="M11" s="20">
        <v>7</v>
      </c>
      <c r="N11" s="20" t="s">
        <v>63</v>
      </c>
      <c r="O11" s="20" t="s">
        <v>45</v>
      </c>
      <c r="P11" s="32" t="s">
        <v>39</v>
      </c>
      <c r="Q11" s="20" t="s">
        <v>40</v>
      </c>
      <c r="R11" s="33">
        <f t="shared" si="11"/>
        <v>2231044.54</v>
      </c>
      <c r="S11" s="2">
        <v>2231044.54</v>
      </c>
      <c r="T11" s="2">
        <v>0</v>
      </c>
      <c r="U11" s="33">
        <f t="shared" si="2"/>
        <v>341218.6</v>
      </c>
      <c r="V11" s="2">
        <v>341218.6</v>
      </c>
      <c r="W11" s="2">
        <v>0</v>
      </c>
      <c r="X11" s="33">
        <f t="shared" si="9"/>
        <v>52495.17</v>
      </c>
      <c r="Y11" s="2">
        <v>52495.17</v>
      </c>
      <c r="Z11" s="2">
        <v>0</v>
      </c>
      <c r="AA11" s="2">
        <f t="shared" si="5"/>
        <v>0</v>
      </c>
      <c r="AB11" s="42">
        <v>0</v>
      </c>
      <c r="AC11" s="42">
        <v>0</v>
      </c>
      <c r="AD11" s="2">
        <f t="shared" si="10"/>
        <v>2624758.31</v>
      </c>
      <c r="AE11" s="2"/>
      <c r="AF11" s="2">
        <f t="shared" si="4"/>
        <v>2624758.31</v>
      </c>
      <c r="AG11" s="39" t="s">
        <v>69</v>
      </c>
      <c r="AH11" s="39" t="s">
        <v>72</v>
      </c>
      <c r="AI11" s="35">
        <v>1036154.8300000001</v>
      </c>
      <c r="AJ11" s="36">
        <v>158470.74</v>
      </c>
      <c r="AK11" s="28">
        <f t="shared" si="6"/>
        <v>1194889.71</v>
      </c>
      <c r="AL11" s="28">
        <f t="shared" si="7"/>
        <v>182747.86</v>
      </c>
      <c r="AM11" s="29">
        <f t="shared" si="8"/>
        <v>0.46442588277507002</v>
      </c>
    </row>
    <row r="12" spans="1:39 16382:16382" ht="75" customHeight="1" x14ac:dyDescent="0.25">
      <c r="A12" s="10">
        <v>9</v>
      </c>
      <c r="B12" s="37">
        <v>126539</v>
      </c>
      <c r="C12" s="20">
        <v>574</v>
      </c>
      <c r="D12" s="20" t="s">
        <v>31</v>
      </c>
      <c r="E12" s="14" t="s">
        <v>65</v>
      </c>
      <c r="F12" s="40" t="s">
        <v>73</v>
      </c>
      <c r="G12" s="20" t="s">
        <v>34</v>
      </c>
      <c r="H12" s="20" t="s">
        <v>35</v>
      </c>
      <c r="I12" s="43" t="s">
        <v>74</v>
      </c>
      <c r="J12" s="30">
        <v>43552</v>
      </c>
      <c r="K12" s="30">
        <v>44467</v>
      </c>
      <c r="L12" s="31">
        <f t="shared" si="0"/>
        <v>85.000000056453686</v>
      </c>
      <c r="M12" s="20">
        <v>7</v>
      </c>
      <c r="N12" s="20" t="s">
        <v>37</v>
      </c>
      <c r="O12" s="20" t="s">
        <v>38</v>
      </c>
      <c r="P12" s="32" t="s">
        <v>39</v>
      </c>
      <c r="Q12" s="20" t="s">
        <v>40</v>
      </c>
      <c r="R12" s="33">
        <f t="shared" si="11"/>
        <v>3011318.02</v>
      </c>
      <c r="S12" s="2">
        <v>3011318.02</v>
      </c>
      <c r="T12" s="2">
        <v>0</v>
      </c>
      <c r="U12" s="33">
        <f t="shared" si="2"/>
        <v>460554.52</v>
      </c>
      <c r="V12" s="2">
        <v>460554.52</v>
      </c>
      <c r="W12" s="2">
        <v>0</v>
      </c>
      <c r="X12" s="33">
        <f t="shared" si="9"/>
        <v>70854.539999999994</v>
      </c>
      <c r="Y12" s="2">
        <v>70854.539999999994</v>
      </c>
      <c r="Z12" s="2">
        <v>0</v>
      </c>
      <c r="AA12" s="2">
        <f>AB12+AC12</f>
        <v>0</v>
      </c>
      <c r="AB12" s="42">
        <v>0</v>
      </c>
      <c r="AC12" s="42">
        <v>0</v>
      </c>
      <c r="AD12" s="2">
        <f t="shared" si="10"/>
        <v>3542727.08</v>
      </c>
      <c r="AE12" s="2">
        <v>65688</v>
      </c>
      <c r="AF12" s="2">
        <f t="shared" si="4"/>
        <v>3608415.08</v>
      </c>
      <c r="AG12" s="39" t="s">
        <v>69</v>
      </c>
      <c r="AH12" s="39" t="s">
        <v>35</v>
      </c>
      <c r="AI12" s="35">
        <v>254185.09</v>
      </c>
      <c r="AJ12" s="36">
        <v>38875.360000000001</v>
      </c>
      <c r="AK12" s="28">
        <f t="shared" si="6"/>
        <v>2757132.93</v>
      </c>
      <c r="AL12" s="28">
        <f t="shared" si="7"/>
        <v>421679.16000000003</v>
      </c>
      <c r="AM12" s="29">
        <f t="shared" si="8"/>
        <v>8.4409912308099563E-2</v>
      </c>
    </row>
    <row r="13" spans="1:39 16382:16382" ht="69.75" customHeight="1" x14ac:dyDescent="0.25">
      <c r="A13" s="10">
        <v>10</v>
      </c>
      <c r="B13" s="37">
        <v>126063</v>
      </c>
      <c r="C13" s="20">
        <v>512</v>
      </c>
      <c r="D13" s="20" t="s">
        <v>31</v>
      </c>
      <c r="E13" s="14" t="s">
        <v>65</v>
      </c>
      <c r="F13" s="40" t="s">
        <v>75</v>
      </c>
      <c r="G13" s="20" t="s">
        <v>50</v>
      </c>
      <c r="H13" s="20" t="s">
        <v>76</v>
      </c>
      <c r="I13" s="43" t="s">
        <v>77</v>
      </c>
      <c r="J13" s="30">
        <v>43552</v>
      </c>
      <c r="K13" s="30">
        <v>44467</v>
      </c>
      <c r="L13" s="31">
        <f t="shared" si="0"/>
        <v>84.408145121705388</v>
      </c>
      <c r="M13" s="20">
        <v>7</v>
      </c>
      <c r="N13" s="20" t="s">
        <v>37</v>
      </c>
      <c r="O13" s="20" t="s">
        <v>53</v>
      </c>
      <c r="P13" s="32" t="s">
        <v>39</v>
      </c>
      <c r="Q13" s="20" t="s">
        <v>40</v>
      </c>
      <c r="R13" s="33">
        <f t="shared" si="11"/>
        <v>2846403.24</v>
      </c>
      <c r="S13" s="2">
        <v>2846403.24</v>
      </c>
      <c r="T13" s="2">
        <v>0</v>
      </c>
      <c r="U13" s="33">
        <f t="shared" si="2"/>
        <v>458343.2</v>
      </c>
      <c r="V13" s="2">
        <v>458343.2</v>
      </c>
      <c r="W13" s="2">
        <v>0</v>
      </c>
      <c r="X13" s="33">
        <f t="shared" si="9"/>
        <v>43963.23</v>
      </c>
      <c r="Y13" s="2">
        <v>43963.23</v>
      </c>
      <c r="Z13" s="2">
        <v>0</v>
      </c>
      <c r="AA13" s="2">
        <f t="shared" ref="AA13:AA14" si="12">AB13+AC13</f>
        <v>23480.58</v>
      </c>
      <c r="AB13" s="42">
        <v>23480.58</v>
      </c>
      <c r="AC13" s="42">
        <v>0</v>
      </c>
      <c r="AD13" s="2">
        <f t="shared" si="10"/>
        <v>3372190.2500000005</v>
      </c>
      <c r="AE13" s="2">
        <v>0</v>
      </c>
      <c r="AF13" s="2">
        <f t="shared" si="4"/>
        <v>3372190.2500000005</v>
      </c>
      <c r="AG13" s="39" t="s">
        <v>69</v>
      </c>
      <c r="AH13" s="39" t="s">
        <v>78</v>
      </c>
      <c r="AI13" s="35">
        <v>687890.6399999999</v>
      </c>
      <c r="AJ13" s="36">
        <v>76038.169999999984</v>
      </c>
      <c r="AK13" s="28">
        <f t="shared" si="6"/>
        <v>2158512.6000000006</v>
      </c>
      <c r="AL13" s="28">
        <f t="shared" si="7"/>
        <v>382305.03</v>
      </c>
      <c r="AM13" s="29">
        <f t="shared" si="8"/>
        <v>0.24167012963349488</v>
      </c>
    </row>
    <row r="14" spans="1:39 16382:16382" ht="118.5" customHeight="1" x14ac:dyDescent="0.25">
      <c r="A14" s="10">
        <v>11</v>
      </c>
      <c r="B14" s="37">
        <v>128599</v>
      </c>
      <c r="C14" s="20">
        <v>637</v>
      </c>
      <c r="D14" s="15" t="s">
        <v>31</v>
      </c>
      <c r="E14" s="14" t="s">
        <v>79</v>
      </c>
      <c r="F14" s="40" t="s">
        <v>80</v>
      </c>
      <c r="G14" s="20" t="s">
        <v>67</v>
      </c>
      <c r="H14" s="20" t="s">
        <v>35</v>
      </c>
      <c r="I14" s="43" t="s">
        <v>81</v>
      </c>
      <c r="J14" s="30">
        <v>43634</v>
      </c>
      <c r="K14" s="30">
        <v>44365</v>
      </c>
      <c r="L14" s="31">
        <f t="shared" si="0"/>
        <v>85</v>
      </c>
      <c r="M14" s="20">
        <v>7</v>
      </c>
      <c r="N14" s="20" t="s">
        <v>63</v>
      </c>
      <c r="O14" s="20" t="s">
        <v>45</v>
      </c>
      <c r="P14" s="32" t="s">
        <v>39</v>
      </c>
      <c r="Q14" s="20" t="s">
        <v>40</v>
      </c>
      <c r="R14" s="33">
        <f t="shared" si="11"/>
        <v>848667.88</v>
      </c>
      <c r="S14" s="2">
        <v>848667.88</v>
      </c>
      <c r="T14" s="2">
        <v>0</v>
      </c>
      <c r="U14" s="33">
        <f t="shared" si="2"/>
        <v>129796.26</v>
      </c>
      <c r="V14" s="2">
        <v>129796.26</v>
      </c>
      <c r="W14" s="2">
        <v>0</v>
      </c>
      <c r="X14" s="33">
        <f t="shared" si="9"/>
        <v>19968.66</v>
      </c>
      <c r="Y14" s="2">
        <v>19968.66</v>
      </c>
      <c r="Z14" s="2">
        <v>0</v>
      </c>
      <c r="AA14" s="2">
        <f t="shared" si="12"/>
        <v>0</v>
      </c>
      <c r="AB14" s="42">
        <v>0</v>
      </c>
      <c r="AC14" s="42">
        <v>0</v>
      </c>
      <c r="AD14" s="2">
        <f t="shared" si="10"/>
        <v>998432.8</v>
      </c>
      <c r="AE14" s="2">
        <v>0</v>
      </c>
      <c r="AF14" s="2">
        <f t="shared" si="4"/>
        <v>998432.8</v>
      </c>
      <c r="AG14" s="39" t="s">
        <v>69</v>
      </c>
      <c r="AH14" s="39"/>
      <c r="AI14" s="35">
        <v>81051.490000000005</v>
      </c>
      <c r="AJ14" s="36">
        <v>8948.51</v>
      </c>
      <c r="AK14" s="28">
        <f t="shared" si="6"/>
        <v>767616.39</v>
      </c>
      <c r="AL14" s="28">
        <f t="shared" si="7"/>
        <v>120847.75</v>
      </c>
      <c r="AM14" s="29">
        <f t="shared" si="8"/>
        <v>9.5504368564060665E-2</v>
      </c>
    </row>
    <row r="15" spans="1:39 16382:16382" ht="192" customHeight="1" x14ac:dyDescent="0.25">
      <c r="A15" s="10">
        <v>12</v>
      </c>
      <c r="B15" s="44">
        <v>135772</v>
      </c>
      <c r="C15" s="45">
        <v>802</v>
      </c>
      <c r="D15" s="46" t="s">
        <v>31</v>
      </c>
      <c r="E15" s="14" t="s">
        <v>1826</v>
      </c>
      <c r="F15" s="40" t="s">
        <v>1827</v>
      </c>
      <c r="G15" s="15" t="s">
        <v>61</v>
      </c>
      <c r="H15" s="20" t="s">
        <v>35</v>
      </c>
      <c r="I15" s="16" t="s">
        <v>1828</v>
      </c>
      <c r="J15" s="47">
        <v>43949</v>
      </c>
      <c r="K15" s="47">
        <v>44862</v>
      </c>
      <c r="L15" s="48">
        <f t="shared" si="0"/>
        <v>85.000000179076224</v>
      </c>
      <c r="M15" s="45">
        <v>7</v>
      </c>
      <c r="N15" s="45" t="s">
        <v>63</v>
      </c>
      <c r="O15" s="45" t="s">
        <v>61</v>
      </c>
      <c r="P15" s="49" t="s">
        <v>39</v>
      </c>
      <c r="Q15" s="45" t="s">
        <v>40</v>
      </c>
      <c r="R15" s="50">
        <f>S15+T15</f>
        <v>2847949.35</v>
      </c>
      <c r="S15" s="50">
        <v>2847949.35</v>
      </c>
      <c r="T15" s="50">
        <v>0</v>
      </c>
      <c r="U15" s="51">
        <f t="shared" si="2"/>
        <v>435568.72</v>
      </c>
      <c r="V15" s="50">
        <v>435568.72</v>
      </c>
      <c r="W15" s="50">
        <v>0</v>
      </c>
      <c r="X15" s="51">
        <f t="shared" si="9"/>
        <v>67010.570000000007</v>
      </c>
      <c r="Y15" s="50">
        <v>67010.570000000007</v>
      </c>
      <c r="Z15" s="50">
        <v>0</v>
      </c>
      <c r="AA15" s="50">
        <f>AB15+AC15</f>
        <v>0</v>
      </c>
      <c r="AB15" s="50">
        <v>0</v>
      </c>
      <c r="AC15" s="50">
        <v>0</v>
      </c>
      <c r="AD15" s="50">
        <f t="shared" si="10"/>
        <v>3350528.64</v>
      </c>
      <c r="AE15" s="50">
        <v>76569.36</v>
      </c>
      <c r="AF15" s="50">
        <f t="shared" si="4"/>
        <v>3427098</v>
      </c>
      <c r="AG15" s="39" t="s">
        <v>69</v>
      </c>
      <c r="AH15" s="39"/>
      <c r="AI15" s="35">
        <v>0</v>
      </c>
      <c r="AJ15" s="36">
        <v>0</v>
      </c>
      <c r="AK15" s="28">
        <f t="shared" si="6"/>
        <v>2847949.35</v>
      </c>
      <c r="AL15" s="28">
        <f t="shared" si="7"/>
        <v>435568.72</v>
      </c>
      <c r="AM15" s="29">
        <f t="shared" si="8"/>
        <v>0</v>
      </c>
    </row>
    <row r="16" spans="1:39 16382:16382" ht="192" customHeight="1" x14ac:dyDescent="0.25">
      <c r="A16" s="10">
        <v>13</v>
      </c>
      <c r="B16" s="37">
        <v>120637</v>
      </c>
      <c r="C16" s="20">
        <v>86</v>
      </c>
      <c r="D16" s="15" t="s">
        <v>31</v>
      </c>
      <c r="E16" s="14" t="s">
        <v>32</v>
      </c>
      <c r="F16" s="15" t="s">
        <v>82</v>
      </c>
      <c r="G16" s="20" t="s">
        <v>83</v>
      </c>
      <c r="H16" s="20" t="s">
        <v>35</v>
      </c>
      <c r="I16" s="16" t="s">
        <v>84</v>
      </c>
      <c r="J16" s="30">
        <v>43145</v>
      </c>
      <c r="K16" s="30">
        <v>43510</v>
      </c>
      <c r="L16" s="31">
        <f t="shared" si="0"/>
        <v>85.000001183738732</v>
      </c>
      <c r="M16" s="20">
        <v>5</v>
      </c>
      <c r="N16" s="20" t="s">
        <v>85</v>
      </c>
      <c r="O16" s="20" t="s">
        <v>85</v>
      </c>
      <c r="P16" s="32" t="s">
        <v>39</v>
      </c>
      <c r="Q16" s="20" t="s">
        <v>40</v>
      </c>
      <c r="R16" s="2">
        <f t="shared" ref="R16:R19" si="13">S16+T16</f>
        <v>359031.93</v>
      </c>
      <c r="S16" s="52">
        <v>359031.93</v>
      </c>
      <c r="T16" s="2">
        <v>0</v>
      </c>
      <c r="U16" s="33">
        <f t="shared" si="2"/>
        <v>54910.76</v>
      </c>
      <c r="V16" s="2">
        <v>54910.76</v>
      </c>
      <c r="W16" s="2">
        <v>0</v>
      </c>
      <c r="X16" s="33">
        <f t="shared" si="9"/>
        <v>8447.81</v>
      </c>
      <c r="Y16" s="2">
        <v>8447.81</v>
      </c>
      <c r="Z16" s="2">
        <v>0</v>
      </c>
      <c r="AA16" s="2">
        <f>AB16+AC16</f>
        <v>0</v>
      </c>
      <c r="AB16" s="2">
        <v>0</v>
      </c>
      <c r="AC16" s="2">
        <v>0</v>
      </c>
      <c r="AD16" s="2">
        <f t="shared" si="10"/>
        <v>422390.5</v>
      </c>
      <c r="AE16" s="2">
        <v>0</v>
      </c>
      <c r="AF16" s="2">
        <f t="shared" si="4"/>
        <v>422390.5</v>
      </c>
      <c r="AG16" s="24" t="s">
        <v>41</v>
      </c>
      <c r="AH16" s="34" t="s">
        <v>35</v>
      </c>
      <c r="AI16" s="35">
        <v>282511.96000000002</v>
      </c>
      <c r="AJ16" s="36">
        <v>43207.69</v>
      </c>
      <c r="AK16" s="28">
        <f t="shared" si="6"/>
        <v>76519.969999999972</v>
      </c>
      <c r="AL16" s="28">
        <f t="shared" si="7"/>
        <v>11703.07</v>
      </c>
      <c r="AM16" s="29">
        <f t="shared" si="8"/>
        <v>0.78687140723110627</v>
      </c>
    </row>
    <row r="17" spans="1:39" ht="192" customHeight="1" x14ac:dyDescent="0.25">
      <c r="A17" s="10">
        <v>14</v>
      </c>
      <c r="B17" s="37">
        <v>119520</v>
      </c>
      <c r="C17" s="37">
        <v>465</v>
      </c>
      <c r="D17" s="20" t="s">
        <v>47</v>
      </c>
      <c r="E17" s="14" t="s">
        <v>48</v>
      </c>
      <c r="F17" s="15" t="s">
        <v>86</v>
      </c>
      <c r="G17" s="20" t="s">
        <v>87</v>
      </c>
      <c r="H17" s="20" t="s">
        <v>88</v>
      </c>
      <c r="I17" s="15" t="s">
        <v>89</v>
      </c>
      <c r="J17" s="30">
        <v>43292</v>
      </c>
      <c r="K17" s="30">
        <v>44176</v>
      </c>
      <c r="L17" s="31">
        <f t="shared" si="0"/>
        <v>85.000019787644845</v>
      </c>
      <c r="M17" s="20">
        <v>5</v>
      </c>
      <c r="N17" s="20" t="s">
        <v>85</v>
      </c>
      <c r="O17" s="20" t="s">
        <v>85</v>
      </c>
      <c r="P17" s="20" t="s">
        <v>39</v>
      </c>
      <c r="Q17" s="20" t="s">
        <v>40</v>
      </c>
      <c r="R17" s="2">
        <f t="shared" si="13"/>
        <v>231962.98</v>
      </c>
      <c r="S17" s="35">
        <v>231962.98</v>
      </c>
      <c r="T17" s="41">
        <v>0</v>
      </c>
      <c r="U17" s="33">
        <f t="shared" si="2"/>
        <v>35476.620000000003</v>
      </c>
      <c r="V17" s="35">
        <v>35476.620000000003</v>
      </c>
      <c r="W17" s="41">
        <v>0</v>
      </c>
      <c r="X17" s="33">
        <f t="shared" si="9"/>
        <v>5457.96</v>
      </c>
      <c r="Y17" s="35">
        <v>5457.96</v>
      </c>
      <c r="Z17" s="35">
        <v>0</v>
      </c>
      <c r="AA17" s="2">
        <f t="shared" ref="AA17:AA18" si="14">AB17+AC17</f>
        <v>0</v>
      </c>
      <c r="AB17" s="42">
        <v>0</v>
      </c>
      <c r="AC17" s="42">
        <v>0</v>
      </c>
      <c r="AD17" s="2">
        <f t="shared" si="10"/>
        <v>272897.56000000006</v>
      </c>
      <c r="AE17" s="39">
        <v>0</v>
      </c>
      <c r="AF17" s="2">
        <f t="shared" si="4"/>
        <v>272897.56000000006</v>
      </c>
      <c r="AG17" s="39" t="s">
        <v>69</v>
      </c>
      <c r="AH17" s="39" t="s">
        <v>90</v>
      </c>
      <c r="AI17" s="35">
        <v>152403.68</v>
      </c>
      <c r="AJ17" s="36">
        <v>23308.79</v>
      </c>
      <c r="AK17" s="28">
        <f t="shared" si="6"/>
        <v>79559.300000000017</v>
      </c>
      <c r="AL17" s="28">
        <f t="shared" si="7"/>
        <v>12167.830000000002</v>
      </c>
      <c r="AM17" s="29">
        <f t="shared" si="8"/>
        <v>0.65701725335654848</v>
      </c>
    </row>
    <row r="18" spans="1:39" ht="192" customHeight="1" x14ac:dyDescent="0.25">
      <c r="A18" s="10">
        <v>15</v>
      </c>
      <c r="B18" s="37">
        <v>116692</v>
      </c>
      <c r="C18" s="20">
        <v>408</v>
      </c>
      <c r="D18" s="15" t="s">
        <v>54</v>
      </c>
      <c r="E18" s="14" t="s">
        <v>55</v>
      </c>
      <c r="F18" s="15" t="s">
        <v>91</v>
      </c>
      <c r="G18" s="20" t="s">
        <v>87</v>
      </c>
      <c r="H18" s="20" t="s">
        <v>35</v>
      </c>
      <c r="I18" s="53" t="s">
        <v>92</v>
      </c>
      <c r="J18" s="30">
        <v>43321</v>
      </c>
      <c r="K18" s="30">
        <v>43899</v>
      </c>
      <c r="L18" s="31">
        <f t="shared" si="0"/>
        <v>85.000000534892237</v>
      </c>
      <c r="M18" s="20">
        <v>5</v>
      </c>
      <c r="N18" s="20" t="s">
        <v>85</v>
      </c>
      <c r="O18" s="20" t="s">
        <v>85</v>
      </c>
      <c r="P18" s="20" t="s">
        <v>39</v>
      </c>
      <c r="Q18" s="20" t="s">
        <v>40</v>
      </c>
      <c r="R18" s="2">
        <f t="shared" si="13"/>
        <v>317821.02</v>
      </c>
      <c r="S18" s="35">
        <v>317821.02</v>
      </c>
      <c r="T18" s="41">
        <v>0</v>
      </c>
      <c r="U18" s="33">
        <f t="shared" si="2"/>
        <v>48607.91</v>
      </c>
      <c r="V18" s="35">
        <v>48607.91</v>
      </c>
      <c r="W18" s="41">
        <v>0</v>
      </c>
      <c r="X18" s="33">
        <f t="shared" si="9"/>
        <v>7478.15</v>
      </c>
      <c r="Y18" s="35">
        <v>7478.15</v>
      </c>
      <c r="Z18" s="35">
        <v>0</v>
      </c>
      <c r="AA18" s="2">
        <f t="shared" si="14"/>
        <v>0</v>
      </c>
      <c r="AB18" s="42">
        <v>0</v>
      </c>
      <c r="AC18" s="42">
        <v>0</v>
      </c>
      <c r="AD18" s="2">
        <f t="shared" si="10"/>
        <v>373907.08000000007</v>
      </c>
      <c r="AE18" s="39">
        <v>0</v>
      </c>
      <c r="AF18" s="2">
        <f t="shared" si="4"/>
        <v>373907.08000000007</v>
      </c>
      <c r="AG18" s="39" t="s">
        <v>41</v>
      </c>
      <c r="AH18" s="39" t="s">
        <v>93</v>
      </c>
      <c r="AI18" s="35">
        <v>181528.22</v>
      </c>
      <c r="AJ18" s="36">
        <v>27763.119999999999</v>
      </c>
      <c r="AK18" s="28">
        <f t="shared" si="6"/>
        <v>136292.80000000002</v>
      </c>
      <c r="AL18" s="28">
        <f t="shared" si="7"/>
        <v>20844.790000000005</v>
      </c>
      <c r="AM18" s="29">
        <f t="shared" si="8"/>
        <v>0.5711649279836809</v>
      </c>
    </row>
    <row r="19" spans="1:39" ht="192" customHeight="1" x14ac:dyDescent="0.25">
      <c r="A19" s="10">
        <v>16</v>
      </c>
      <c r="B19" s="37">
        <v>126495</v>
      </c>
      <c r="C19" s="20">
        <v>558</v>
      </c>
      <c r="D19" s="15" t="s">
        <v>31</v>
      </c>
      <c r="E19" s="14" t="s">
        <v>65</v>
      </c>
      <c r="F19" s="15" t="s">
        <v>94</v>
      </c>
      <c r="G19" s="20" t="s">
        <v>83</v>
      </c>
      <c r="H19" s="20" t="s">
        <v>35</v>
      </c>
      <c r="I19" s="54" t="s">
        <v>95</v>
      </c>
      <c r="J19" s="30">
        <v>43570</v>
      </c>
      <c r="K19" s="30">
        <v>44423</v>
      </c>
      <c r="L19" s="31">
        <f t="shared" si="0"/>
        <v>85</v>
      </c>
      <c r="M19" s="20">
        <v>5</v>
      </c>
      <c r="N19" s="20" t="s">
        <v>85</v>
      </c>
      <c r="O19" s="20" t="s">
        <v>85</v>
      </c>
      <c r="P19" s="20" t="s">
        <v>39</v>
      </c>
      <c r="Q19" s="20" t="s">
        <v>40</v>
      </c>
      <c r="R19" s="2">
        <f t="shared" si="13"/>
        <v>3025356.04</v>
      </c>
      <c r="S19" s="35">
        <v>3025356.04</v>
      </c>
      <c r="T19" s="41">
        <v>0</v>
      </c>
      <c r="U19" s="33">
        <f t="shared" si="2"/>
        <v>462701.51</v>
      </c>
      <c r="V19" s="35">
        <v>462701.51</v>
      </c>
      <c r="W19" s="41">
        <v>0</v>
      </c>
      <c r="X19" s="33">
        <f t="shared" si="9"/>
        <v>71184.850000000006</v>
      </c>
      <c r="Y19" s="35">
        <v>71184.850000000006</v>
      </c>
      <c r="Z19" s="35">
        <v>0</v>
      </c>
      <c r="AA19" s="2">
        <f>AB19+AC19</f>
        <v>0</v>
      </c>
      <c r="AB19" s="2">
        <v>0</v>
      </c>
      <c r="AC19" s="2">
        <v>0</v>
      </c>
      <c r="AD19" s="2">
        <f t="shared" si="10"/>
        <v>3559242.4</v>
      </c>
      <c r="AE19" s="39">
        <v>0</v>
      </c>
      <c r="AF19" s="2">
        <f t="shared" si="4"/>
        <v>3559242.4</v>
      </c>
      <c r="AG19" s="39" t="s">
        <v>69</v>
      </c>
      <c r="AH19" s="39"/>
      <c r="AI19" s="35">
        <v>82686.679999999993</v>
      </c>
      <c r="AJ19" s="36">
        <v>12646.21</v>
      </c>
      <c r="AK19" s="28">
        <f t="shared" si="6"/>
        <v>2942669.36</v>
      </c>
      <c r="AL19" s="28">
        <f t="shared" si="7"/>
        <v>450055.3</v>
      </c>
      <c r="AM19" s="29">
        <f t="shared" si="8"/>
        <v>2.7331222807084877E-2</v>
      </c>
    </row>
    <row r="20" spans="1:39" ht="192" customHeight="1" x14ac:dyDescent="0.25">
      <c r="A20" s="10">
        <v>17</v>
      </c>
      <c r="B20" s="37">
        <v>129702</v>
      </c>
      <c r="C20" s="20">
        <v>676</v>
      </c>
      <c r="D20" s="15" t="s">
        <v>31</v>
      </c>
      <c r="E20" s="14" t="s">
        <v>79</v>
      </c>
      <c r="F20" s="15" t="s">
        <v>96</v>
      </c>
      <c r="G20" s="20" t="s">
        <v>87</v>
      </c>
      <c r="H20" s="20" t="s">
        <v>35</v>
      </c>
      <c r="I20" s="54" t="s">
        <v>97</v>
      </c>
      <c r="J20" s="30">
        <v>43717</v>
      </c>
      <c r="K20" s="30">
        <v>44417</v>
      </c>
      <c r="L20" s="31">
        <f t="shared" si="0"/>
        <v>85</v>
      </c>
      <c r="M20" s="20">
        <v>5</v>
      </c>
      <c r="N20" s="20" t="s">
        <v>85</v>
      </c>
      <c r="O20" s="20" t="s">
        <v>85</v>
      </c>
      <c r="P20" s="20" t="s">
        <v>39</v>
      </c>
      <c r="Q20" s="20" t="s">
        <v>40</v>
      </c>
      <c r="R20" s="2">
        <f>S20+T20</f>
        <v>396508</v>
      </c>
      <c r="S20" s="35">
        <v>396508</v>
      </c>
      <c r="T20" s="41">
        <v>0</v>
      </c>
      <c r="U20" s="33">
        <f t="shared" si="2"/>
        <v>60642.400000000001</v>
      </c>
      <c r="V20" s="35">
        <v>60642.400000000001</v>
      </c>
      <c r="W20" s="41">
        <v>0</v>
      </c>
      <c r="X20" s="33">
        <f t="shared" si="9"/>
        <v>9329.6</v>
      </c>
      <c r="Y20" s="35">
        <v>9329.6</v>
      </c>
      <c r="Z20" s="35">
        <v>0</v>
      </c>
      <c r="AA20" s="2">
        <f>AB20+AC20</f>
        <v>0</v>
      </c>
      <c r="AB20" s="42">
        <v>0</v>
      </c>
      <c r="AC20" s="42">
        <v>0</v>
      </c>
      <c r="AD20" s="2">
        <f t="shared" si="10"/>
        <v>466480</v>
      </c>
      <c r="AE20" s="39">
        <v>0</v>
      </c>
      <c r="AF20" s="2">
        <f t="shared" si="4"/>
        <v>466480</v>
      </c>
      <c r="AG20" s="39" t="s">
        <v>69</v>
      </c>
      <c r="AH20" s="39" t="s">
        <v>35</v>
      </c>
      <c r="AI20" s="35">
        <v>0</v>
      </c>
      <c r="AJ20" s="36">
        <v>0</v>
      </c>
      <c r="AK20" s="28">
        <f t="shared" si="6"/>
        <v>396508</v>
      </c>
      <c r="AL20" s="28">
        <f t="shared" si="7"/>
        <v>60642.400000000001</v>
      </c>
      <c r="AM20" s="29">
        <f t="shared" si="8"/>
        <v>0</v>
      </c>
    </row>
    <row r="21" spans="1:39" ht="192" customHeight="1" x14ac:dyDescent="0.25">
      <c r="A21" s="10">
        <v>18</v>
      </c>
      <c r="B21" s="37">
        <v>120652</v>
      </c>
      <c r="C21" s="20">
        <v>91</v>
      </c>
      <c r="D21" s="15" t="s">
        <v>31</v>
      </c>
      <c r="E21" s="14" t="s">
        <v>32</v>
      </c>
      <c r="F21" s="15" t="s">
        <v>98</v>
      </c>
      <c r="G21" s="15" t="s">
        <v>99</v>
      </c>
      <c r="H21" s="20" t="s">
        <v>35</v>
      </c>
      <c r="I21" s="55" t="s">
        <v>100</v>
      </c>
      <c r="J21" s="30">
        <v>43145</v>
      </c>
      <c r="K21" s="30">
        <v>43510</v>
      </c>
      <c r="L21" s="31">
        <f t="shared" si="0"/>
        <v>84.999999389755786</v>
      </c>
      <c r="M21" s="20">
        <v>3</v>
      </c>
      <c r="N21" s="20" t="s">
        <v>101</v>
      </c>
      <c r="O21" s="20" t="s">
        <v>102</v>
      </c>
      <c r="P21" s="32" t="s">
        <v>39</v>
      </c>
      <c r="Q21" s="20" t="s">
        <v>40</v>
      </c>
      <c r="R21" s="2">
        <f t="shared" ref="R21" si="15">S21+T21</f>
        <v>348221.24</v>
      </c>
      <c r="S21" s="2">
        <v>348221.24</v>
      </c>
      <c r="T21" s="2">
        <v>0</v>
      </c>
      <c r="U21" s="33">
        <f t="shared" si="2"/>
        <v>53257.37</v>
      </c>
      <c r="V21" s="2">
        <v>53257.37</v>
      </c>
      <c r="W21" s="2">
        <v>0</v>
      </c>
      <c r="X21" s="33">
        <f t="shared" si="9"/>
        <v>8193.44</v>
      </c>
      <c r="Y21" s="2">
        <v>8193.44</v>
      </c>
      <c r="Z21" s="2">
        <v>0</v>
      </c>
      <c r="AA21" s="2">
        <f>AB21+AC21</f>
        <v>0</v>
      </c>
      <c r="AB21" s="2">
        <v>0</v>
      </c>
      <c r="AC21" s="2">
        <v>0</v>
      </c>
      <c r="AD21" s="2">
        <f t="shared" si="10"/>
        <v>409672.05</v>
      </c>
      <c r="AE21" s="2">
        <v>0</v>
      </c>
      <c r="AF21" s="2">
        <f t="shared" si="4"/>
        <v>409672.05</v>
      </c>
      <c r="AG21" s="24" t="s">
        <v>41</v>
      </c>
      <c r="AH21" s="34" t="s">
        <v>103</v>
      </c>
      <c r="AI21" s="35">
        <v>334492.68000000005</v>
      </c>
      <c r="AJ21" s="36">
        <v>51157.71</v>
      </c>
      <c r="AK21" s="28">
        <f t="shared" si="6"/>
        <v>13728.559999999939</v>
      </c>
      <c r="AL21" s="28">
        <f t="shared" si="7"/>
        <v>2099.6600000000035</v>
      </c>
      <c r="AM21" s="29">
        <f t="shared" si="8"/>
        <v>0.96057517915908885</v>
      </c>
    </row>
    <row r="22" spans="1:39" ht="192" customHeight="1" x14ac:dyDescent="0.25">
      <c r="A22" s="10">
        <v>19</v>
      </c>
      <c r="B22" s="37">
        <v>118191</v>
      </c>
      <c r="C22" s="56">
        <v>423</v>
      </c>
      <c r="D22" s="15" t="s">
        <v>54</v>
      </c>
      <c r="E22" s="14" t="s">
        <v>55</v>
      </c>
      <c r="F22" s="15" t="s">
        <v>104</v>
      </c>
      <c r="G22" s="15" t="s">
        <v>105</v>
      </c>
      <c r="H22" s="20"/>
      <c r="I22" s="16" t="s">
        <v>106</v>
      </c>
      <c r="J22" s="30">
        <v>43284</v>
      </c>
      <c r="K22" s="30">
        <v>43649</v>
      </c>
      <c r="L22" s="31">
        <f t="shared" si="0"/>
        <v>85.000001358659858</v>
      </c>
      <c r="M22" s="20">
        <v>3</v>
      </c>
      <c r="N22" s="20" t="s">
        <v>101</v>
      </c>
      <c r="O22" s="20" t="s">
        <v>102</v>
      </c>
      <c r="P22" s="32" t="s">
        <v>39</v>
      </c>
      <c r="Q22" s="20" t="s">
        <v>40</v>
      </c>
      <c r="R22" s="57">
        <v>250246.6</v>
      </c>
      <c r="S22" s="35">
        <v>250246.6</v>
      </c>
      <c r="T22" s="2">
        <v>0</v>
      </c>
      <c r="U22" s="33">
        <f t="shared" si="2"/>
        <v>38273</v>
      </c>
      <c r="V22" s="58">
        <v>38273</v>
      </c>
      <c r="W22" s="2">
        <v>0</v>
      </c>
      <c r="X22" s="33">
        <f t="shared" si="9"/>
        <v>5888.16</v>
      </c>
      <c r="Y22" s="2">
        <v>5888.16</v>
      </c>
      <c r="Z22" s="2">
        <v>0</v>
      </c>
      <c r="AA22" s="2">
        <f t="shared" ref="AA22:AA34" si="16">AB22+AC22</f>
        <v>0</v>
      </c>
      <c r="AB22" s="2">
        <v>0</v>
      </c>
      <c r="AC22" s="2">
        <v>0</v>
      </c>
      <c r="AD22" s="2">
        <f t="shared" si="10"/>
        <v>294407.75999999995</v>
      </c>
      <c r="AE22" s="2"/>
      <c r="AF22" s="2">
        <f t="shared" si="4"/>
        <v>294407.75999999995</v>
      </c>
      <c r="AG22" s="24" t="s">
        <v>41</v>
      </c>
      <c r="AH22" s="34" t="s">
        <v>35</v>
      </c>
      <c r="AI22" s="35">
        <v>234372.19999999998</v>
      </c>
      <c r="AJ22" s="36">
        <v>35845.47</v>
      </c>
      <c r="AK22" s="28">
        <f t="shared" si="6"/>
        <v>15874.400000000023</v>
      </c>
      <c r="AL22" s="28">
        <f t="shared" si="7"/>
        <v>2427.5299999999988</v>
      </c>
      <c r="AM22" s="29">
        <f t="shared" si="8"/>
        <v>0.93656497231131208</v>
      </c>
    </row>
    <row r="23" spans="1:39" ht="192" customHeight="1" x14ac:dyDescent="0.25">
      <c r="A23" s="10">
        <v>20</v>
      </c>
      <c r="B23" s="37">
        <v>118741</v>
      </c>
      <c r="C23" s="20">
        <v>459</v>
      </c>
      <c r="D23" s="20" t="s">
        <v>47</v>
      </c>
      <c r="E23" s="14" t="s">
        <v>48</v>
      </c>
      <c r="F23" s="15" t="s">
        <v>107</v>
      </c>
      <c r="G23" s="15" t="s">
        <v>108</v>
      </c>
      <c r="H23" s="20" t="s">
        <v>35</v>
      </c>
      <c r="I23" s="15" t="s">
        <v>109</v>
      </c>
      <c r="J23" s="30">
        <v>43290</v>
      </c>
      <c r="K23" s="30">
        <v>43778</v>
      </c>
      <c r="L23" s="31">
        <f t="shared" si="0"/>
        <v>85.00000356420064</v>
      </c>
      <c r="M23" s="20">
        <v>3</v>
      </c>
      <c r="N23" s="30" t="s">
        <v>101</v>
      </c>
      <c r="O23" s="30" t="s">
        <v>102</v>
      </c>
      <c r="P23" s="30" t="s">
        <v>39</v>
      </c>
      <c r="Q23" s="20" t="s">
        <v>40</v>
      </c>
      <c r="R23" s="33">
        <v>512737.71</v>
      </c>
      <c r="S23" s="2">
        <v>512737.71</v>
      </c>
      <c r="T23" s="2">
        <v>0</v>
      </c>
      <c r="U23" s="33">
        <f t="shared" si="2"/>
        <v>78418.69</v>
      </c>
      <c r="V23" s="2">
        <v>78418.69</v>
      </c>
      <c r="W23" s="2">
        <v>0</v>
      </c>
      <c r="X23" s="33">
        <f t="shared" si="9"/>
        <v>12064.41</v>
      </c>
      <c r="Y23" s="2">
        <v>12064.41</v>
      </c>
      <c r="Z23" s="2">
        <v>0</v>
      </c>
      <c r="AA23" s="2">
        <f t="shared" si="16"/>
        <v>0</v>
      </c>
      <c r="AB23" s="2">
        <v>0</v>
      </c>
      <c r="AC23" s="2">
        <v>0</v>
      </c>
      <c r="AD23" s="2">
        <f t="shared" si="10"/>
        <v>603220.81000000006</v>
      </c>
      <c r="AE23" s="39"/>
      <c r="AF23" s="2">
        <f t="shared" si="4"/>
        <v>603220.81000000006</v>
      </c>
      <c r="AG23" s="24" t="s">
        <v>41</v>
      </c>
      <c r="AH23" s="39"/>
      <c r="AI23" s="35">
        <v>329928.18</v>
      </c>
      <c r="AJ23" s="36">
        <v>50459.58</v>
      </c>
      <c r="AK23" s="28">
        <f t="shared" si="6"/>
        <v>182809.53000000003</v>
      </c>
      <c r="AL23" s="28">
        <f t="shared" si="7"/>
        <v>27959.11</v>
      </c>
      <c r="AM23" s="29">
        <f t="shared" si="8"/>
        <v>0.64346384821198344</v>
      </c>
    </row>
    <row r="24" spans="1:39" ht="192" customHeight="1" x14ac:dyDescent="0.25">
      <c r="A24" s="10">
        <v>21</v>
      </c>
      <c r="B24" s="37">
        <v>126349</v>
      </c>
      <c r="C24" s="20">
        <v>566</v>
      </c>
      <c r="D24" s="20" t="s">
        <v>47</v>
      </c>
      <c r="E24" s="14" t="s">
        <v>65</v>
      </c>
      <c r="F24" s="15" t="s">
        <v>110</v>
      </c>
      <c r="G24" s="15" t="s">
        <v>105</v>
      </c>
      <c r="H24" s="20" t="s">
        <v>35</v>
      </c>
      <c r="I24" s="15" t="s">
        <v>111</v>
      </c>
      <c r="J24" s="30">
        <v>43482</v>
      </c>
      <c r="K24" s="30">
        <v>44213</v>
      </c>
      <c r="L24" s="31">
        <f t="shared" si="0"/>
        <v>85.000000750761799</v>
      </c>
      <c r="M24" s="20">
        <v>3</v>
      </c>
      <c r="N24" s="30" t="s">
        <v>101</v>
      </c>
      <c r="O24" s="30" t="s">
        <v>102</v>
      </c>
      <c r="P24" s="30" t="s">
        <v>39</v>
      </c>
      <c r="Q24" s="20" t="s">
        <v>40</v>
      </c>
      <c r="R24" s="33">
        <f>S24+T24</f>
        <v>3396550.05</v>
      </c>
      <c r="S24" s="2">
        <v>3396550.05</v>
      </c>
      <c r="T24" s="2">
        <v>0</v>
      </c>
      <c r="U24" s="33">
        <f t="shared" si="2"/>
        <v>519472.32</v>
      </c>
      <c r="V24" s="2">
        <v>519472.32</v>
      </c>
      <c r="W24" s="2">
        <v>0</v>
      </c>
      <c r="X24" s="33">
        <f t="shared" si="9"/>
        <v>79918.83</v>
      </c>
      <c r="Y24" s="2">
        <v>79918.83</v>
      </c>
      <c r="Z24" s="2">
        <v>0</v>
      </c>
      <c r="AA24" s="2">
        <f>AB24+AC24</f>
        <v>0</v>
      </c>
      <c r="AB24" s="2">
        <v>0</v>
      </c>
      <c r="AC24" s="2">
        <v>0</v>
      </c>
      <c r="AD24" s="2">
        <f t="shared" si="10"/>
        <v>3995941.1999999997</v>
      </c>
      <c r="AE24" s="39">
        <v>0</v>
      </c>
      <c r="AF24" s="2">
        <f t="shared" si="4"/>
        <v>3995941.1999999997</v>
      </c>
      <c r="AG24" s="39" t="s">
        <v>69</v>
      </c>
      <c r="AH24" s="39"/>
      <c r="AI24" s="35">
        <v>571396.75</v>
      </c>
      <c r="AJ24" s="36">
        <v>87390.09</v>
      </c>
      <c r="AK24" s="28">
        <f t="shared" si="6"/>
        <v>2825153.3</v>
      </c>
      <c r="AL24" s="28">
        <f t="shared" si="7"/>
        <v>432082.23</v>
      </c>
      <c r="AM24" s="29">
        <f t="shared" si="8"/>
        <v>0.16822856769032449</v>
      </c>
    </row>
    <row r="25" spans="1:39" ht="192" customHeight="1" x14ac:dyDescent="0.25">
      <c r="A25" s="10">
        <v>22</v>
      </c>
      <c r="B25" s="37">
        <v>128987</v>
      </c>
      <c r="C25" s="20">
        <v>649</v>
      </c>
      <c r="D25" s="15" t="s">
        <v>31</v>
      </c>
      <c r="E25" s="14" t="s">
        <v>79</v>
      </c>
      <c r="F25" s="40" t="s">
        <v>112</v>
      </c>
      <c r="G25" s="15" t="s">
        <v>108</v>
      </c>
      <c r="H25" s="20" t="s">
        <v>35</v>
      </c>
      <c r="I25" s="15" t="s">
        <v>113</v>
      </c>
      <c r="J25" s="30">
        <v>43626</v>
      </c>
      <c r="K25" s="30">
        <v>44540</v>
      </c>
      <c r="L25" s="31">
        <f t="shared" si="0"/>
        <v>85.000000101931988</v>
      </c>
      <c r="M25" s="20">
        <v>3</v>
      </c>
      <c r="N25" s="30" t="s">
        <v>101</v>
      </c>
      <c r="O25" s="30" t="s">
        <v>102</v>
      </c>
      <c r="P25" s="30" t="s">
        <v>39</v>
      </c>
      <c r="Q25" s="20" t="s">
        <v>40</v>
      </c>
      <c r="R25" s="33">
        <f>S25+T25</f>
        <v>2501668.17</v>
      </c>
      <c r="S25" s="2">
        <v>2501668.17</v>
      </c>
      <c r="T25" s="2">
        <v>0</v>
      </c>
      <c r="U25" s="33">
        <f t="shared" si="2"/>
        <v>382608.07</v>
      </c>
      <c r="V25" s="2">
        <v>382608.07</v>
      </c>
      <c r="W25" s="2">
        <v>0</v>
      </c>
      <c r="X25" s="33">
        <f t="shared" si="9"/>
        <v>58862.78</v>
      </c>
      <c r="Y25" s="2">
        <v>58862.78</v>
      </c>
      <c r="Z25" s="2">
        <v>0</v>
      </c>
      <c r="AA25" s="2">
        <f>AB25+AC25</f>
        <v>0</v>
      </c>
      <c r="AB25" s="2">
        <v>0</v>
      </c>
      <c r="AC25" s="2">
        <v>0</v>
      </c>
      <c r="AD25" s="2">
        <f t="shared" si="10"/>
        <v>2943139.0199999996</v>
      </c>
      <c r="AE25" s="35">
        <v>0</v>
      </c>
      <c r="AF25" s="2">
        <f t="shared" si="4"/>
        <v>2943139.0199999996</v>
      </c>
      <c r="AG25" s="39" t="s">
        <v>69</v>
      </c>
      <c r="AH25" s="39" t="s">
        <v>35</v>
      </c>
      <c r="AI25" s="35">
        <v>172108.45</v>
      </c>
      <c r="AJ25" s="36">
        <v>26322.47</v>
      </c>
      <c r="AK25" s="28">
        <f t="shared" si="6"/>
        <v>2329559.7199999997</v>
      </c>
      <c r="AL25" s="28">
        <f t="shared" si="7"/>
        <v>356285.6</v>
      </c>
      <c r="AM25" s="29">
        <f t="shared" si="8"/>
        <v>6.8797473647354279E-2</v>
      </c>
    </row>
    <row r="26" spans="1:39" ht="192" customHeight="1" x14ac:dyDescent="0.25">
      <c r="A26" s="10">
        <v>23</v>
      </c>
      <c r="B26" s="37">
        <v>119613</v>
      </c>
      <c r="C26" s="20">
        <v>461</v>
      </c>
      <c r="D26" s="20" t="s">
        <v>47</v>
      </c>
      <c r="E26" s="14" t="s">
        <v>48</v>
      </c>
      <c r="F26" s="15" t="s">
        <v>114</v>
      </c>
      <c r="G26" s="20" t="s">
        <v>115</v>
      </c>
      <c r="H26" s="20" t="s">
        <v>35</v>
      </c>
      <c r="I26" s="15" t="s">
        <v>116</v>
      </c>
      <c r="J26" s="30">
        <v>43320</v>
      </c>
      <c r="K26" s="30">
        <v>43646</v>
      </c>
      <c r="L26" s="31">
        <f t="shared" si="0"/>
        <v>85.00000179686964</v>
      </c>
      <c r="M26" s="20">
        <v>1</v>
      </c>
      <c r="N26" s="20" t="s">
        <v>117</v>
      </c>
      <c r="O26" s="20" t="s">
        <v>117</v>
      </c>
      <c r="P26" s="30" t="s">
        <v>39</v>
      </c>
      <c r="Q26" s="20" t="s">
        <v>40</v>
      </c>
      <c r="R26" s="2">
        <f t="shared" ref="R26:R28" si="17">S26+T26</f>
        <v>236522.45</v>
      </c>
      <c r="S26" s="2">
        <v>236522.45</v>
      </c>
      <c r="T26" s="2">
        <v>0</v>
      </c>
      <c r="U26" s="33">
        <f t="shared" si="2"/>
        <v>36174.019999999997</v>
      </c>
      <c r="V26" s="52">
        <v>36174.019999999997</v>
      </c>
      <c r="W26" s="59">
        <v>0</v>
      </c>
      <c r="X26" s="33">
        <f t="shared" si="9"/>
        <v>5565.23</v>
      </c>
      <c r="Y26" s="52">
        <v>5565.23</v>
      </c>
      <c r="Z26" s="60">
        <v>0</v>
      </c>
      <c r="AA26" s="2">
        <v>0</v>
      </c>
      <c r="AB26" s="2">
        <v>0</v>
      </c>
      <c r="AC26" s="2">
        <v>0</v>
      </c>
      <c r="AD26" s="2">
        <f t="shared" si="10"/>
        <v>278261.7</v>
      </c>
      <c r="AE26" s="2">
        <v>37449.300000000003</v>
      </c>
      <c r="AF26" s="2">
        <f t="shared" si="4"/>
        <v>315711</v>
      </c>
      <c r="AG26" s="24" t="s">
        <v>41</v>
      </c>
      <c r="AH26" s="34" t="s">
        <v>118</v>
      </c>
      <c r="AI26" s="35">
        <v>227036.25</v>
      </c>
      <c r="AJ26" s="36">
        <v>34723.18</v>
      </c>
      <c r="AK26" s="28">
        <f t="shared" si="6"/>
        <v>9486.2000000000116</v>
      </c>
      <c r="AL26" s="28">
        <f t="shared" si="7"/>
        <v>1450.8399999999965</v>
      </c>
      <c r="AM26" s="29">
        <f t="shared" si="8"/>
        <v>0.95989302495386797</v>
      </c>
    </row>
    <row r="27" spans="1:39" ht="192" customHeight="1" x14ac:dyDescent="0.25">
      <c r="A27" s="10">
        <v>24</v>
      </c>
      <c r="B27" s="37">
        <v>118515</v>
      </c>
      <c r="C27" s="20">
        <v>429</v>
      </c>
      <c r="D27" s="15" t="s">
        <v>54</v>
      </c>
      <c r="E27" s="14" t="s">
        <v>55</v>
      </c>
      <c r="F27" s="15" t="s">
        <v>119</v>
      </c>
      <c r="G27" s="20" t="s">
        <v>115</v>
      </c>
      <c r="H27" s="20" t="s">
        <v>35</v>
      </c>
      <c r="I27" s="15" t="s">
        <v>120</v>
      </c>
      <c r="J27" s="30">
        <v>43333</v>
      </c>
      <c r="K27" s="30">
        <v>43820</v>
      </c>
      <c r="L27" s="31">
        <f t="shared" si="0"/>
        <v>85</v>
      </c>
      <c r="M27" s="20">
        <v>1</v>
      </c>
      <c r="N27" s="20" t="s">
        <v>117</v>
      </c>
      <c r="O27" s="20" t="s">
        <v>117</v>
      </c>
      <c r="P27" s="30" t="s">
        <v>39</v>
      </c>
      <c r="Q27" s="20" t="s">
        <v>40</v>
      </c>
      <c r="R27" s="2">
        <f t="shared" si="17"/>
        <v>339452.6</v>
      </c>
      <c r="S27" s="35">
        <v>339452.6</v>
      </c>
      <c r="T27" s="35">
        <v>0</v>
      </c>
      <c r="U27" s="33">
        <f t="shared" si="2"/>
        <v>51916.28</v>
      </c>
      <c r="V27" s="35">
        <v>51916.28</v>
      </c>
      <c r="W27" s="41">
        <v>0</v>
      </c>
      <c r="X27" s="33">
        <f t="shared" si="9"/>
        <v>7987.12</v>
      </c>
      <c r="Y27" s="35">
        <v>7987.12</v>
      </c>
      <c r="Z27" s="35">
        <v>0</v>
      </c>
      <c r="AA27" s="2">
        <f t="shared" si="16"/>
        <v>0</v>
      </c>
      <c r="AB27" s="2">
        <v>0</v>
      </c>
      <c r="AC27" s="2">
        <v>0</v>
      </c>
      <c r="AD27" s="2">
        <f t="shared" si="10"/>
        <v>399356</v>
      </c>
      <c r="AE27" s="2">
        <v>58024.99</v>
      </c>
      <c r="AF27" s="2">
        <f t="shared" si="4"/>
        <v>457380.99</v>
      </c>
      <c r="AG27" s="39" t="s">
        <v>41</v>
      </c>
      <c r="AH27" s="34" t="s">
        <v>35</v>
      </c>
      <c r="AI27" s="35">
        <v>321570.08</v>
      </c>
      <c r="AJ27" s="36">
        <v>49181.31</v>
      </c>
      <c r="AK27" s="28">
        <f t="shared" si="6"/>
        <v>17882.51999999996</v>
      </c>
      <c r="AL27" s="28">
        <f t="shared" si="7"/>
        <v>2734.9700000000012</v>
      </c>
      <c r="AM27" s="29">
        <f t="shared" si="8"/>
        <v>0.94731953739638475</v>
      </c>
    </row>
    <row r="28" spans="1:39" ht="192" customHeight="1" x14ac:dyDescent="0.25">
      <c r="A28" s="10">
        <v>25</v>
      </c>
      <c r="B28" s="37">
        <v>126161</v>
      </c>
      <c r="C28" s="20">
        <v>571</v>
      </c>
      <c r="D28" s="15" t="s">
        <v>31</v>
      </c>
      <c r="E28" s="14" t="s">
        <v>65</v>
      </c>
      <c r="F28" s="15" t="s">
        <v>121</v>
      </c>
      <c r="G28" s="20" t="s">
        <v>122</v>
      </c>
      <c r="H28" s="20" t="s">
        <v>35</v>
      </c>
      <c r="I28" s="15" t="s">
        <v>123</v>
      </c>
      <c r="J28" s="30">
        <v>43444</v>
      </c>
      <c r="K28" s="30">
        <v>44265</v>
      </c>
      <c r="L28" s="31">
        <f t="shared" si="0"/>
        <v>84.999999835393808</v>
      </c>
      <c r="M28" s="20">
        <v>1</v>
      </c>
      <c r="N28" s="20" t="s">
        <v>117</v>
      </c>
      <c r="O28" s="20" t="s">
        <v>117</v>
      </c>
      <c r="P28" s="30" t="s">
        <v>39</v>
      </c>
      <c r="Q28" s="20" t="s">
        <v>40</v>
      </c>
      <c r="R28" s="2">
        <f t="shared" si="17"/>
        <v>2323727.9300000002</v>
      </c>
      <c r="S28" s="35">
        <v>2323727.9300000002</v>
      </c>
      <c r="T28" s="35">
        <v>0</v>
      </c>
      <c r="U28" s="33">
        <f t="shared" si="2"/>
        <v>355393.68</v>
      </c>
      <c r="V28" s="35">
        <v>355393.68</v>
      </c>
      <c r="W28" s="41">
        <v>0</v>
      </c>
      <c r="X28" s="33">
        <f t="shared" si="9"/>
        <v>54675.96</v>
      </c>
      <c r="Y28" s="35">
        <v>54675.96</v>
      </c>
      <c r="Z28" s="35">
        <v>0</v>
      </c>
      <c r="AA28" s="2">
        <f t="shared" si="16"/>
        <v>0</v>
      </c>
      <c r="AB28" s="2">
        <v>0</v>
      </c>
      <c r="AC28" s="2">
        <v>0</v>
      </c>
      <c r="AD28" s="2">
        <f t="shared" si="10"/>
        <v>2733797.5700000003</v>
      </c>
      <c r="AE28" s="2">
        <v>80920</v>
      </c>
      <c r="AF28" s="2">
        <f t="shared" si="4"/>
        <v>2814717.5700000003</v>
      </c>
      <c r="AG28" s="39" t="s">
        <v>69</v>
      </c>
      <c r="AH28" s="34"/>
      <c r="AI28" s="35">
        <v>250763.77000000002</v>
      </c>
      <c r="AJ28" s="36">
        <v>38352.11</v>
      </c>
      <c r="AK28" s="28">
        <f t="shared" si="6"/>
        <v>2072964.1600000001</v>
      </c>
      <c r="AL28" s="28">
        <f t="shared" si="7"/>
        <v>317041.57</v>
      </c>
      <c r="AM28" s="29">
        <f t="shared" si="8"/>
        <v>0.10791442783062817</v>
      </c>
    </row>
    <row r="29" spans="1:39" ht="192" customHeight="1" x14ac:dyDescent="0.25">
      <c r="A29" s="10">
        <v>26</v>
      </c>
      <c r="B29" s="37">
        <v>128880</v>
      </c>
      <c r="C29" s="20">
        <v>652</v>
      </c>
      <c r="D29" s="15" t="s">
        <v>31</v>
      </c>
      <c r="E29" s="14" t="s">
        <v>79</v>
      </c>
      <c r="F29" s="15" t="s">
        <v>124</v>
      </c>
      <c r="G29" s="20" t="s">
        <v>115</v>
      </c>
      <c r="H29" s="20" t="s">
        <v>35</v>
      </c>
      <c r="I29" s="15" t="s">
        <v>125</v>
      </c>
      <c r="J29" s="30">
        <v>43643</v>
      </c>
      <c r="K29" s="30">
        <v>44374</v>
      </c>
      <c r="L29" s="31">
        <f t="shared" si="0"/>
        <v>85</v>
      </c>
      <c r="M29" s="20">
        <v>1</v>
      </c>
      <c r="N29" s="20" t="s">
        <v>117</v>
      </c>
      <c r="O29" s="20" t="s">
        <v>117</v>
      </c>
      <c r="P29" s="30" t="s">
        <v>39</v>
      </c>
      <c r="Q29" s="20" t="s">
        <v>40</v>
      </c>
      <c r="R29" s="2">
        <f>S29+T29</f>
        <v>2545487.35</v>
      </c>
      <c r="S29" s="35">
        <v>2545487.35</v>
      </c>
      <c r="T29" s="35">
        <v>0</v>
      </c>
      <c r="U29" s="33">
        <f t="shared" si="2"/>
        <v>389309.83</v>
      </c>
      <c r="V29" s="35">
        <v>389309.83</v>
      </c>
      <c r="W29" s="35">
        <v>0</v>
      </c>
      <c r="X29" s="33">
        <f t="shared" si="9"/>
        <v>59893.82</v>
      </c>
      <c r="Y29" s="35">
        <v>59893.82</v>
      </c>
      <c r="Z29" s="35">
        <v>0</v>
      </c>
      <c r="AA29" s="2">
        <f>AB29+AC29</f>
        <v>0</v>
      </c>
      <c r="AB29" s="33">
        <v>0</v>
      </c>
      <c r="AC29" s="33">
        <v>0</v>
      </c>
      <c r="AD29" s="2">
        <f t="shared" si="10"/>
        <v>2994691</v>
      </c>
      <c r="AE29" s="2">
        <v>0</v>
      </c>
      <c r="AF29" s="2">
        <f t="shared" si="4"/>
        <v>2994691</v>
      </c>
      <c r="AG29" s="39" t="s">
        <v>69</v>
      </c>
      <c r="AH29" s="34"/>
      <c r="AI29" s="35">
        <f>36393.57+45074.65+33467.9+14357.35+42214.4</f>
        <v>171507.87</v>
      </c>
      <c r="AJ29" s="36">
        <f>5566.07+6893.77+5118.62+2195.83+6456.32</f>
        <v>26230.61</v>
      </c>
      <c r="AK29" s="28">
        <f t="shared" si="6"/>
        <v>2373979.48</v>
      </c>
      <c r="AL29" s="28">
        <f t="shared" si="7"/>
        <v>363079.22000000003</v>
      </c>
      <c r="AM29" s="29">
        <f t="shared" si="8"/>
        <v>6.7377223461746918E-2</v>
      </c>
    </row>
    <row r="30" spans="1:39" ht="192" customHeight="1" x14ac:dyDescent="0.25">
      <c r="A30" s="10">
        <v>27</v>
      </c>
      <c r="B30" s="37">
        <v>120769</v>
      </c>
      <c r="C30" s="20">
        <v>96</v>
      </c>
      <c r="D30" s="15" t="s">
        <v>31</v>
      </c>
      <c r="E30" s="14" t="s">
        <v>32</v>
      </c>
      <c r="F30" s="15" t="s">
        <v>126</v>
      </c>
      <c r="G30" s="15" t="s">
        <v>127</v>
      </c>
      <c r="H30" s="20" t="s">
        <v>128</v>
      </c>
      <c r="I30" s="61" t="s">
        <v>129</v>
      </c>
      <c r="J30" s="30">
        <v>43186</v>
      </c>
      <c r="K30" s="30">
        <v>43673</v>
      </c>
      <c r="L30" s="31">
        <f t="shared" si="0"/>
        <v>84.154097257132506</v>
      </c>
      <c r="M30" s="20">
        <v>1</v>
      </c>
      <c r="N30" s="20" t="s">
        <v>117</v>
      </c>
      <c r="O30" s="20" t="s">
        <v>117</v>
      </c>
      <c r="P30" s="32" t="s">
        <v>39</v>
      </c>
      <c r="Q30" s="20" t="s">
        <v>40</v>
      </c>
      <c r="R30" s="2">
        <f t="shared" ref="R30:R41" si="18">S30+T30</f>
        <v>357519.4</v>
      </c>
      <c r="S30" s="2">
        <v>357519.4</v>
      </c>
      <c r="T30" s="2">
        <v>0</v>
      </c>
      <c r="U30" s="33">
        <f t="shared" si="2"/>
        <v>58822.79</v>
      </c>
      <c r="V30" s="2">
        <v>58822.79</v>
      </c>
      <c r="W30" s="2">
        <v>0</v>
      </c>
      <c r="X30" s="33">
        <f t="shared" si="9"/>
        <v>8496.7800000000007</v>
      </c>
      <c r="Y30" s="2">
        <v>8496.7800000000007</v>
      </c>
      <c r="Z30" s="2">
        <v>0</v>
      </c>
      <c r="AA30" s="2">
        <f t="shared" ref="AA30" si="19">AB30+AC30</f>
        <v>0</v>
      </c>
      <c r="AB30" s="2">
        <v>0</v>
      </c>
      <c r="AC30" s="2">
        <v>0</v>
      </c>
      <c r="AD30" s="2">
        <f t="shared" si="10"/>
        <v>424838.97000000003</v>
      </c>
      <c r="AE30" s="2">
        <v>0</v>
      </c>
      <c r="AF30" s="2">
        <f t="shared" si="4"/>
        <v>424838.97000000003</v>
      </c>
      <c r="AG30" s="24" t="s">
        <v>41</v>
      </c>
      <c r="AH30" s="34" t="s">
        <v>35</v>
      </c>
      <c r="AI30" s="35">
        <v>328987.4200000001</v>
      </c>
      <c r="AJ30" s="36">
        <v>54146.78</v>
      </c>
      <c r="AK30" s="28">
        <f t="shared" si="6"/>
        <v>28531.979999999923</v>
      </c>
      <c r="AL30" s="28">
        <f t="shared" si="7"/>
        <v>4676.010000000002</v>
      </c>
      <c r="AM30" s="29">
        <f t="shared" si="8"/>
        <v>0.92019459643308887</v>
      </c>
    </row>
    <row r="31" spans="1:39" ht="192" customHeight="1" x14ac:dyDescent="0.25">
      <c r="A31" s="10">
        <v>28</v>
      </c>
      <c r="B31" s="37">
        <v>128863</v>
      </c>
      <c r="C31" s="20">
        <v>638</v>
      </c>
      <c r="D31" s="15" t="s">
        <v>31</v>
      </c>
      <c r="E31" s="14" t="s">
        <v>79</v>
      </c>
      <c r="F31" s="15" t="s">
        <v>130</v>
      </c>
      <c r="G31" s="15" t="s">
        <v>131</v>
      </c>
      <c r="H31" s="20" t="s">
        <v>132</v>
      </c>
      <c r="I31" s="61" t="s">
        <v>133</v>
      </c>
      <c r="J31" s="30">
        <v>43679</v>
      </c>
      <c r="K31" s="30">
        <v>44257</v>
      </c>
      <c r="L31" s="31">
        <f t="shared" si="0"/>
        <v>84.99999967540424</v>
      </c>
      <c r="M31" s="20">
        <v>1</v>
      </c>
      <c r="N31" s="20" t="s">
        <v>117</v>
      </c>
      <c r="O31" s="20" t="s">
        <v>134</v>
      </c>
      <c r="P31" s="32" t="s">
        <v>39</v>
      </c>
      <c r="Q31" s="20" t="s">
        <v>40</v>
      </c>
      <c r="R31" s="2">
        <f t="shared" si="18"/>
        <v>2356777.4300000002</v>
      </c>
      <c r="S31" s="2">
        <v>2356777.4300000002</v>
      </c>
      <c r="T31" s="2">
        <v>0</v>
      </c>
      <c r="U31" s="33">
        <f t="shared" si="2"/>
        <v>360448.32</v>
      </c>
      <c r="V31" s="2">
        <v>360448.32</v>
      </c>
      <c r="W31" s="2">
        <v>0</v>
      </c>
      <c r="X31" s="33">
        <f t="shared" si="9"/>
        <v>55453.59</v>
      </c>
      <c r="Y31" s="2">
        <v>55453.59</v>
      </c>
      <c r="Z31" s="2">
        <v>0</v>
      </c>
      <c r="AA31" s="2">
        <v>0</v>
      </c>
      <c r="AB31" s="2">
        <v>0</v>
      </c>
      <c r="AC31" s="2">
        <v>0</v>
      </c>
      <c r="AD31" s="2">
        <f t="shared" si="10"/>
        <v>2772679.34</v>
      </c>
      <c r="AE31" s="2">
        <v>0</v>
      </c>
      <c r="AF31" s="2">
        <f t="shared" si="4"/>
        <v>2772679.34</v>
      </c>
      <c r="AG31" s="39" t="s">
        <v>69</v>
      </c>
      <c r="AH31" s="34" t="s">
        <v>35</v>
      </c>
      <c r="AI31" s="35">
        <v>2811.97</v>
      </c>
      <c r="AJ31" s="36">
        <v>430.07</v>
      </c>
      <c r="AK31" s="28">
        <f t="shared" si="6"/>
        <v>2353965.46</v>
      </c>
      <c r="AL31" s="28">
        <f t="shared" si="7"/>
        <v>360018.25</v>
      </c>
      <c r="AM31" s="29">
        <f t="shared" si="8"/>
        <v>1.1931419421306998E-3</v>
      </c>
    </row>
    <row r="32" spans="1:39" ht="192" customHeight="1" x14ac:dyDescent="0.25">
      <c r="A32" s="10">
        <v>29</v>
      </c>
      <c r="B32" s="37">
        <v>135485</v>
      </c>
      <c r="C32" s="20">
        <v>790</v>
      </c>
      <c r="D32" s="46" t="s">
        <v>31</v>
      </c>
      <c r="E32" s="14" t="s">
        <v>1826</v>
      </c>
      <c r="F32" s="15" t="s">
        <v>1829</v>
      </c>
      <c r="G32" s="15" t="s">
        <v>131</v>
      </c>
      <c r="H32" s="20" t="s">
        <v>132</v>
      </c>
      <c r="I32" s="16" t="s">
        <v>1830</v>
      </c>
      <c r="J32" s="30">
        <v>43949</v>
      </c>
      <c r="K32" s="30">
        <v>44497</v>
      </c>
      <c r="L32" s="31">
        <f t="shared" si="0"/>
        <v>85.000000501922628</v>
      </c>
      <c r="M32" s="20">
        <v>1</v>
      </c>
      <c r="N32" s="20" t="s">
        <v>117</v>
      </c>
      <c r="O32" s="20" t="s">
        <v>134</v>
      </c>
      <c r="P32" s="32" t="s">
        <v>39</v>
      </c>
      <c r="Q32" s="20" t="s">
        <v>1831</v>
      </c>
      <c r="R32" s="2">
        <f t="shared" si="18"/>
        <v>2540232.2400000002</v>
      </c>
      <c r="S32" s="2">
        <v>2540232.2400000002</v>
      </c>
      <c r="T32" s="2">
        <v>0</v>
      </c>
      <c r="U32" s="33">
        <f t="shared" si="2"/>
        <v>388506.09</v>
      </c>
      <c r="V32" s="2">
        <v>388506.09</v>
      </c>
      <c r="W32" s="2">
        <v>0</v>
      </c>
      <c r="X32" s="33">
        <f t="shared" si="9"/>
        <v>59770.17</v>
      </c>
      <c r="Y32" s="2">
        <v>59770.17</v>
      </c>
      <c r="Z32" s="2">
        <v>0</v>
      </c>
      <c r="AA32" s="2">
        <v>0</v>
      </c>
      <c r="AB32" s="2">
        <v>0</v>
      </c>
      <c r="AC32" s="2">
        <v>0</v>
      </c>
      <c r="AD32" s="2">
        <f t="shared" si="10"/>
        <v>2988508.5</v>
      </c>
      <c r="AE32" s="2"/>
      <c r="AF32" s="2">
        <f t="shared" si="4"/>
        <v>2988508.5</v>
      </c>
      <c r="AG32" s="39" t="s">
        <v>69</v>
      </c>
      <c r="AH32" s="34" t="s">
        <v>35</v>
      </c>
      <c r="AI32" s="35">
        <v>0</v>
      </c>
      <c r="AJ32" s="36">
        <v>0</v>
      </c>
      <c r="AK32" s="28">
        <f t="shared" si="6"/>
        <v>2540232.2400000002</v>
      </c>
      <c r="AL32" s="28">
        <f t="shared" si="7"/>
        <v>388506.09</v>
      </c>
      <c r="AM32" s="29">
        <f t="shared" si="8"/>
        <v>0</v>
      </c>
    </row>
    <row r="33" spans="1:39" ht="192" customHeight="1" x14ac:dyDescent="0.25">
      <c r="A33" s="10">
        <v>30</v>
      </c>
      <c r="B33" s="37">
        <v>122823</v>
      </c>
      <c r="C33" s="20">
        <v>71</v>
      </c>
      <c r="D33" s="15" t="s">
        <v>31</v>
      </c>
      <c r="E33" s="14" t="s">
        <v>32</v>
      </c>
      <c r="F33" s="62" t="s">
        <v>135</v>
      </c>
      <c r="G33" s="15" t="s">
        <v>136</v>
      </c>
      <c r="H33" s="20" t="s">
        <v>35</v>
      </c>
      <c r="I33" s="16" t="s">
        <v>137</v>
      </c>
      <c r="J33" s="30">
        <v>43244</v>
      </c>
      <c r="K33" s="30">
        <v>43823</v>
      </c>
      <c r="L33" s="31">
        <f t="shared" si="0"/>
        <v>85.000001791562255</v>
      </c>
      <c r="M33" s="20">
        <v>6</v>
      </c>
      <c r="N33" s="15" t="s">
        <v>138</v>
      </c>
      <c r="O33" s="15" t="s">
        <v>139</v>
      </c>
      <c r="P33" s="62" t="s">
        <v>39</v>
      </c>
      <c r="Q33" s="15" t="s">
        <v>40</v>
      </c>
      <c r="R33" s="2">
        <f t="shared" si="18"/>
        <v>355834.7</v>
      </c>
      <c r="S33" s="35">
        <v>355834.7</v>
      </c>
      <c r="T33" s="2">
        <v>0</v>
      </c>
      <c r="U33" s="33">
        <f t="shared" si="2"/>
        <v>54421.769999999982</v>
      </c>
      <c r="V33" s="35">
        <v>54421.769999999982</v>
      </c>
      <c r="W33" s="59">
        <v>0</v>
      </c>
      <c r="X33" s="33">
        <f t="shared" si="9"/>
        <v>8372.58</v>
      </c>
      <c r="Y33" s="52">
        <v>8372.58</v>
      </c>
      <c r="Z33" s="60">
        <v>0</v>
      </c>
      <c r="AA33" s="2">
        <v>0</v>
      </c>
      <c r="AB33" s="2">
        <v>0</v>
      </c>
      <c r="AC33" s="2">
        <v>0</v>
      </c>
      <c r="AD33" s="2">
        <f t="shared" si="10"/>
        <v>418629.05</v>
      </c>
      <c r="AE33" s="2">
        <v>0</v>
      </c>
      <c r="AF33" s="2">
        <f t="shared" si="4"/>
        <v>418629.05</v>
      </c>
      <c r="AG33" s="39" t="s">
        <v>41</v>
      </c>
      <c r="AH33" s="34" t="s">
        <v>140</v>
      </c>
      <c r="AI33" s="35">
        <v>317160.34000000008</v>
      </c>
      <c r="AJ33" s="36">
        <f>32329.21+5317.87+5421.22+5438.54</f>
        <v>48506.840000000004</v>
      </c>
      <c r="AK33" s="28">
        <f t="shared" si="6"/>
        <v>38674.359999999928</v>
      </c>
      <c r="AL33" s="28">
        <f t="shared" si="7"/>
        <v>5914.9299999999785</v>
      </c>
      <c r="AM33" s="29">
        <f t="shared" si="8"/>
        <v>0.89131369144156003</v>
      </c>
    </row>
    <row r="34" spans="1:39" ht="192" customHeight="1" x14ac:dyDescent="0.25">
      <c r="A34" s="10">
        <v>31</v>
      </c>
      <c r="B34" s="63">
        <v>119767</v>
      </c>
      <c r="C34" s="63">
        <v>475</v>
      </c>
      <c r="D34" s="20" t="s">
        <v>47</v>
      </c>
      <c r="E34" s="14" t="s">
        <v>48</v>
      </c>
      <c r="F34" s="62" t="s">
        <v>141</v>
      </c>
      <c r="G34" s="62" t="s">
        <v>142</v>
      </c>
      <c r="H34" s="20" t="s">
        <v>35</v>
      </c>
      <c r="I34" s="16" t="s">
        <v>143</v>
      </c>
      <c r="J34" s="30">
        <v>43306</v>
      </c>
      <c r="K34" s="30">
        <v>43976</v>
      </c>
      <c r="L34" s="31">
        <f t="shared" si="0"/>
        <v>85.000000000000014</v>
      </c>
      <c r="M34" s="20">
        <v>6</v>
      </c>
      <c r="N34" s="30" t="s">
        <v>138</v>
      </c>
      <c r="O34" s="30" t="s">
        <v>144</v>
      </c>
      <c r="P34" s="30" t="s">
        <v>39</v>
      </c>
      <c r="Q34" s="20" t="s">
        <v>40</v>
      </c>
      <c r="R34" s="2">
        <f t="shared" si="18"/>
        <v>518392.9</v>
      </c>
      <c r="S34" s="2">
        <v>518392.9</v>
      </c>
      <c r="T34" s="2">
        <v>0</v>
      </c>
      <c r="U34" s="33">
        <f t="shared" si="2"/>
        <v>79283.62</v>
      </c>
      <c r="V34" s="35">
        <v>79283.62</v>
      </c>
      <c r="W34" s="59">
        <v>0</v>
      </c>
      <c r="X34" s="33">
        <f t="shared" si="9"/>
        <v>12197.48</v>
      </c>
      <c r="Y34" s="64">
        <v>12197.48</v>
      </c>
      <c r="Z34" s="60">
        <v>0</v>
      </c>
      <c r="AA34" s="2">
        <f t="shared" si="16"/>
        <v>0</v>
      </c>
      <c r="AB34" s="2">
        <v>0</v>
      </c>
      <c r="AC34" s="2">
        <v>0</v>
      </c>
      <c r="AD34" s="2">
        <f t="shared" si="10"/>
        <v>609874</v>
      </c>
      <c r="AE34" s="2">
        <v>0</v>
      </c>
      <c r="AF34" s="2">
        <f t="shared" si="4"/>
        <v>609874</v>
      </c>
      <c r="AG34" s="39" t="s">
        <v>69</v>
      </c>
      <c r="AH34" s="34" t="s">
        <v>145</v>
      </c>
      <c r="AI34" s="35">
        <v>446121.14</v>
      </c>
      <c r="AJ34" s="36">
        <v>68230.290000000008</v>
      </c>
      <c r="AK34" s="28">
        <f t="shared" si="6"/>
        <v>72271.760000000009</v>
      </c>
      <c r="AL34" s="28">
        <f t="shared" si="7"/>
        <v>11053.329999999987</v>
      </c>
      <c r="AM34" s="29">
        <f t="shared" si="8"/>
        <v>0.86058497328956474</v>
      </c>
    </row>
    <row r="35" spans="1:39" ht="192" customHeight="1" x14ac:dyDescent="0.25">
      <c r="A35" s="10">
        <v>32</v>
      </c>
      <c r="B35" s="63">
        <v>129383</v>
      </c>
      <c r="C35" s="63">
        <v>685</v>
      </c>
      <c r="D35" s="15" t="s">
        <v>31</v>
      </c>
      <c r="E35" s="14" t="s">
        <v>79</v>
      </c>
      <c r="F35" s="62" t="s">
        <v>146</v>
      </c>
      <c r="G35" s="62" t="s">
        <v>147</v>
      </c>
      <c r="H35" s="20" t="s">
        <v>132</v>
      </c>
      <c r="I35" s="16" t="s">
        <v>148</v>
      </c>
      <c r="J35" s="30">
        <v>43657</v>
      </c>
      <c r="K35" s="30">
        <v>44207</v>
      </c>
      <c r="L35" s="31">
        <f t="shared" si="0"/>
        <v>85.000000150473397</v>
      </c>
      <c r="M35" s="20">
        <v>6</v>
      </c>
      <c r="N35" s="30" t="s">
        <v>138</v>
      </c>
      <c r="O35" s="30" t="s">
        <v>149</v>
      </c>
      <c r="P35" s="30" t="s">
        <v>39</v>
      </c>
      <c r="Q35" s="20" t="s">
        <v>40</v>
      </c>
      <c r="R35" s="2">
        <f t="shared" si="18"/>
        <v>2541977.39</v>
      </c>
      <c r="S35" s="2">
        <v>2541977.39</v>
      </c>
      <c r="T35" s="2">
        <v>0</v>
      </c>
      <c r="U35" s="33">
        <f t="shared" si="2"/>
        <v>388773.02</v>
      </c>
      <c r="V35" s="35">
        <v>388773.02</v>
      </c>
      <c r="W35" s="59">
        <v>0</v>
      </c>
      <c r="X35" s="33">
        <f t="shared" si="9"/>
        <v>59811.22</v>
      </c>
      <c r="Y35" s="64">
        <v>59811.22</v>
      </c>
      <c r="Z35" s="60">
        <v>0</v>
      </c>
      <c r="AA35" s="2">
        <v>0</v>
      </c>
      <c r="AB35" s="2">
        <v>0</v>
      </c>
      <c r="AC35" s="2">
        <v>0</v>
      </c>
      <c r="AD35" s="2">
        <f t="shared" si="10"/>
        <v>2990561.6300000004</v>
      </c>
      <c r="AE35" s="2">
        <v>0</v>
      </c>
      <c r="AF35" s="2">
        <f t="shared" si="4"/>
        <v>2990561.6300000004</v>
      </c>
      <c r="AG35" s="39" t="s">
        <v>69</v>
      </c>
      <c r="AH35" s="34"/>
      <c r="AI35" s="35">
        <f>130989.25</f>
        <v>130989.25</v>
      </c>
      <c r="AJ35" s="36">
        <f>20033.65</f>
        <v>20033.650000000001</v>
      </c>
      <c r="AK35" s="28">
        <f t="shared" si="6"/>
        <v>2410988.14</v>
      </c>
      <c r="AL35" s="28">
        <f t="shared" si="7"/>
        <v>368739.37</v>
      </c>
      <c r="AM35" s="29">
        <f t="shared" si="8"/>
        <v>5.153045440738558E-2</v>
      </c>
    </row>
    <row r="36" spans="1:39" ht="192" customHeight="1" x14ac:dyDescent="0.25">
      <c r="A36" s="10">
        <v>33</v>
      </c>
      <c r="B36" s="63">
        <v>129525</v>
      </c>
      <c r="C36" s="63">
        <v>678</v>
      </c>
      <c r="D36" s="15" t="s">
        <v>31</v>
      </c>
      <c r="E36" s="14" t="s">
        <v>79</v>
      </c>
      <c r="F36" s="62" t="s">
        <v>1852</v>
      </c>
      <c r="G36" s="62" t="s">
        <v>142</v>
      </c>
      <c r="H36" s="20" t="s">
        <v>35</v>
      </c>
      <c r="I36" s="16" t="s">
        <v>1853</v>
      </c>
      <c r="J36" s="30">
        <v>43724</v>
      </c>
      <c r="K36" s="30">
        <v>44636</v>
      </c>
      <c r="L36" s="31">
        <f t="shared" si="0"/>
        <v>85.000000715914808</v>
      </c>
      <c r="M36" s="20">
        <v>6</v>
      </c>
      <c r="N36" s="30" t="s">
        <v>138</v>
      </c>
      <c r="O36" s="30" t="s">
        <v>149</v>
      </c>
      <c r="P36" s="30" t="s">
        <v>39</v>
      </c>
      <c r="Q36" s="20" t="s">
        <v>40</v>
      </c>
      <c r="R36" s="2">
        <f t="shared" si="18"/>
        <v>2255855.02</v>
      </c>
      <c r="S36" s="2">
        <v>2255855.02</v>
      </c>
      <c r="T36" s="2">
        <v>0</v>
      </c>
      <c r="U36" s="33">
        <f t="shared" si="2"/>
        <v>345013.09</v>
      </c>
      <c r="V36" s="35">
        <v>345013.09</v>
      </c>
      <c r="W36" s="59">
        <v>0</v>
      </c>
      <c r="X36" s="33">
        <f t="shared" si="9"/>
        <v>53078.95</v>
      </c>
      <c r="Y36" s="64">
        <v>53078.95</v>
      </c>
      <c r="Z36" s="60">
        <v>0</v>
      </c>
      <c r="AA36" s="2">
        <v>0</v>
      </c>
      <c r="AB36" s="2">
        <v>0</v>
      </c>
      <c r="AC36" s="2">
        <v>0</v>
      </c>
      <c r="AD36" s="2">
        <f t="shared" si="10"/>
        <v>2653947.06</v>
      </c>
      <c r="AE36" s="2">
        <v>0</v>
      </c>
      <c r="AF36" s="2">
        <f t="shared" si="4"/>
        <v>2653947.06</v>
      </c>
      <c r="AG36" s="39" t="s">
        <v>69</v>
      </c>
      <c r="AH36" s="34" t="s">
        <v>132</v>
      </c>
      <c r="AI36" s="35">
        <f>210000-16810.94-18.2</f>
        <v>193170.86</v>
      </c>
      <c r="AJ36" s="36">
        <f>16810.94+18.2</f>
        <v>16829.14</v>
      </c>
      <c r="AK36" s="28">
        <f t="shared" si="6"/>
        <v>2062684.1600000001</v>
      </c>
      <c r="AL36" s="28">
        <f t="shared" si="7"/>
        <v>328183.95</v>
      </c>
      <c r="AM36" s="29">
        <f t="shared" si="8"/>
        <v>8.5630884204606364E-2</v>
      </c>
    </row>
    <row r="37" spans="1:39" ht="192" customHeight="1" x14ac:dyDescent="0.25">
      <c r="A37" s="10">
        <v>34</v>
      </c>
      <c r="B37" s="37">
        <v>120599</v>
      </c>
      <c r="C37" s="20">
        <v>75</v>
      </c>
      <c r="D37" s="15" t="s">
        <v>31</v>
      </c>
      <c r="E37" s="14" t="s">
        <v>32</v>
      </c>
      <c r="F37" s="62" t="s">
        <v>150</v>
      </c>
      <c r="G37" s="15" t="s">
        <v>151</v>
      </c>
      <c r="H37" s="20" t="s">
        <v>35</v>
      </c>
      <c r="I37" s="62" t="s">
        <v>152</v>
      </c>
      <c r="J37" s="30">
        <v>43145</v>
      </c>
      <c r="K37" s="30">
        <v>43813</v>
      </c>
      <c r="L37" s="31">
        <f t="shared" si="0"/>
        <v>84.999998786570643</v>
      </c>
      <c r="M37" s="20">
        <v>6</v>
      </c>
      <c r="N37" s="15" t="s">
        <v>153</v>
      </c>
      <c r="O37" s="15" t="s">
        <v>154</v>
      </c>
      <c r="P37" s="62" t="s">
        <v>39</v>
      </c>
      <c r="Q37" s="15" t="s">
        <v>40</v>
      </c>
      <c r="R37" s="2">
        <f t="shared" si="18"/>
        <v>350247</v>
      </c>
      <c r="S37" s="2">
        <v>350247</v>
      </c>
      <c r="T37" s="2">
        <v>0</v>
      </c>
      <c r="U37" s="33">
        <f t="shared" si="2"/>
        <v>53567.19</v>
      </c>
      <c r="V37" s="35">
        <v>53567.19</v>
      </c>
      <c r="W37" s="59">
        <v>0</v>
      </c>
      <c r="X37" s="33">
        <f t="shared" si="9"/>
        <v>8241.11</v>
      </c>
      <c r="Y37" s="64">
        <v>8241.11</v>
      </c>
      <c r="Z37" s="33">
        <v>0</v>
      </c>
      <c r="AA37" s="2">
        <v>0</v>
      </c>
      <c r="AB37" s="2">
        <v>0</v>
      </c>
      <c r="AC37" s="2">
        <v>0</v>
      </c>
      <c r="AD37" s="2">
        <f>R37+U37+X37+AA37</f>
        <v>412055.3</v>
      </c>
      <c r="AE37" s="2">
        <v>0</v>
      </c>
      <c r="AF37" s="2">
        <f t="shared" si="4"/>
        <v>412055.3</v>
      </c>
      <c r="AG37" s="24" t="s">
        <v>41</v>
      </c>
      <c r="AH37" s="34" t="s">
        <v>155</v>
      </c>
      <c r="AI37" s="35">
        <v>299284.74</v>
      </c>
      <c r="AJ37" s="36">
        <v>45772.95</v>
      </c>
      <c r="AK37" s="28">
        <f t="shared" si="6"/>
        <v>50962.260000000009</v>
      </c>
      <c r="AL37" s="28">
        <f t="shared" si="7"/>
        <v>7794.2400000000052</v>
      </c>
      <c r="AM37" s="29">
        <f t="shared" si="8"/>
        <v>0.85449622694841065</v>
      </c>
    </row>
    <row r="38" spans="1:39" ht="192" customHeight="1" x14ac:dyDescent="0.25">
      <c r="A38" s="10">
        <v>35</v>
      </c>
      <c r="B38" s="37">
        <v>128636</v>
      </c>
      <c r="C38" s="20">
        <v>687</v>
      </c>
      <c r="D38" s="20" t="s">
        <v>47</v>
      </c>
      <c r="E38" s="14" t="s">
        <v>79</v>
      </c>
      <c r="F38" s="65" t="s">
        <v>156</v>
      </c>
      <c r="G38" s="15" t="s">
        <v>151</v>
      </c>
      <c r="H38" s="20" t="s">
        <v>35</v>
      </c>
      <c r="I38" s="62" t="s">
        <v>157</v>
      </c>
      <c r="J38" s="30">
        <v>43739</v>
      </c>
      <c r="K38" s="30">
        <v>44197</v>
      </c>
      <c r="L38" s="31">
        <f t="shared" si="0"/>
        <v>85</v>
      </c>
      <c r="M38" s="20">
        <v>6</v>
      </c>
      <c r="N38" s="15" t="s">
        <v>153</v>
      </c>
      <c r="O38" s="15" t="s">
        <v>154</v>
      </c>
      <c r="P38" s="62" t="s">
        <v>39</v>
      </c>
      <c r="Q38" s="15" t="s">
        <v>40</v>
      </c>
      <c r="R38" s="2">
        <f t="shared" si="18"/>
        <v>1364282.3</v>
      </c>
      <c r="S38" s="2">
        <v>1364282.3</v>
      </c>
      <c r="T38" s="2">
        <v>0</v>
      </c>
      <c r="U38" s="33">
        <f t="shared" si="2"/>
        <v>208654.94</v>
      </c>
      <c r="V38" s="35">
        <v>208654.94</v>
      </c>
      <c r="W38" s="59">
        <v>0</v>
      </c>
      <c r="X38" s="33">
        <f t="shared" si="9"/>
        <v>32100.76</v>
      </c>
      <c r="Y38" s="64">
        <v>32100.76</v>
      </c>
      <c r="Z38" s="33">
        <v>0</v>
      </c>
      <c r="AA38" s="2">
        <v>0</v>
      </c>
      <c r="AB38" s="2">
        <v>0</v>
      </c>
      <c r="AC38" s="2">
        <v>0</v>
      </c>
      <c r="AD38" s="2">
        <f>R38+U38+X38+AA38</f>
        <v>1605038</v>
      </c>
      <c r="AE38" s="2">
        <v>0</v>
      </c>
      <c r="AF38" s="2">
        <f t="shared" si="4"/>
        <v>1605038</v>
      </c>
      <c r="AG38" s="39" t="s">
        <v>69</v>
      </c>
      <c r="AH38" s="34"/>
      <c r="AI38" s="35">
        <v>50302.83</v>
      </c>
      <c r="AJ38" s="36">
        <v>7693.37</v>
      </c>
      <c r="AK38" s="28">
        <f t="shared" si="6"/>
        <v>1313979.47</v>
      </c>
      <c r="AL38" s="28">
        <f t="shared" si="7"/>
        <v>200961.57</v>
      </c>
      <c r="AM38" s="29">
        <f t="shared" si="8"/>
        <v>3.6871276567906806E-2</v>
      </c>
    </row>
    <row r="39" spans="1:39" ht="192" customHeight="1" x14ac:dyDescent="0.25">
      <c r="A39" s="10">
        <v>36</v>
      </c>
      <c r="B39" s="37">
        <v>129687</v>
      </c>
      <c r="C39" s="20">
        <v>667</v>
      </c>
      <c r="D39" s="20" t="s">
        <v>47</v>
      </c>
      <c r="E39" s="14" t="s">
        <v>79</v>
      </c>
      <c r="F39" s="65" t="s">
        <v>158</v>
      </c>
      <c r="G39" s="15" t="s">
        <v>159</v>
      </c>
      <c r="H39" s="20" t="str">
        <f>$H$37</f>
        <v>n.a</v>
      </c>
      <c r="I39" s="62" t="s">
        <v>160</v>
      </c>
      <c r="J39" s="30">
        <v>43654</v>
      </c>
      <c r="K39" s="30">
        <v>44385</v>
      </c>
      <c r="L39" s="31">
        <f t="shared" si="0"/>
        <v>85</v>
      </c>
      <c r="M39" s="20">
        <f>$M$37</f>
        <v>6</v>
      </c>
      <c r="N39" s="15" t="str">
        <f t="shared" ref="N39" si="20">N37</f>
        <v>Bistrița-Năsăud</v>
      </c>
      <c r="O39" s="15" t="str">
        <f>O37</f>
        <v>Bistrița</v>
      </c>
      <c r="P39" s="62" t="s">
        <v>39</v>
      </c>
      <c r="Q39" s="15" t="s">
        <v>40</v>
      </c>
      <c r="R39" s="2">
        <f t="shared" si="18"/>
        <v>2626630.9</v>
      </c>
      <c r="S39" s="2">
        <v>2626630.9</v>
      </c>
      <c r="T39" s="2">
        <v>0</v>
      </c>
      <c r="U39" s="33">
        <f t="shared" si="2"/>
        <v>401720.02</v>
      </c>
      <c r="V39" s="35">
        <v>401720.02</v>
      </c>
      <c r="W39" s="59">
        <v>0</v>
      </c>
      <c r="X39" s="33">
        <f t="shared" si="9"/>
        <v>61803.08</v>
      </c>
      <c r="Y39" s="52">
        <v>61803.08</v>
      </c>
      <c r="Z39" s="66">
        <v>0</v>
      </c>
      <c r="AA39" s="2">
        <v>0</v>
      </c>
      <c r="AB39" s="2">
        <v>0</v>
      </c>
      <c r="AC39" s="2">
        <v>0</v>
      </c>
      <c r="AD39" s="2">
        <f>R39+U39+X39+AA39</f>
        <v>3090154</v>
      </c>
      <c r="AE39" s="2">
        <v>0</v>
      </c>
      <c r="AF39" s="2">
        <f t="shared" si="4"/>
        <v>3090154</v>
      </c>
      <c r="AG39" s="24" t="s">
        <v>161</v>
      </c>
      <c r="AH39" s="34"/>
      <c r="AI39" s="35">
        <v>71886.37</v>
      </c>
      <c r="AJ39" s="36">
        <v>10994.39</v>
      </c>
      <c r="AK39" s="28">
        <f t="shared" si="6"/>
        <v>2554744.5299999998</v>
      </c>
      <c r="AL39" s="28">
        <f t="shared" si="7"/>
        <v>390725.63</v>
      </c>
      <c r="AM39" s="29">
        <f t="shared" si="8"/>
        <v>2.7368280027467887E-2</v>
      </c>
    </row>
    <row r="40" spans="1:39" ht="192" customHeight="1" x14ac:dyDescent="0.25">
      <c r="A40" s="10">
        <v>37</v>
      </c>
      <c r="B40" s="37">
        <v>119593</v>
      </c>
      <c r="C40" s="20">
        <v>467</v>
      </c>
      <c r="D40" s="20" t="s">
        <v>47</v>
      </c>
      <c r="E40" s="14" t="s">
        <v>48</v>
      </c>
      <c r="F40" s="15" t="s">
        <v>162</v>
      </c>
      <c r="G40" s="20" t="s">
        <v>163</v>
      </c>
      <c r="H40" s="20" t="s">
        <v>51</v>
      </c>
      <c r="I40" s="15" t="s">
        <v>164</v>
      </c>
      <c r="J40" s="30">
        <v>43293</v>
      </c>
      <c r="K40" s="30">
        <v>43811</v>
      </c>
      <c r="L40" s="31">
        <f t="shared" si="0"/>
        <v>84.262029230668674</v>
      </c>
      <c r="M40" s="20">
        <v>1</v>
      </c>
      <c r="N40" s="20" t="s">
        <v>165</v>
      </c>
      <c r="O40" s="20" t="s">
        <v>166</v>
      </c>
      <c r="P40" s="20" t="s">
        <v>39</v>
      </c>
      <c r="Q40" s="20" t="s">
        <v>40</v>
      </c>
      <c r="R40" s="33">
        <f t="shared" si="18"/>
        <v>349239.24</v>
      </c>
      <c r="S40" s="35">
        <v>349239.24</v>
      </c>
      <c r="T40" s="2">
        <v>0</v>
      </c>
      <c r="U40" s="33">
        <f t="shared" si="2"/>
        <v>56939.5</v>
      </c>
      <c r="V40" s="35">
        <v>56939.5</v>
      </c>
      <c r="W40" s="2">
        <v>0</v>
      </c>
      <c r="X40" s="33">
        <f t="shared" si="9"/>
        <v>4690.93</v>
      </c>
      <c r="Y40" s="35">
        <v>4690.93</v>
      </c>
      <c r="Z40" s="35">
        <v>0</v>
      </c>
      <c r="AA40" s="2">
        <f t="shared" ref="AA40" si="21">AB40+AC40</f>
        <v>3598.44</v>
      </c>
      <c r="AB40" s="2">
        <v>3598.44</v>
      </c>
      <c r="AC40" s="2">
        <v>0</v>
      </c>
      <c r="AD40" s="2">
        <f t="shared" ref="AD40" si="22">R40+U40+X40+AA40</f>
        <v>414468.11</v>
      </c>
      <c r="AE40" s="39"/>
      <c r="AF40" s="2">
        <f t="shared" si="4"/>
        <v>414468.11</v>
      </c>
      <c r="AG40" s="24" t="s">
        <v>41</v>
      </c>
      <c r="AH40" s="39">
        <v>304992.26</v>
      </c>
      <c r="AI40" s="35">
        <v>304992.26</v>
      </c>
      <c r="AJ40" s="36">
        <v>49408.55</v>
      </c>
      <c r="AK40" s="28">
        <f t="shared" si="6"/>
        <v>44246.979999999981</v>
      </c>
      <c r="AL40" s="28">
        <f t="shared" si="7"/>
        <v>7530.9499999999971</v>
      </c>
      <c r="AM40" s="29">
        <f t="shared" si="8"/>
        <v>0.87330467217830399</v>
      </c>
    </row>
    <row r="41" spans="1:39" ht="192" customHeight="1" x14ac:dyDescent="0.25">
      <c r="A41" s="10">
        <v>38</v>
      </c>
      <c r="B41" s="37">
        <v>118690</v>
      </c>
      <c r="C41" s="20">
        <v>433</v>
      </c>
      <c r="D41" s="15" t="s">
        <v>54</v>
      </c>
      <c r="E41" s="14" t="s">
        <v>55</v>
      </c>
      <c r="F41" s="15" t="s">
        <v>167</v>
      </c>
      <c r="G41" s="20" t="s">
        <v>163</v>
      </c>
      <c r="H41" s="20" t="s">
        <v>168</v>
      </c>
      <c r="I41" s="15" t="s">
        <v>169</v>
      </c>
      <c r="J41" s="30">
        <v>43333</v>
      </c>
      <c r="K41" s="30">
        <v>43790</v>
      </c>
      <c r="L41" s="31">
        <f t="shared" si="0"/>
        <v>84.169367233766351</v>
      </c>
      <c r="M41" s="20">
        <v>1</v>
      </c>
      <c r="N41" s="20" t="s">
        <v>166</v>
      </c>
      <c r="O41" s="20" t="s">
        <v>166</v>
      </c>
      <c r="P41" s="20" t="s">
        <v>39</v>
      </c>
      <c r="Q41" s="20" t="s">
        <v>170</v>
      </c>
      <c r="R41" s="2">
        <f t="shared" si="18"/>
        <v>242198.44</v>
      </c>
      <c r="S41" s="35">
        <v>242198.44</v>
      </c>
      <c r="T41" s="42">
        <v>0</v>
      </c>
      <c r="U41" s="33">
        <f t="shared" si="2"/>
        <v>39797.81</v>
      </c>
      <c r="V41" s="35">
        <v>39797.81</v>
      </c>
      <c r="W41" s="42">
        <v>0</v>
      </c>
      <c r="X41" s="33">
        <f t="shared" si="9"/>
        <v>5755.04</v>
      </c>
      <c r="Y41" s="35">
        <v>5755.04</v>
      </c>
      <c r="Z41" s="35">
        <v>0</v>
      </c>
      <c r="AA41" s="2">
        <v>0</v>
      </c>
      <c r="AB41" s="42">
        <v>0</v>
      </c>
      <c r="AC41" s="42">
        <v>0</v>
      </c>
      <c r="AD41" s="2">
        <f t="shared" ref="AD41" si="23">R41+U41+X41</f>
        <v>287751.28999999998</v>
      </c>
      <c r="AE41" s="39"/>
      <c r="AF41" s="2">
        <f t="shared" si="4"/>
        <v>287751.28999999998</v>
      </c>
      <c r="AG41" s="24" t="s">
        <v>41</v>
      </c>
      <c r="AH41" s="39"/>
      <c r="AI41" s="35">
        <v>204673.28999999998</v>
      </c>
      <c r="AJ41" s="36">
        <v>33582.770000000004</v>
      </c>
      <c r="AK41" s="28">
        <f t="shared" si="6"/>
        <v>37525.150000000023</v>
      </c>
      <c r="AL41" s="28">
        <f t="shared" si="7"/>
        <v>6215.0399999999936</v>
      </c>
      <c r="AM41" s="29">
        <f t="shared" si="8"/>
        <v>0.84506444385025759</v>
      </c>
    </row>
    <row r="42" spans="1:39" ht="192" customHeight="1" x14ac:dyDescent="0.25">
      <c r="A42" s="10">
        <v>39</v>
      </c>
      <c r="B42" s="37">
        <v>126412</v>
      </c>
      <c r="C42" s="20">
        <v>553</v>
      </c>
      <c r="D42" s="20" t="s">
        <v>47</v>
      </c>
      <c r="E42" s="14" t="s">
        <v>65</v>
      </c>
      <c r="F42" s="15" t="s">
        <v>171</v>
      </c>
      <c r="G42" s="20" t="s">
        <v>172</v>
      </c>
      <c r="H42" s="20" t="s">
        <v>173</v>
      </c>
      <c r="I42" s="15" t="s">
        <v>174</v>
      </c>
      <c r="J42" s="30">
        <v>43564</v>
      </c>
      <c r="K42" s="30">
        <v>44295</v>
      </c>
      <c r="L42" s="31">
        <f t="shared" si="0"/>
        <v>85.000000068999867</v>
      </c>
      <c r="M42" s="20">
        <v>1</v>
      </c>
      <c r="N42" s="20" t="s">
        <v>166</v>
      </c>
      <c r="O42" s="20" t="s">
        <v>166</v>
      </c>
      <c r="P42" s="20" t="s">
        <v>39</v>
      </c>
      <c r="Q42" s="20" t="s">
        <v>40</v>
      </c>
      <c r="R42" s="2">
        <f>S42+T42</f>
        <v>2463772.67</v>
      </c>
      <c r="S42" s="35">
        <v>2463772.67</v>
      </c>
      <c r="T42" s="42">
        <v>0</v>
      </c>
      <c r="U42" s="33">
        <f t="shared" si="2"/>
        <v>376812.28</v>
      </c>
      <c r="V42" s="35">
        <v>376812.28</v>
      </c>
      <c r="W42" s="42">
        <v>0</v>
      </c>
      <c r="X42" s="33">
        <f t="shared" si="9"/>
        <v>57971.13</v>
      </c>
      <c r="Y42" s="35">
        <v>57971.13</v>
      </c>
      <c r="Z42" s="35">
        <v>0</v>
      </c>
      <c r="AA42" s="2">
        <v>0</v>
      </c>
      <c r="AB42" s="42">
        <v>0</v>
      </c>
      <c r="AC42" s="42">
        <v>0</v>
      </c>
      <c r="AD42" s="2">
        <f>R42+U42+X42</f>
        <v>2898556.08</v>
      </c>
      <c r="AE42" s="39"/>
      <c r="AF42" s="2">
        <f>AD42+AE42</f>
        <v>2898556.08</v>
      </c>
      <c r="AG42" s="39" t="s">
        <v>69</v>
      </c>
      <c r="AH42" s="39"/>
      <c r="AI42" s="35">
        <v>154953.36000000002</v>
      </c>
      <c r="AJ42" s="36">
        <v>23698.730000000003</v>
      </c>
      <c r="AK42" s="28">
        <f t="shared" si="6"/>
        <v>2308819.31</v>
      </c>
      <c r="AL42" s="28">
        <f t="shared" si="7"/>
        <v>353113.55000000005</v>
      </c>
      <c r="AM42" s="29">
        <f t="shared" si="8"/>
        <v>6.2892718101301134E-2</v>
      </c>
    </row>
    <row r="43" spans="1:39" ht="192" customHeight="1" x14ac:dyDescent="0.25">
      <c r="A43" s="10">
        <v>40</v>
      </c>
      <c r="B43" s="37">
        <v>128790</v>
      </c>
      <c r="C43" s="37">
        <v>644</v>
      </c>
      <c r="D43" s="15" t="s">
        <v>31</v>
      </c>
      <c r="E43" s="14" t="s">
        <v>79</v>
      </c>
      <c r="F43" s="67" t="s">
        <v>175</v>
      </c>
      <c r="G43" s="15" t="s">
        <v>176</v>
      </c>
      <c r="H43" s="20" t="s">
        <v>35</v>
      </c>
      <c r="I43" s="16" t="s">
        <v>177</v>
      </c>
      <c r="J43" s="30">
        <v>43629</v>
      </c>
      <c r="K43" s="30">
        <v>44482</v>
      </c>
      <c r="L43" s="31">
        <f t="shared" si="0"/>
        <v>85.000000118502641</v>
      </c>
      <c r="M43" s="32">
        <v>1</v>
      </c>
      <c r="N43" s="20" t="s">
        <v>178</v>
      </c>
      <c r="O43" s="20" t="s">
        <v>179</v>
      </c>
      <c r="P43" s="19" t="s">
        <v>39</v>
      </c>
      <c r="Q43" s="20" t="s">
        <v>40</v>
      </c>
      <c r="R43" s="2">
        <f>S43+T43</f>
        <v>2510492.42</v>
      </c>
      <c r="S43" s="35">
        <v>2510492.42</v>
      </c>
      <c r="T43" s="42">
        <v>0</v>
      </c>
      <c r="U43" s="33">
        <f t="shared" si="2"/>
        <v>383957.66</v>
      </c>
      <c r="V43" s="35">
        <v>383957.66</v>
      </c>
      <c r="W43" s="42">
        <v>0</v>
      </c>
      <c r="X43" s="33">
        <f t="shared" si="9"/>
        <v>59070.41</v>
      </c>
      <c r="Y43" s="35">
        <v>59070.41</v>
      </c>
      <c r="Z43" s="35">
        <v>0</v>
      </c>
      <c r="AA43" s="2">
        <v>0</v>
      </c>
      <c r="AB43" s="42">
        <v>0</v>
      </c>
      <c r="AC43" s="42">
        <v>0</v>
      </c>
      <c r="AD43" s="2">
        <f>R43+U43+X43</f>
        <v>2953520.49</v>
      </c>
      <c r="AE43" s="42">
        <v>0</v>
      </c>
      <c r="AF43" s="2">
        <f>AD43+AE43</f>
        <v>2953520.49</v>
      </c>
      <c r="AG43" s="39" t="s">
        <v>69</v>
      </c>
      <c r="AH43" s="34"/>
      <c r="AI43" s="35">
        <f>25513.52+216514.86-3202.29-3349.26-3120.39</f>
        <v>232356.43999999994</v>
      </c>
      <c r="AJ43" s="36">
        <f>3202.29+3349.26+3120.39</f>
        <v>9671.94</v>
      </c>
      <c r="AK43" s="28">
        <f t="shared" si="6"/>
        <v>2278135.98</v>
      </c>
      <c r="AL43" s="28">
        <f t="shared" si="7"/>
        <v>374285.72</v>
      </c>
      <c r="AM43" s="29">
        <f t="shared" si="8"/>
        <v>9.255412928113918E-2</v>
      </c>
    </row>
    <row r="44" spans="1:39" ht="192" customHeight="1" x14ac:dyDescent="0.25">
      <c r="A44" s="10">
        <v>41</v>
      </c>
      <c r="B44" s="20">
        <v>120555</v>
      </c>
      <c r="C44" s="20">
        <v>93</v>
      </c>
      <c r="D44" s="15" t="s">
        <v>31</v>
      </c>
      <c r="E44" s="14" t="s">
        <v>32</v>
      </c>
      <c r="F44" s="63" t="s">
        <v>180</v>
      </c>
      <c r="G44" s="20" t="s">
        <v>181</v>
      </c>
      <c r="H44" s="32" t="s">
        <v>182</v>
      </c>
      <c r="I44" s="16" t="s">
        <v>183</v>
      </c>
      <c r="J44" s="30">
        <v>43208</v>
      </c>
      <c r="K44" s="30">
        <v>43817</v>
      </c>
      <c r="L44" s="31">
        <f t="shared" si="0"/>
        <v>84.163181877958579</v>
      </c>
      <c r="M44" s="20">
        <v>2</v>
      </c>
      <c r="N44" s="20" t="s">
        <v>184</v>
      </c>
      <c r="O44" s="20" t="s">
        <v>185</v>
      </c>
      <c r="P44" s="32" t="s">
        <v>39</v>
      </c>
      <c r="Q44" s="20" t="s">
        <v>40</v>
      </c>
      <c r="R44" s="33">
        <f t="shared" ref="R44:R46" si="24">S44+T44</f>
        <v>356789.4</v>
      </c>
      <c r="S44" s="2">
        <v>356789.4</v>
      </c>
      <c r="T44" s="2">
        <v>0</v>
      </c>
      <c r="U44" s="33">
        <f t="shared" si="2"/>
        <v>58657.85</v>
      </c>
      <c r="V44" s="2">
        <v>58657.85</v>
      </c>
      <c r="W44" s="2">
        <v>0</v>
      </c>
      <c r="X44" s="33">
        <f t="shared" si="9"/>
        <v>4304.97</v>
      </c>
      <c r="Y44" s="2">
        <v>4304.97</v>
      </c>
      <c r="Z44" s="2">
        <v>0</v>
      </c>
      <c r="AA44" s="2">
        <f t="shared" ref="AA44:AA46" si="25">AB44+AC44</f>
        <v>4173.53</v>
      </c>
      <c r="AB44" s="2">
        <v>4173.53</v>
      </c>
      <c r="AC44" s="2">
        <v>0</v>
      </c>
      <c r="AD44" s="2">
        <f t="shared" ref="AD44:AD46" si="26">R44+U44+X44+AA44</f>
        <v>423925.75</v>
      </c>
      <c r="AE44" s="2">
        <v>0</v>
      </c>
      <c r="AF44" s="2">
        <f t="shared" ref="AF44:AF46" si="27">AD44+AE44</f>
        <v>423925.75</v>
      </c>
      <c r="AG44" s="39" t="s">
        <v>41</v>
      </c>
      <c r="AH44" s="39" t="s">
        <v>186</v>
      </c>
      <c r="AI44" s="35">
        <v>331987.39999999997</v>
      </c>
      <c r="AJ44" s="36">
        <v>54793.37</v>
      </c>
      <c r="AK44" s="28">
        <f t="shared" si="6"/>
        <v>24802.000000000058</v>
      </c>
      <c r="AL44" s="28">
        <f t="shared" si="7"/>
        <v>3864.4799999999959</v>
      </c>
      <c r="AM44" s="29">
        <f t="shared" si="8"/>
        <v>0.93048560299156857</v>
      </c>
    </row>
    <row r="45" spans="1:39" ht="192" customHeight="1" x14ac:dyDescent="0.25">
      <c r="A45" s="10">
        <v>42</v>
      </c>
      <c r="B45" s="20">
        <v>119189</v>
      </c>
      <c r="C45" s="20">
        <v>466</v>
      </c>
      <c r="D45" s="20" t="s">
        <v>47</v>
      </c>
      <c r="E45" s="14" t="s">
        <v>48</v>
      </c>
      <c r="F45" s="20" t="s">
        <v>187</v>
      </c>
      <c r="G45" s="20" t="s">
        <v>188</v>
      </c>
      <c r="H45" s="20" t="s">
        <v>35</v>
      </c>
      <c r="I45" s="16" t="s">
        <v>189</v>
      </c>
      <c r="J45" s="30">
        <v>43278</v>
      </c>
      <c r="K45" s="30">
        <v>43765</v>
      </c>
      <c r="L45" s="31">
        <f t="shared" si="0"/>
        <v>85.000000991333039</v>
      </c>
      <c r="M45" s="20">
        <v>2</v>
      </c>
      <c r="N45" s="20" t="s">
        <v>184</v>
      </c>
      <c r="O45" s="20" t="s">
        <v>185</v>
      </c>
      <c r="P45" s="32" t="s">
        <v>39</v>
      </c>
      <c r="Q45" s="20" t="s">
        <v>40</v>
      </c>
      <c r="R45" s="33">
        <f t="shared" si="24"/>
        <v>514458.8</v>
      </c>
      <c r="S45" s="2">
        <v>514458.8</v>
      </c>
      <c r="T45" s="2">
        <v>0</v>
      </c>
      <c r="U45" s="33">
        <f t="shared" si="2"/>
        <v>78681.929999999978</v>
      </c>
      <c r="V45" s="2">
        <v>78681.929999999978</v>
      </c>
      <c r="W45" s="2">
        <v>0</v>
      </c>
      <c r="X45" s="33">
        <f t="shared" si="9"/>
        <v>12104.91</v>
      </c>
      <c r="Y45" s="2">
        <v>12104.91</v>
      </c>
      <c r="Z45" s="2">
        <v>0</v>
      </c>
      <c r="AA45" s="2">
        <f t="shared" si="25"/>
        <v>0</v>
      </c>
      <c r="AB45" s="2">
        <v>0</v>
      </c>
      <c r="AC45" s="2">
        <v>0</v>
      </c>
      <c r="AD45" s="2">
        <f t="shared" si="26"/>
        <v>605245.64</v>
      </c>
      <c r="AE45" s="2"/>
      <c r="AF45" s="2">
        <f t="shared" si="27"/>
        <v>605245.64</v>
      </c>
      <c r="AG45" s="24" t="s">
        <v>41</v>
      </c>
      <c r="AH45" s="34" t="s">
        <v>35</v>
      </c>
      <c r="AI45" s="35">
        <v>360382.24999999994</v>
      </c>
      <c r="AJ45" s="36">
        <v>55117.29</v>
      </c>
      <c r="AK45" s="28">
        <f t="shared" si="6"/>
        <v>154076.55000000005</v>
      </c>
      <c r="AL45" s="28">
        <f t="shared" si="7"/>
        <v>23564.639999999978</v>
      </c>
      <c r="AM45" s="29">
        <f t="shared" si="8"/>
        <v>0.70050750419664309</v>
      </c>
    </row>
    <row r="46" spans="1:39" ht="192" customHeight="1" x14ac:dyDescent="0.25">
      <c r="A46" s="10">
        <v>43</v>
      </c>
      <c r="B46" s="20">
        <v>125782</v>
      </c>
      <c r="C46" s="20">
        <v>520</v>
      </c>
      <c r="D46" s="15" t="s">
        <v>31</v>
      </c>
      <c r="E46" s="14" t="s">
        <v>65</v>
      </c>
      <c r="F46" s="20" t="s">
        <v>190</v>
      </c>
      <c r="G46" s="20" t="s">
        <v>188</v>
      </c>
      <c r="H46" s="20" t="s">
        <v>35</v>
      </c>
      <c r="I46" s="16" t="s">
        <v>191</v>
      </c>
      <c r="J46" s="30">
        <v>43445</v>
      </c>
      <c r="K46" s="30">
        <v>44238</v>
      </c>
      <c r="L46" s="31">
        <f t="shared" si="0"/>
        <v>84.999999737203865</v>
      </c>
      <c r="M46" s="20">
        <v>2</v>
      </c>
      <c r="N46" s="20" t="s">
        <v>184</v>
      </c>
      <c r="O46" s="20" t="s">
        <v>185</v>
      </c>
      <c r="P46" s="32" t="s">
        <v>39</v>
      </c>
      <c r="Q46" s="20" t="s">
        <v>40</v>
      </c>
      <c r="R46" s="33">
        <f t="shared" si="24"/>
        <v>1132056.27</v>
      </c>
      <c r="S46" s="2">
        <v>1132056.27</v>
      </c>
      <c r="T46" s="2">
        <v>0</v>
      </c>
      <c r="U46" s="33">
        <f t="shared" si="2"/>
        <v>173138.02</v>
      </c>
      <c r="V46" s="2">
        <v>173138.02</v>
      </c>
      <c r="W46" s="2">
        <v>0</v>
      </c>
      <c r="X46" s="33">
        <f t="shared" si="9"/>
        <v>26636.62</v>
      </c>
      <c r="Y46" s="2">
        <v>26636.62</v>
      </c>
      <c r="Z46" s="35">
        <v>0</v>
      </c>
      <c r="AA46" s="2">
        <f t="shared" si="25"/>
        <v>0</v>
      </c>
      <c r="AB46" s="2">
        <v>0</v>
      </c>
      <c r="AC46" s="2">
        <v>0</v>
      </c>
      <c r="AD46" s="2">
        <f t="shared" si="26"/>
        <v>1331830.9100000001</v>
      </c>
      <c r="AE46" s="39"/>
      <c r="AF46" s="2">
        <f t="shared" si="27"/>
        <v>1331830.9100000001</v>
      </c>
      <c r="AG46" s="39" t="s">
        <v>69</v>
      </c>
      <c r="AH46" s="39"/>
      <c r="AI46" s="35">
        <v>239963.16</v>
      </c>
      <c r="AJ46" s="36">
        <v>36700.240000000005</v>
      </c>
      <c r="AK46" s="28">
        <f t="shared" si="6"/>
        <v>892093.11</v>
      </c>
      <c r="AL46" s="28">
        <f t="shared" si="7"/>
        <v>136437.77999999997</v>
      </c>
      <c r="AM46" s="29">
        <f t="shared" si="8"/>
        <v>0.21197105334702135</v>
      </c>
    </row>
    <row r="47" spans="1:39" ht="192" customHeight="1" x14ac:dyDescent="0.25">
      <c r="A47" s="10">
        <v>44</v>
      </c>
      <c r="B47" s="20">
        <v>129167</v>
      </c>
      <c r="C47" s="20">
        <v>662</v>
      </c>
      <c r="D47" s="15" t="s">
        <v>31</v>
      </c>
      <c r="E47" s="14" t="s">
        <v>79</v>
      </c>
      <c r="F47" s="20" t="s">
        <v>192</v>
      </c>
      <c r="G47" s="20" t="s">
        <v>193</v>
      </c>
      <c r="H47" s="20" t="s">
        <v>132</v>
      </c>
      <c r="I47" s="16" t="s">
        <v>194</v>
      </c>
      <c r="J47" s="30">
        <v>43662</v>
      </c>
      <c r="K47" s="30">
        <v>44212</v>
      </c>
      <c r="L47" s="31">
        <f t="shared" si="0"/>
        <v>84.999999986765175</v>
      </c>
      <c r="M47" s="20">
        <v>2</v>
      </c>
      <c r="N47" s="20" t="s">
        <v>184</v>
      </c>
      <c r="O47" s="20" t="s">
        <v>185</v>
      </c>
      <c r="P47" s="32" t="s">
        <v>39</v>
      </c>
      <c r="Q47" s="20" t="s">
        <v>40</v>
      </c>
      <c r="R47" s="33">
        <v>3211223.95</v>
      </c>
      <c r="S47" s="33">
        <v>3211223.95</v>
      </c>
      <c r="T47" s="2">
        <v>0</v>
      </c>
      <c r="U47" s="33">
        <f t="shared" si="2"/>
        <v>491128.17</v>
      </c>
      <c r="V47" s="2">
        <v>491128.17</v>
      </c>
      <c r="W47" s="2">
        <v>0</v>
      </c>
      <c r="X47" s="33">
        <f t="shared" si="9"/>
        <v>75558.41</v>
      </c>
      <c r="Y47" s="2">
        <v>75558.41</v>
      </c>
      <c r="Z47" s="35">
        <v>0</v>
      </c>
      <c r="AA47" s="2">
        <v>0</v>
      </c>
      <c r="AB47" s="2">
        <v>0</v>
      </c>
      <c r="AC47" s="2">
        <v>0</v>
      </c>
      <c r="AD47" s="2">
        <f>R47+U47+X47</f>
        <v>3777910.5300000003</v>
      </c>
      <c r="AE47" s="39">
        <v>0</v>
      </c>
      <c r="AF47" s="2">
        <f>AD47+AE47</f>
        <v>3777910.5300000003</v>
      </c>
      <c r="AG47" s="39" t="s">
        <v>69</v>
      </c>
      <c r="AH47" s="39"/>
      <c r="AI47" s="35">
        <f>7795.35+11297.44+29831.01</f>
        <v>48923.8</v>
      </c>
      <c r="AJ47" s="36">
        <f>1192.23+1727.85+4562.37</f>
        <v>7482.45</v>
      </c>
      <c r="AK47" s="28">
        <f t="shared" si="6"/>
        <v>3162300.1500000004</v>
      </c>
      <c r="AL47" s="28">
        <f t="shared" si="7"/>
        <v>483645.72</v>
      </c>
      <c r="AM47" s="29">
        <f t="shared" si="8"/>
        <v>1.5235250098330887E-2</v>
      </c>
    </row>
    <row r="48" spans="1:39" ht="192" customHeight="1" x14ac:dyDescent="0.25">
      <c r="A48" s="10">
        <v>45</v>
      </c>
      <c r="B48" s="37">
        <v>111300</v>
      </c>
      <c r="C48" s="20">
        <v>123</v>
      </c>
      <c r="D48" s="15" t="s">
        <v>31</v>
      </c>
      <c r="E48" s="14" t="s">
        <v>32</v>
      </c>
      <c r="F48" s="15" t="s">
        <v>195</v>
      </c>
      <c r="G48" s="15" t="s">
        <v>196</v>
      </c>
      <c r="H48" s="20" t="s">
        <v>35</v>
      </c>
      <c r="I48" s="43" t="s">
        <v>197</v>
      </c>
      <c r="J48" s="30">
        <v>43145</v>
      </c>
      <c r="K48" s="30">
        <v>43630</v>
      </c>
      <c r="L48" s="31">
        <f t="shared" si="0"/>
        <v>84.999999881712782</v>
      </c>
      <c r="M48" s="20">
        <v>7</v>
      </c>
      <c r="N48" s="20" t="s">
        <v>198</v>
      </c>
      <c r="O48" s="20" t="s">
        <v>199</v>
      </c>
      <c r="P48" s="32" t="s">
        <v>39</v>
      </c>
      <c r="Q48" s="20" t="s">
        <v>40</v>
      </c>
      <c r="R48" s="33">
        <f>S48+T48</f>
        <v>359294.94</v>
      </c>
      <c r="S48" s="52">
        <v>359294.94</v>
      </c>
      <c r="T48" s="33">
        <v>0</v>
      </c>
      <c r="U48" s="33">
        <f t="shared" si="2"/>
        <v>54950.99</v>
      </c>
      <c r="V48" s="52">
        <v>54950.99</v>
      </c>
      <c r="W48" s="33">
        <v>0</v>
      </c>
      <c r="X48" s="33">
        <f t="shared" si="9"/>
        <v>8454</v>
      </c>
      <c r="Y48" s="2">
        <v>8454</v>
      </c>
      <c r="Z48" s="2">
        <v>0</v>
      </c>
      <c r="AA48" s="2">
        <f t="shared" ref="AA48:AA59" si="28">AB48+AC48</f>
        <v>0</v>
      </c>
      <c r="AB48" s="68">
        <v>0</v>
      </c>
      <c r="AC48" s="68">
        <v>0</v>
      </c>
      <c r="AD48" s="2">
        <v>422699.93</v>
      </c>
      <c r="AE48" s="2">
        <v>0</v>
      </c>
      <c r="AF48" s="2">
        <f>AD48+AE48</f>
        <v>422699.93</v>
      </c>
      <c r="AG48" s="24" t="s">
        <v>41</v>
      </c>
      <c r="AH48" s="34" t="s">
        <v>35</v>
      </c>
      <c r="AI48" s="35">
        <v>330029.05000000005</v>
      </c>
      <c r="AJ48" s="36">
        <v>50475.040000000001</v>
      </c>
      <c r="AK48" s="28">
        <f t="shared" si="6"/>
        <v>29265.889999999956</v>
      </c>
      <c r="AL48" s="28">
        <f t="shared" si="7"/>
        <v>4475.9499999999971</v>
      </c>
      <c r="AM48" s="29">
        <f t="shared" si="8"/>
        <v>0.9185463341064587</v>
      </c>
    </row>
    <row r="49" spans="1:39" ht="192" customHeight="1" x14ac:dyDescent="0.25">
      <c r="A49" s="10">
        <v>46</v>
      </c>
      <c r="B49" s="37">
        <v>110505</v>
      </c>
      <c r="C49" s="20">
        <v>125</v>
      </c>
      <c r="D49" s="15" t="s">
        <v>31</v>
      </c>
      <c r="E49" s="14" t="s">
        <v>32</v>
      </c>
      <c r="F49" s="15" t="s">
        <v>200</v>
      </c>
      <c r="G49" s="15" t="s">
        <v>201</v>
      </c>
      <c r="H49" s="20" t="s">
        <v>35</v>
      </c>
      <c r="I49" s="16" t="s">
        <v>202</v>
      </c>
      <c r="J49" s="30">
        <v>43173</v>
      </c>
      <c r="K49" s="30">
        <v>43660</v>
      </c>
      <c r="L49" s="31">
        <f t="shared" si="0"/>
        <v>84.99999981945335</v>
      </c>
      <c r="M49" s="20">
        <v>7</v>
      </c>
      <c r="N49" s="20" t="s">
        <v>198</v>
      </c>
      <c r="O49" s="20" t="s">
        <v>203</v>
      </c>
      <c r="P49" s="32" t="s">
        <v>39</v>
      </c>
      <c r="Q49" s="20" t="s">
        <v>40</v>
      </c>
      <c r="R49" s="33">
        <f>S49+T49</f>
        <v>470792.44</v>
      </c>
      <c r="S49" s="2">
        <v>470792.44</v>
      </c>
      <c r="T49" s="2">
        <v>0</v>
      </c>
      <c r="U49" s="33">
        <f t="shared" si="2"/>
        <v>72003.55</v>
      </c>
      <c r="V49" s="2">
        <v>72003.55</v>
      </c>
      <c r="W49" s="2">
        <v>0</v>
      </c>
      <c r="X49" s="33">
        <f t="shared" si="9"/>
        <v>11077.47</v>
      </c>
      <c r="Y49" s="2">
        <v>11077.47</v>
      </c>
      <c r="Z49" s="2">
        <v>0</v>
      </c>
      <c r="AA49" s="2">
        <f t="shared" si="28"/>
        <v>0</v>
      </c>
      <c r="AB49" s="68">
        <v>0</v>
      </c>
      <c r="AC49" s="68">
        <v>0</v>
      </c>
      <c r="AD49" s="2">
        <f>R49+U49+X49+AA49</f>
        <v>553873.46</v>
      </c>
      <c r="AE49" s="2">
        <v>0</v>
      </c>
      <c r="AF49" s="2">
        <f t="shared" ref="AF49:AF59" si="29">AD49+AE49</f>
        <v>553873.46</v>
      </c>
      <c r="AG49" s="24" t="s">
        <v>41</v>
      </c>
      <c r="AH49" s="34" t="s">
        <v>35</v>
      </c>
      <c r="AI49" s="35">
        <v>369783.92</v>
      </c>
      <c r="AJ49" s="36">
        <v>56555.21</v>
      </c>
      <c r="AK49" s="28">
        <f t="shared" si="6"/>
        <v>101008.52000000002</v>
      </c>
      <c r="AL49" s="28">
        <f t="shared" si="7"/>
        <v>15448.340000000004</v>
      </c>
      <c r="AM49" s="29">
        <f t="shared" si="8"/>
        <v>0.78544999575609153</v>
      </c>
    </row>
    <row r="50" spans="1:39" ht="192" customHeight="1" x14ac:dyDescent="0.25">
      <c r="A50" s="10">
        <v>47</v>
      </c>
      <c r="B50" s="37">
        <v>119450</v>
      </c>
      <c r="C50" s="20">
        <v>485</v>
      </c>
      <c r="D50" s="20" t="s">
        <v>47</v>
      </c>
      <c r="E50" s="14" t="s">
        <v>48</v>
      </c>
      <c r="F50" s="15" t="s">
        <v>204</v>
      </c>
      <c r="G50" s="15" t="s">
        <v>205</v>
      </c>
      <c r="H50" s="20" t="s">
        <v>35</v>
      </c>
      <c r="I50" s="16" t="s">
        <v>206</v>
      </c>
      <c r="J50" s="30">
        <v>43298</v>
      </c>
      <c r="K50" s="30">
        <v>43786</v>
      </c>
      <c r="L50" s="31">
        <f t="shared" si="0"/>
        <v>85.000002578269815</v>
      </c>
      <c r="M50" s="20">
        <v>7</v>
      </c>
      <c r="N50" s="20" t="s">
        <v>198</v>
      </c>
      <c r="O50" s="20" t="s">
        <v>203</v>
      </c>
      <c r="P50" s="32" t="s">
        <v>39</v>
      </c>
      <c r="Q50" s="20" t="s">
        <v>40</v>
      </c>
      <c r="R50" s="33">
        <f t="shared" ref="R50:R51" si="30">S50+T50</f>
        <v>329678.46000000002</v>
      </c>
      <c r="S50" s="2">
        <v>329678.46000000002</v>
      </c>
      <c r="T50" s="2">
        <v>0</v>
      </c>
      <c r="U50" s="33">
        <f t="shared" si="2"/>
        <v>50421.4</v>
      </c>
      <c r="V50" s="2">
        <v>50421.4</v>
      </c>
      <c r="W50" s="2">
        <v>0</v>
      </c>
      <c r="X50" s="33">
        <f t="shared" si="9"/>
        <v>7757.14</v>
      </c>
      <c r="Y50" s="2">
        <v>7757.14</v>
      </c>
      <c r="Z50" s="2">
        <v>0</v>
      </c>
      <c r="AA50" s="2">
        <f t="shared" si="28"/>
        <v>0</v>
      </c>
      <c r="AB50" s="68">
        <v>0</v>
      </c>
      <c r="AC50" s="68">
        <v>0</v>
      </c>
      <c r="AD50" s="2">
        <f t="shared" ref="AD50:AD51" si="31">R50+U50+X50+AA50</f>
        <v>387857.00000000006</v>
      </c>
      <c r="AE50" s="2">
        <v>0</v>
      </c>
      <c r="AF50" s="2">
        <f t="shared" si="29"/>
        <v>387857.00000000006</v>
      </c>
      <c r="AG50" s="24" t="s">
        <v>41</v>
      </c>
      <c r="AH50" s="34" t="s">
        <v>35</v>
      </c>
      <c r="AI50" s="35">
        <v>321577.40000000002</v>
      </c>
      <c r="AJ50" s="36">
        <v>49182.460000000006</v>
      </c>
      <c r="AK50" s="28">
        <f t="shared" si="6"/>
        <v>8101.0599999999977</v>
      </c>
      <c r="AL50" s="28">
        <f t="shared" si="7"/>
        <v>1238.9399999999951</v>
      </c>
      <c r="AM50" s="29">
        <f t="shared" si="8"/>
        <v>0.97542739067635786</v>
      </c>
    </row>
    <row r="51" spans="1:39" ht="192" customHeight="1" x14ac:dyDescent="0.25">
      <c r="A51" s="10">
        <v>48</v>
      </c>
      <c r="B51" s="37">
        <v>118753</v>
      </c>
      <c r="C51" s="20">
        <v>438</v>
      </c>
      <c r="D51" s="15" t="s">
        <v>54</v>
      </c>
      <c r="E51" s="14" t="s">
        <v>55</v>
      </c>
      <c r="F51" s="15" t="s">
        <v>207</v>
      </c>
      <c r="G51" s="15" t="s">
        <v>201</v>
      </c>
      <c r="H51" s="20" t="s">
        <v>35</v>
      </c>
      <c r="I51" s="15" t="s">
        <v>208</v>
      </c>
      <c r="J51" s="30">
        <v>43348</v>
      </c>
      <c r="K51" s="30">
        <v>43651</v>
      </c>
      <c r="L51" s="31">
        <f t="shared" si="0"/>
        <v>85.000001668065067</v>
      </c>
      <c r="M51" s="20">
        <v>7</v>
      </c>
      <c r="N51" s="20" t="s">
        <v>198</v>
      </c>
      <c r="O51" s="20" t="s">
        <v>209</v>
      </c>
      <c r="P51" s="32" t="s">
        <v>39</v>
      </c>
      <c r="Q51" s="20" t="s">
        <v>40</v>
      </c>
      <c r="R51" s="33">
        <f t="shared" si="30"/>
        <v>254786.23</v>
      </c>
      <c r="S51" s="35">
        <v>254786.23</v>
      </c>
      <c r="T51" s="2">
        <v>0</v>
      </c>
      <c r="U51" s="33">
        <f t="shared" si="2"/>
        <v>38967.300000000003</v>
      </c>
      <c r="V51" s="35">
        <v>38967.300000000003</v>
      </c>
      <c r="W51" s="2">
        <v>0</v>
      </c>
      <c r="X51" s="33">
        <f t="shared" si="9"/>
        <v>5994.97</v>
      </c>
      <c r="Y51" s="35">
        <v>5994.97</v>
      </c>
      <c r="Z51" s="35">
        <v>0</v>
      </c>
      <c r="AA51" s="2">
        <f t="shared" si="28"/>
        <v>0</v>
      </c>
      <c r="AB51" s="41">
        <v>0</v>
      </c>
      <c r="AC51" s="41">
        <v>0</v>
      </c>
      <c r="AD51" s="2">
        <f t="shared" si="31"/>
        <v>299748.5</v>
      </c>
      <c r="AE51" s="39">
        <v>0</v>
      </c>
      <c r="AF51" s="2">
        <f t="shared" si="29"/>
        <v>299748.5</v>
      </c>
      <c r="AG51" s="24" t="s">
        <v>41</v>
      </c>
      <c r="AH51" s="34" t="s">
        <v>35</v>
      </c>
      <c r="AI51" s="35">
        <v>238361.69</v>
      </c>
      <c r="AJ51" s="36">
        <v>36455.329999999994</v>
      </c>
      <c r="AK51" s="28">
        <f t="shared" si="6"/>
        <v>16424.540000000008</v>
      </c>
      <c r="AL51" s="28">
        <f t="shared" si="7"/>
        <v>2511.9700000000084</v>
      </c>
      <c r="AM51" s="29">
        <f t="shared" si="8"/>
        <v>0.93553599815814215</v>
      </c>
    </row>
    <row r="52" spans="1:39" ht="192" customHeight="1" x14ac:dyDescent="0.25">
      <c r="A52" s="10">
        <v>49</v>
      </c>
      <c r="B52" s="37">
        <v>126380</v>
      </c>
      <c r="C52" s="20">
        <v>567</v>
      </c>
      <c r="D52" s="15" t="s">
        <v>31</v>
      </c>
      <c r="E52" s="14" t="s">
        <v>65</v>
      </c>
      <c r="F52" s="4" t="s">
        <v>210</v>
      </c>
      <c r="G52" s="15" t="s">
        <v>211</v>
      </c>
      <c r="H52" s="20" t="s">
        <v>35</v>
      </c>
      <c r="I52" s="15" t="s">
        <v>212</v>
      </c>
      <c r="J52" s="30">
        <v>43440</v>
      </c>
      <c r="K52" s="30">
        <v>44414</v>
      </c>
      <c r="L52" s="31">
        <f t="shared" si="0"/>
        <v>85.00000001812522</v>
      </c>
      <c r="M52" s="20">
        <v>7</v>
      </c>
      <c r="N52" s="20" t="s">
        <v>198</v>
      </c>
      <c r="O52" s="20" t="s">
        <v>203</v>
      </c>
      <c r="P52" s="32" t="s">
        <v>39</v>
      </c>
      <c r="Q52" s="20" t="s">
        <v>40</v>
      </c>
      <c r="R52" s="33">
        <f>S52+T52</f>
        <v>2344798.5</v>
      </c>
      <c r="S52" s="35">
        <v>2344798.5</v>
      </c>
      <c r="T52" s="2">
        <v>0</v>
      </c>
      <c r="U52" s="33">
        <f t="shared" si="2"/>
        <v>358616.24</v>
      </c>
      <c r="V52" s="35">
        <v>358616.24</v>
      </c>
      <c r="W52" s="2">
        <v>0</v>
      </c>
      <c r="X52" s="33">
        <f t="shared" si="9"/>
        <v>55171.73</v>
      </c>
      <c r="Y52" s="35">
        <v>55171.73</v>
      </c>
      <c r="Z52" s="35">
        <v>0</v>
      </c>
      <c r="AA52" s="2">
        <f>AB52+AC52</f>
        <v>0</v>
      </c>
      <c r="AB52" s="41">
        <v>0</v>
      </c>
      <c r="AC52" s="41">
        <v>0</v>
      </c>
      <c r="AD52" s="2">
        <f>R52+U52+X52</f>
        <v>2758586.47</v>
      </c>
      <c r="AE52" s="39">
        <v>78540</v>
      </c>
      <c r="AF52" s="2">
        <f>AD52+AE52+AB52</f>
        <v>2837126.47</v>
      </c>
      <c r="AG52" s="39" t="s">
        <v>69</v>
      </c>
      <c r="AH52" s="34" t="s">
        <v>213</v>
      </c>
      <c r="AI52" s="35">
        <v>93072.41</v>
      </c>
      <c r="AJ52" s="36">
        <v>14234.6</v>
      </c>
      <c r="AK52" s="28">
        <f t="shared" si="6"/>
        <v>2251726.09</v>
      </c>
      <c r="AL52" s="28">
        <f t="shared" si="7"/>
        <v>344381.64</v>
      </c>
      <c r="AM52" s="29">
        <f t="shared" si="8"/>
        <v>3.9693137811202116E-2</v>
      </c>
    </row>
    <row r="53" spans="1:39" ht="192" customHeight="1" x14ac:dyDescent="0.25">
      <c r="A53" s="10">
        <v>50</v>
      </c>
      <c r="B53" s="37">
        <v>126524</v>
      </c>
      <c r="C53" s="20">
        <v>552</v>
      </c>
      <c r="D53" s="15" t="s">
        <v>31</v>
      </c>
      <c r="E53" s="14" t="s">
        <v>65</v>
      </c>
      <c r="F53" s="15" t="s">
        <v>214</v>
      </c>
      <c r="G53" s="15" t="s">
        <v>215</v>
      </c>
      <c r="H53" s="20" t="s">
        <v>35</v>
      </c>
      <c r="I53" s="15" t="s">
        <v>216</v>
      </c>
      <c r="J53" s="30">
        <v>43480</v>
      </c>
      <c r="K53" s="30">
        <v>44027</v>
      </c>
      <c r="L53" s="31">
        <f t="shared" si="0"/>
        <v>84.99999981002415</v>
      </c>
      <c r="M53" s="20">
        <v>7</v>
      </c>
      <c r="N53" s="20" t="s">
        <v>198</v>
      </c>
      <c r="O53" s="20" t="s">
        <v>203</v>
      </c>
      <c r="P53" s="32" t="s">
        <v>39</v>
      </c>
      <c r="Q53" s="20" t="s">
        <v>40</v>
      </c>
      <c r="R53" s="33">
        <f t="shared" ref="R53:R54" si="32">S53+T53</f>
        <v>2460839.27</v>
      </c>
      <c r="S53" s="35">
        <v>2460839.27</v>
      </c>
      <c r="T53" s="2">
        <v>0</v>
      </c>
      <c r="U53" s="33">
        <f t="shared" si="2"/>
        <v>376363.66</v>
      </c>
      <c r="V53" s="35">
        <v>376363.66</v>
      </c>
      <c r="W53" s="2"/>
      <c r="X53" s="33">
        <f t="shared" si="9"/>
        <v>57902.1</v>
      </c>
      <c r="Y53" s="35">
        <v>57902.1</v>
      </c>
      <c r="Z53" s="35">
        <v>0</v>
      </c>
      <c r="AA53" s="2">
        <f t="shared" ref="AA53:AA54" si="33">AB53+AC53</f>
        <v>0</v>
      </c>
      <c r="AB53" s="41">
        <v>0</v>
      </c>
      <c r="AC53" s="41">
        <v>0</v>
      </c>
      <c r="AD53" s="2">
        <f t="shared" ref="AD53" si="34">R53+U53+X53</f>
        <v>2895105.0300000003</v>
      </c>
      <c r="AE53" s="39">
        <v>0</v>
      </c>
      <c r="AF53" s="2">
        <f>AD53+AE53</f>
        <v>2895105.0300000003</v>
      </c>
      <c r="AG53" s="39" t="s">
        <v>69</v>
      </c>
      <c r="AH53" s="34"/>
      <c r="AI53" s="35">
        <v>132379.53999999998</v>
      </c>
      <c r="AJ53" s="36">
        <v>20246.28</v>
      </c>
      <c r="AK53" s="28">
        <f t="shared" si="6"/>
        <v>2328459.73</v>
      </c>
      <c r="AL53" s="28">
        <f t="shared" si="7"/>
        <v>356117.38</v>
      </c>
      <c r="AM53" s="29">
        <f t="shared" si="8"/>
        <v>5.3794468258790418E-2</v>
      </c>
    </row>
    <row r="54" spans="1:39" ht="192" customHeight="1" x14ac:dyDescent="0.25">
      <c r="A54" s="10">
        <v>51</v>
      </c>
      <c r="B54" s="37">
        <v>126332</v>
      </c>
      <c r="C54" s="20">
        <v>565</v>
      </c>
      <c r="D54" s="15" t="s">
        <v>31</v>
      </c>
      <c r="E54" s="14" t="s">
        <v>65</v>
      </c>
      <c r="F54" s="15" t="s">
        <v>217</v>
      </c>
      <c r="G54" s="15" t="s">
        <v>218</v>
      </c>
      <c r="H54" s="20" t="s">
        <v>35</v>
      </c>
      <c r="I54" s="43" t="s">
        <v>1854</v>
      </c>
      <c r="J54" s="30">
        <v>43601</v>
      </c>
      <c r="K54" s="30">
        <v>44516</v>
      </c>
      <c r="L54" s="31">
        <f t="shared" si="0"/>
        <v>85.000000553635857</v>
      </c>
      <c r="M54" s="20">
        <v>7</v>
      </c>
      <c r="N54" s="20" t="s">
        <v>198</v>
      </c>
      <c r="O54" s="20" t="s">
        <v>203</v>
      </c>
      <c r="P54" s="32" t="s">
        <v>39</v>
      </c>
      <c r="Q54" s="20" t="s">
        <v>40</v>
      </c>
      <c r="R54" s="33">
        <f t="shared" si="32"/>
        <v>1919131.5</v>
      </c>
      <c r="S54" s="35">
        <v>1919131.5</v>
      </c>
      <c r="T54" s="2">
        <v>0</v>
      </c>
      <c r="U54" s="33">
        <f t="shared" si="2"/>
        <v>293514.21000000002</v>
      </c>
      <c r="V54" s="35">
        <v>293514.21000000002</v>
      </c>
      <c r="W54" s="2">
        <v>0</v>
      </c>
      <c r="X54" s="33">
        <f t="shared" si="9"/>
        <v>45156.04</v>
      </c>
      <c r="Y54" s="35">
        <v>45156.04</v>
      </c>
      <c r="Z54" s="35">
        <v>0</v>
      </c>
      <c r="AA54" s="2">
        <f t="shared" si="33"/>
        <v>0</v>
      </c>
      <c r="AB54" s="41">
        <v>0</v>
      </c>
      <c r="AC54" s="41">
        <v>0</v>
      </c>
      <c r="AD54" s="2">
        <f>R54+U54+X54</f>
        <v>2257801.75</v>
      </c>
      <c r="AE54" s="39">
        <v>0</v>
      </c>
      <c r="AF54" s="2">
        <f>AD54+AE54</f>
        <v>2257801.75</v>
      </c>
      <c r="AG54" s="39" t="s">
        <v>69</v>
      </c>
      <c r="AH54" s="34"/>
      <c r="AI54" s="35">
        <v>110380.84999999999</v>
      </c>
      <c r="AJ54" s="36">
        <v>9619.1500000000051</v>
      </c>
      <c r="AK54" s="28">
        <f t="shared" si="6"/>
        <v>1808750.65</v>
      </c>
      <c r="AL54" s="28">
        <f t="shared" si="7"/>
        <v>283895.06</v>
      </c>
      <c r="AM54" s="29">
        <f t="shared" si="8"/>
        <v>5.7516043064271515E-2</v>
      </c>
    </row>
    <row r="55" spans="1:39" ht="192" customHeight="1" x14ac:dyDescent="0.25">
      <c r="A55" s="10">
        <v>52</v>
      </c>
      <c r="B55" s="37">
        <v>128663</v>
      </c>
      <c r="C55" s="20">
        <v>681</v>
      </c>
      <c r="D55" s="15" t="s">
        <v>31</v>
      </c>
      <c r="E55" s="14" t="s">
        <v>79</v>
      </c>
      <c r="F55" s="15" t="s">
        <v>219</v>
      </c>
      <c r="G55" s="15" t="s">
        <v>220</v>
      </c>
      <c r="H55" s="20" t="s">
        <v>221</v>
      </c>
      <c r="I55" s="43" t="s">
        <v>222</v>
      </c>
      <c r="J55" s="30">
        <v>43683</v>
      </c>
      <c r="K55" s="30">
        <v>44626</v>
      </c>
      <c r="L55" s="31">
        <f t="shared" si="0"/>
        <v>84.604864124271344</v>
      </c>
      <c r="M55" s="20">
        <v>7</v>
      </c>
      <c r="N55" s="20" t="s">
        <v>198</v>
      </c>
      <c r="O55" s="20" t="s">
        <v>203</v>
      </c>
      <c r="P55" s="32" t="s">
        <v>39</v>
      </c>
      <c r="Q55" s="20" t="s">
        <v>40</v>
      </c>
      <c r="R55" s="33">
        <f>S55+T55</f>
        <v>3173338.49</v>
      </c>
      <c r="S55" s="35">
        <v>3173338.49</v>
      </c>
      <c r="T55" s="2">
        <v>0</v>
      </c>
      <c r="U55" s="33">
        <f>V55+W55</f>
        <v>502421.47</v>
      </c>
      <c r="V55" s="35">
        <v>502421.47</v>
      </c>
      <c r="W55" s="2">
        <v>0</v>
      </c>
      <c r="X55" s="33">
        <f t="shared" si="9"/>
        <v>57579.43</v>
      </c>
      <c r="Y55" s="35">
        <v>57579.43</v>
      </c>
      <c r="Z55" s="35"/>
      <c r="AA55" s="2">
        <f>AB55+AC55</f>
        <v>17436.080000000002</v>
      </c>
      <c r="AB55" s="41">
        <v>17436.080000000002</v>
      </c>
      <c r="AC55" s="41">
        <v>0</v>
      </c>
      <c r="AD55" s="2">
        <f>R55+U55+X55+AA55</f>
        <v>3750775.47</v>
      </c>
      <c r="AE55" s="39">
        <v>0</v>
      </c>
      <c r="AF55" s="2"/>
      <c r="AG55" s="39" t="s">
        <v>69</v>
      </c>
      <c r="AH55" s="34" t="s">
        <v>223</v>
      </c>
      <c r="AI55" s="35">
        <f>29936.15+58571.7+142260.5</f>
        <v>230768.35</v>
      </c>
      <c r="AJ55" s="36">
        <f>4578.47+10336.18+24340.57</f>
        <v>39255.22</v>
      </c>
      <c r="AK55" s="28">
        <f t="shared" si="6"/>
        <v>2942570.14</v>
      </c>
      <c r="AL55" s="28">
        <f t="shared" si="7"/>
        <v>463166.25</v>
      </c>
      <c r="AM55" s="29">
        <f t="shared" si="8"/>
        <v>7.2721000525853133E-2</v>
      </c>
    </row>
    <row r="56" spans="1:39" ht="192" customHeight="1" x14ac:dyDescent="0.25">
      <c r="A56" s="10">
        <v>53</v>
      </c>
      <c r="B56" s="37">
        <v>120503</v>
      </c>
      <c r="C56" s="20">
        <v>80</v>
      </c>
      <c r="D56" s="15" t="s">
        <v>31</v>
      </c>
      <c r="E56" s="14" t="s">
        <v>224</v>
      </c>
      <c r="F56" s="4" t="s">
        <v>225</v>
      </c>
      <c r="G56" s="15" t="s">
        <v>226</v>
      </c>
      <c r="H56" s="20" t="s">
        <v>35</v>
      </c>
      <c r="I56" s="16" t="s">
        <v>227</v>
      </c>
      <c r="J56" s="30">
        <v>43173</v>
      </c>
      <c r="K56" s="30">
        <v>43599</v>
      </c>
      <c r="L56" s="31">
        <f t="shared" si="0"/>
        <v>79.999997969650394</v>
      </c>
      <c r="M56" s="20">
        <v>8</v>
      </c>
      <c r="N56" s="20" t="s">
        <v>228</v>
      </c>
      <c r="O56" s="20" t="s">
        <v>229</v>
      </c>
      <c r="P56" s="32" t="s">
        <v>39</v>
      </c>
      <c r="Q56" s="20" t="s">
        <v>40</v>
      </c>
      <c r="R56" s="33">
        <f t="shared" ref="R56:R59" si="35">S56+T56</f>
        <v>315216.64000000001</v>
      </c>
      <c r="S56" s="2">
        <v>0</v>
      </c>
      <c r="T56" s="2">
        <v>315216.64000000001</v>
      </c>
      <c r="U56" s="33">
        <f t="shared" si="2"/>
        <v>70923.75</v>
      </c>
      <c r="V56" s="2">
        <v>0</v>
      </c>
      <c r="W56" s="2">
        <v>70923.75</v>
      </c>
      <c r="X56" s="33">
        <f t="shared" si="9"/>
        <v>7880.42</v>
      </c>
      <c r="Y56" s="2">
        <v>0</v>
      </c>
      <c r="Z56" s="2">
        <v>7880.42</v>
      </c>
      <c r="AA56" s="2">
        <f t="shared" si="28"/>
        <v>0</v>
      </c>
      <c r="AB56" s="68">
        <v>0</v>
      </c>
      <c r="AC56" s="68">
        <v>0</v>
      </c>
      <c r="AD56" s="2">
        <f>R56+U56+X56+AA56</f>
        <v>394020.81</v>
      </c>
      <c r="AE56" s="2">
        <v>0</v>
      </c>
      <c r="AF56" s="2">
        <f t="shared" si="29"/>
        <v>394020.81</v>
      </c>
      <c r="AG56" s="24" t="s">
        <v>41</v>
      </c>
      <c r="AH56" s="34" t="s">
        <v>35</v>
      </c>
      <c r="AI56" s="35">
        <v>238501.38</v>
      </c>
      <c r="AJ56" s="36">
        <v>53662.82</v>
      </c>
      <c r="AK56" s="28">
        <f t="shared" si="6"/>
        <v>76715.260000000009</v>
      </c>
      <c r="AL56" s="28">
        <f t="shared" si="7"/>
        <v>17260.93</v>
      </c>
      <c r="AM56" s="29">
        <f t="shared" si="8"/>
        <v>0.75662687096721792</v>
      </c>
    </row>
    <row r="57" spans="1:39" ht="192" customHeight="1" x14ac:dyDescent="0.25">
      <c r="A57" s="10">
        <v>54</v>
      </c>
      <c r="B57" s="37">
        <v>120710</v>
      </c>
      <c r="C57" s="20">
        <v>103</v>
      </c>
      <c r="D57" s="15" t="s">
        <v>31</v>
      </c>
      <c r="E57" s="14" t="s">
        <v>224</v>
      </c>
      <c r="F57" s="32" t="s">
        <v>230</v>
      </c>
      <c r="G57" s="15" t="s">
        <v>231</v>
      </c>
      <c r="H57" s="20" t="s">
        <v>35</v>
      </c>
      <c r="I57" s="61" t="s">
        <v>232</v>
      </c>
      <c r="J57" s="30">
        <v>43227</v>
      </c>
      <c r="K57" s="30">
        <v>43776</v>
      </c>
      <c r="L57" s="31">
        <f t="shared" si="0"/>
        <v>79.999999056893557</v>
      </c>
      <c r="M57" s="20">
        <v>8</v>
      </c>
      <c r="N57" s="20" t="s">
        <v>228</v>
      </c>
      <c r="O57" s="20" t="s">
        <v>229</v>
      </c>
      <c r="P57" s="20" t="s">
        <v>39</v>
      </c>
      <c r="Q57" s="20" t="s">
        <v>40</v>
      </c>
      <c r="R57" s="33">
        <f t="shared" si="35"/>
        <v>339304.22</v>
      </c>
      <c r="S57" s="41">
        <v>0</v>
      </c>
      <c r="T57" s="69">
        <v>339304.22</v>
      </c>
      <c r="U57" s="33">
        <f t="shared" si="2"/>
        <v>76343.45</v>
      </c>
      <c r="V57" s="41">
        <v>0</v>
      </c>
      <c r="W57" s="69">
        <v>76343.45</v>
      </c>
      <c r="X57" s="33">
        <f t="shared" si="9"/>
        <v>8482.61</v>
      </c>
      <c r="Y57" s="35">
        <v>0</v>
      </c>
      <c r="Z57" s="2">
        <v>8482.61</v>
      </c>
      <c r="AA57" s="2">
        <f t="shared" si="28"/>
        <v>0</v>
      </c>
      <c r="AB57" s="35">
        <v>0</v>
      </c>
      <c r="AC57" s="35">
        <v>0</v>
      </c>
      <c r="AD57" s="2">
        <f t="shared" ref="AD57:AD59" si="36">R57+U57+X57+AA57</f>
        <v>424130.27999999997</v>
      </c>
      <c r="AE57" s="39">
        <v>0</v>
      </c>
      <c r="AF57" s="2">
        <f t="shared" si="29"/>
        <v>424130.27999999997</v>
      </c>
      <c r="AG57" s="24" t="s">
        <v>41</v>
      </c>
      <c r="AH57" s="70" t="s">
        <v>233</v>
      </c>
      <c r="AI57" s="35">
        <f>52550.4+283857.46</f>
        <v>336407.86000000004</v>
      </c>
      <c r="AJ57" s="36">
        <f>11823.84+63867.93</f>
        <v>75691.77</v>
      </c>
      <c r="AK57" s="28">
        <f t="shared" si="6"/>
        <v>2896.3599999999278</v>
      </c>
      <c r="AL57" s="28">
        <f t="shared" si="7"/>
        <v>651.67999999999302</v>
      </c>
      <c r="AM57" s="29">
        <f t="shared" si="8"/>
        <v>0.99146382558990886</v>
      </c>
    </row>
    <row r="58" spans="1:39" ht="192" customHeight="1" x14ac:dyDescent="0.25">
      <c r="A58" s="10">
        <v>55</v>
      </c>
      <c r="B58" s="37">
        <v>117665</v>
      </c>
      <c r="C58" s="20">
        <v>413</v>
      </c>
      <c r="D58" s="15" t="s">
        <v>54</v>
      </c>
      <c r="E58" s="14" t="s">
        <v>234</v>
      </c>
      <c r="F58" s="32" t="s">
        <v>235</v>
      </c>
      <c r="G58" s="15" t="s">
        <v>226</v>
      </c>
      <c r="H58" s="20" t="s">
        <v>35</v>
      </c>
      <c r="I58" s="61" t="s">
        <v>236</v>
      </c>
      <c r="J58" s="30">
        <v>43290</v>
      </c>
      <c r="K58" s="30">
        <v>43625</v>
      </c>
      <c r="L58" s="31">
        <f t="shared" si="0"/>
        <v>80</v>
      </c>
      <c r="M58" s="20">
        <v>8</v>
      </c>
      <c r="N58" s="20" t="s">
        <v>228</v>
      </c>
      <c r="O58" s="20" t="s">
        <v>228</v>
      </c>
      <c r="P58" s="20" t="s">
        <v>39</v>
      </c>
      <c r="Q58" s="20" t="s">
        <v>40</v>
      </c>
      <c r="R58" s="33">
        <f t="shared" si="35"/>
        <v>224534.64</v>
      </c>
      <c r="S58" s="41">
        <v>0</v>
      </c>
      <c r="T58" s="2">
        <v>224534.64</v>
      </c>
      <c r="U58" s="33">
        <f t="shared" si="2"/>
        <v>50520.29</v>
      </c>
      <c r="V58" s="41">
        <v>0</v>
      </c>
      <c r="W58" s="2">
        <v>50520.29</v>
      </c>
      <c r="X58" s="33">
        <f t="shared" si="9"/>
        <v>5613.37</v>
      </c>
      <c r="Y58" s="35">
        <v>0</v>
      </c>
      <c r="Z58" s="2">
        <v>5613.37</v>
      </c>
      <c r="AA58" s="2">
        <f t="shared" si="28"/>
        <v>0</v>
      </c>
      <c r="AB58" s="35">
        <v>0</v>
      </c>
      <c r="AC58" s="35">
        <v>0</v>
      </c>
      <c r="AD58" s="2">
        <f t="shared" si="36"/>
        <v>280668.3</v>
      </c>
      <c r="AE58" s="39">
        <v>0</v>
      </c>
      <c r="AF58" s="2">
        <f t="shared" si="29"/>
        <v>280668.3</v>
      </c>
      <c r="AG58" s="24" t="s">
        <v>41</v>
      </c>
      <c r="AH58" s="70" t="s">
        <v>237</v>
      </c>
      <c r="AI58" s="35">
        <f>174905.44</f>
        <v>174905.44</v>
      </c>
      <c r="AJ58" s="36">
        <v>39353.72</v>
      </c>
      <c r="AK58" s="28">
        <f t="shared" si="6"/>
        <v>49629.200000000012</v>
      </c>
      <c r="AL58" s="28">
        <f t="shared" si="7"/>
        <v>11166.57</v>
      </c>
      <c r="AM58" s="29">
        <f t="shared" si="8"/>
        <v>0.77896862595455196</v>
      </c>
    </row>
    <row r="59" spans="1:39" ht="192" customHeight="1" x14ac:dyDescent="0.25">
      <c r="A59" s="10">
        <v>56</v>
      </c>
      <c r="B59" s="37">
        <v>117676</v>
      </c>
      <c r="C59" s="20">
        <v>414</v>
      </c>
      <c r="D59" s="15" t="s">
        <v>54</v>
      </c>
      <c r="E59" s="14" t="s">
        <v>234</v>
      </c>
      <c r="F59" s="32" t="s">
        <v>238</v>
      </c>
      <c r="G59" s="15" t="s">
        <v>239</v>
      </c>
      <c r="H59" s="20" t="s">
        <v>35</v>
      </c>
      <c r="I59" s="61" t="s">
        <v>240</v>
      </c>
      <c r="J59" s="30">
        <v>43348</v>
      </c>
      <c r="K59" s="30">
        <v>43713</v>
      </c>
      <c r="L59" s="31">
        <f t="shared" si="0"/>
        <v>80.000002000969275</v>
      </c>
      <c r="M59" s="20">
        <v>8</v>
      </c>
      <c r="N59" s="20" t="s">
        <v>228</v>
      </c>
      <c r="O59" s="20" t="s">
        <v>229</v>
      </c>
      <c r="P59" s="20" t="s">
        <v>39</v>
      </c>
      <c r="Q59" s="20" t="s">
        <v>40</v>
      </c>
      <c r="R59" s="33">
        <f t="shared" si="35"/>
        <v>239883.75</v>
      </c>
      <c r="S59" s="35">
        <v>0</v>
      </c>
      <c r="T59" s="2">
        <v>239883.75</v>
      </c>
      <c r="U59" s="33">
        <f t="shared" si="2"/>
        <v>53973.85</v>
      </c>
      <c r="V59" s="35">
        <v>0</v>
      </c>
      <c r="W59" s="2">
        <v>53973.85</v>
      </c>
      <c r="X59" s="33">
        <f t="shared" si="9"/>
        <v>5997.08</v>
      </c>
      <c r="Y59" s="35">
        <v>0</v>
      </c>
      <c r="Z59" s="2">
        <v>5997.08</v>
      </c>
      <c r="AA59" s="2">
        <f t="shared" si="28"/>
        <v>0</v>
      </c>
      <c r="AB59" s="41">
        <v>0</v>
      </c>
      <c r="AC59" s="41">
        <v>0</v>
      </c>
      <c r="AD59" s="2">
        <f t="shared" si="36"/>
        <v>299854.68</v>
      </c>
      <c r="AE59" s="39">
        <v>0</v>
      </c>
      <c r="AF59" s="2">
        <f t="shared" si="29"/>
        <v>299854.68</v>
      </c>
      <c r="AG59" s="24" t="s">
        <v>41</v>
      </c>
      <c r="AH59" s="39"/>
      <c r="AI59" s="35">
        <f>102261.61+121535.79</f>
        <v>223797.4</v>
      </c>
      <c r="AJ59" s="36">
        <f>23008.85+27345.55</f>
        <v>50354.399999999994</v>
      </c>
      <c r="AK59" s="28">
        <f t="shared" si="6"/>
        <v>16086.350000000006</v>
      </c>
      <c r="AL59" s="28">
        <f t="shared" si="7"/>
        <v>3619.4500000000044</v>
      </c>
      <c r="AM59" s="29">
        <f t="shared" si="8"/>
        <v>0.93294105999260057</v>
      </c>
    </row>
    <row r="60" spans="1:39" ht="192" customHeight="1" x14ac:dyDescent="0.25">
      <c r="A60" s="10">
        <v>57</v>
      </c>
      <c r="B60" s="37">
        <v>126477</v>
      </c>
      <c r="C60" s="20">
        <v>507</v>
      </c>
      <c r="D60" s="15" t="s">
        <v>31</v>
      </c>
      <c r="E60" s="14" t="s">
        <v>241</v>
      </c>
      <c r="F60" s="32" t="s">
        <v>242</v>
      </c>
      <c r="G60" s="15" t="s">
        <v>243</v>
      </c>
      <c r="H60" s="20" t="s">
        <v>132</v>
      </c>
      <c r="I60" s="61" t="s">
        <v>244</v>
      </c>
      <c r="J60" s="30">
        <v>43433</v>
      </c>
      <c r="K60" s="30">
        <v>44133</v>
      </c>
      <c r="L60" s="31">
        <f t="shared" si="0"/>
        <v>79.999999536713688</v>
      </c>
      <c r="M60" s="20">
        <v>8</v>
      </c>
      <c r="N60" s="20" t="s">
        <v>228</v>
      </c>
      <c r="O60" s="20" t="s">
        <v>228</v>
      </c>
      <c r="P60" s="20" t="s">
        <v>39</v>
      </c>
      <c r="Q60" s="20" t="s">
        <v>40</v>
      </c>
      <c r="R60" s="33">
        <f>S60+T60</f>
        <v>3108229.07</v>
      </c>
      <c r="S60" s="35">
        <v>0</v>
      </c>
      <c r="T60" s="2">
        <v>3108229.07</v>
      </c>
      <c r="U60" s="33">
        <f t="shared" si="2"/>
        <v>699351.56</v>
      </c>
      <c r="V60" s="35">
        <v>0</v>
      </c>
      <c r="W60" s="2">
        <v>699351.56</v>
      </c>
      <c r="X60" s="33">
        <f t="shared" si="9"/>
        <v>77705.73</v>
      </c>
      <c r="Y60" s="35">
        <v>0</v>
      </c>
      <c r="Z60" s="2">
        <v>77705.73</v>
      </c>
      <c r="AA60" s="2">
        <f>AB60+AC60</f>
        <v>0</v>
      </c>
      <c r="AB60" s="2">
        <v>0</v>
      </c>
      <c r="AC60" s="2">
        <v>0</v>
      </c>
      <c r="AD60" s="2">
        <f>R60+U60+X60+AA60</f>
        <v>3885286.36</v>
      </c>
      <c r="AE60" s="39"/>
      <c r="AF60" s="2">
        <f>AD60+AE60</f>
        <v>3885286.36</v>
      </c>
      <c r="AG60" s="39" t="s">
        <v>69</v>
      </c>
      <c r="AH60" s="39" t="s">
        <v>245</v>
      </c>
      <c r="AI60" s="35">
        <f>31416+63879.95+11508</f>
        <v>106803.95</v>
      </c>
      <c r="AJ60" s="36">
        <f>7068.6+14373+2589.3</f>
        <v>24030.899999999998</v>
      </c>
      <c r="AK60" s="28">
        <f t="shared" si="6"/>
        <v>3001425.1199999996</v>
      </c>
      <c r="AL60" s="28">
        <f t="shared" si="7"/>
        <v>675320.66</v>
      </c>
      <c r="AM60" s="29">
        <f t="shared" si="8"/>
        <v>3.4361672706445669E-2</v>
      </c>
    </row>
    <row r="61" spans="1:39" ht="192" customHeight="1" x14ac:dyDescent="0.25">
      <c r="A61" s="10">
        <v>58</v>
      </c>
      <c r="B61" s="37">
        <v>126372</v>
      </c>
      <c r="C61" s="20">
        <v>510</v>
      </c>
      <c r="D61" s="15" t="s">
        <v>31</v>
      </c>
      <c r="E61" s="14" t="s">
        <v>241</v>
      </c>
      <c r="F61" s="32" t="s">
        <v>246</v>
      </c>
      <c r="G61" s="15" t="s">
        <v>247</v>
      </c>
      <c r="H61" s="20" t="s">
        <v>132</v>
      </c>
      <c r="I61" s="61" t="s">
        <v>248</v>
      </c>
      <c r="J61" s="30">
        <v>43445</v>
      </c>
      <c r="K61" s="30">
        <v>44358</v>
      </c>
      <c r="L61" s="31">
        <f t="shared" si="0"/>
        <v>80</v>
      </c>
      <c r="M61" s="20">
        <v>8</v>
      </c>
      <c r="N61" s="20" t="s">
        <v>228</v>
      </c>
      <c r="O61" s="20" t="s">
        <v>228</v>
      </c>
      <c r="P61" s="20" t="s">
        <v>39</v>
      </c>
      <c r="Q61" s="20" t="s">
        <v>40</v>
      </c>
      <c r="R61" s="33">
        <f t="shared" ref="R61:R68" si="37">S61+T61</f>
        <v>2932376.8</v>
      </c>
      <c r="S61" s="35">
        <v>0</v>
      </c>
      <c r="T61" s="2">
        <v>2932376.8</v>
      </c>
      <c r="U61" s="33">
        <f t="shared" si="2"/>
        <v>659784.78</v>
      </c>
      <c r="V61" s="35">
        <v>0</v>
      </c>
      <c r="W61" s="2">
        <v>659784.78</v>
      </c>
      <c r="X61" s="33">
        <f t="shared" si="9"/>
        <v>73309.42</v>
      </c>
      <c r="Y61" s="35">
        <v>0</v>
      </c>
      <c r="Z61" s="2">
        <v>73309.42</v>
      </c>
      <c r="AA61" s="2">
        <f>AB61+AC61</f>
        <v>0</v>
      </c>
      <c r="AB61" s="35">
        <v>0</v>
      </c>
      <c r="AC61" s="35">
        <v>0</v>
      </c>
      <c r="AD61" s="2">
        <f>R61+U61+X61+AA61</f>
        <v>3665471</v>
      </c>
      <c r="AE61" s="42">
        <v>127687</v>
      </c>
      <c r="AF61" s="2">
        <f>AD61+AE61</f>
        <v>3793158</v>
      </c>
      <c r="AG61" s="39" t="s">
        <v>69</v>
      </c>
      <c r="AH61" s="39" t="s">
        <v>35</v>
      </c>
      <c r="AI61" s="35">
        <f>93106.9+44982.4</f>
        <v>138089.29999999999</v>
      </c>
      <c r="AJ61" s="36">
        <f>20949.06+10121.04</f>
        <v>31070.100000000002</v>
      </c>
      <c r="AK61" s="28">
        <f t="shared" si="6"/>
        <v>2794287.5</v>
      </c>
      <c r="AL61" s="28">
        <f t="shared" si="7"/>
        <v>628714.68000000005</v>
      </c>
      <c r="AM61" s="29">
        <f t="shared" si="8"/>
        <v>4.7091253757020585E-2</v>
      </c>
    </row>
    <row r="62" spans="1:39" ht="192" customHeight="1" x14ac:dyDescent="0.25">
      <c r="A62" s="10">
        <v>59</v>
      </c>
      <c r="B62" s="37">
        <v>128825</v>
      </c>
      <c r="C62" s="20">
        <v>661</v>
      </c>
      <c r="D62" s="15" t="s">
        <v>31</v>
      </c>
      <c r="E62" s="14" t="s">
        <v>249</v>
      </c>
      <c r="F62" s="32" t="s">
        <v>250</v>
      </c>
      <c r="G62" s="20" t="s">
        <v>251</v>
      </c>
      <c r="H62" s="20" t="s">
        <v>252</v>
      </c>
      <c r="I62" s="61" t="s">
        <v>253</v>
      </c>
      <c r="J62" s="30">
        <v>43635</v>
      </c>
      <c r="K62" s="30">
        <v>44427</v>
      </c>
      <c r="L62" s="31">
        <f t="shared" si="0"/>
        <v>79.493002830992353</v>
      </c>
      <c r="M62" s="20">
        <v>8</v>
      </c>
      <c r="N62" s="20" t="s">
        <v>228</v>
      </c>
      <c r="O62" s="20" t="s">
        <v>228</v>
      </c>
      <c r="P62" s="20" t="s">
        <v>39</v>
      </c>
      <c r="Q62" s="20" t="s">
        <v>40</v>
      </c>
      <c r="R62" s="33">
        <f t="shared" si="37"/>
        <v>3436600.48</v>
      </c>
      <c r="S62" s="35">
        <v>0</v>
      </c>
      <c r="T62" s="2">
        <v>3436600.48</v>
      </c>
      <c r="U62" s="33">
        <f t="shared" si="2"/>
        <v>800084.95</v>
      </c>
      <c r="V62" s="35">
        <v>0</v>
      </c>
      <c r="W62" s="2">
        <v>800084.95</v>
      </c>
      <c r="X62" s="33">
        <f t="shared" si="9"/>
        <v>59065.17</v>
      </c>
      <c r="Y62" s="35">
        <v>0</v>
      </c>
      <c r="Z62" s="2">
        <v>59065.17</v>
      </c>
      <c r="AA62" s="2">
        <f t="shared" ref="AA62" si="38">AB62+AC62</f>
        <v>27397.8</v>
      </c>
      <c r="AB62" s="35">
        <v>0</v>
      </c>
      <c r="AC62" s="35">
        <v>27397.8</v>
      </c>
      <c r="AD62" s="2">
        <f t="shared" ref="AD62:AD82" si="39">R62+U62+X62+AA62</f>
        <v>4323148.3999999994</v>
      </c>
      <c r="AE62" s="42">
        <v>29750</v>
      </c>
      <c r="AF62" s="2">
        <f t="shared" ref="AF62:AF82" si="40">AD62+AE62</f>
        <v>4352898.3999999994</v>
      </c>
      <c r="AG62" s="39" t="s">
        <v>69</v>
      </c>
      <c r="AH62" s="39" t="s">
        <v>35</v>
      </c>
      <c r="AI62" s="35">
        <v>520199.46</v>
      </c>
      <c r="AJ62" s="36">
        <v>52823.78</v>
      </c>
      <c r="AK62" s="28">
        <f t="shared" si="6"/>
        <v>2916401.02</v>
      </c>
      <c r="AL62" s="28">
        <f t="shared" si="7"/>
        <v>747261.16999999993</v>
      </c>
      <c r="AM62" s="29">
        <f t="shared" si="8"/>
        <v>0.15137036237625154</v>
      </c>
    </row>
    <row r="63" spans="1:39" ht="192" customHeight="1" x14ac:dyDescent="0.25">
      <c r="A63" s="10">
        <v>60</v>
      </c>
      <c r="B63" s="37">
        <v>118575</v>
      </c>
      <c r="C63" s="20">
        <v>7</v>
      </c>
      <c r="D63" s="20" t="s">
        <v>254</v>
      </c>
      <c r="E63" s="14" t="s">
        <v>255</v>
      </c>
      <c r="F63" s="15" t="s">
        <v>256</v>
      </c>
      <c r="G63" s="32" t="s">
        <v>257</v>
      </c>
      <c r="H63" s="20" t="s">
        <v>35</v>
      </c>
      <c r="I63" s="55" t="s">
        <v>258</v>
      </c>
      <c r="J63" s="30">
        <v>42592</v>
      </c>
      <c r="K63" s="30">
        <v>44114</v>
      </c>
      <c r="L63" s="31">
        <f t="shared" si="0"/>
        <v>83.983862823517285</v>
      </c>
      <c r="M63" s="20" t="s">
        <v>259</v>
      </c>
      <c r="N63" s="20" t="s">
        <v>229</v>
      </c>
      <c r="O63" s="20" t="s">
        <v>229</v>
      </c>
      <c r="P63" s="32" t="s">
        <v>260</v>
      </c>
      <c r="Q63" s="20" t="s">
        <v>40</v>
      </c>
      <c r="R63" s="2">
        <f t="shared" si="37"/>
        <v>8244072.25</v>
      </c>
      <c r="S63" s="2">
        <v>6648126</v>
      </c>
      <c r="T63" s="2">
        <v>1595946.25</v>
      </c>
      <c r="U63" s="2">
        <f t="shared" si="2"/>
        <v>0</v>
      </c>
      <c r="V63" s="2">
        <v>0</v>
      </c>
      <c r="W63" s="2">
        <v>0</v>
      </c>
      <c r="X63" s="2">
        <f t="shared" si="9"/>
        <v>1572185.27</v>
      </c>
      <c r="Y63" s="2">
        <v>1173198.71</v>
      </c>
      <c r="Z63" s="2">
        <v>398986.56</v>
      </c>
      <c r="AA63" s="2">
        <f>AB63+AC63</f>
        <v>0</v>
      </c>
      <c r="AB63" s="2">
        <v>0</v>
      </c>
      <c r="AC63" s="2">
        <v>0</v>
      </c>
      <c r="AD63" s="2">
        <f t="shared" si="39"/>
        <v>9816257.5199999996</v>
      </c>
      <c r="AE63" s="2">
        <v>0</v>
      </c>
      <c r="AF63" s="2">
        <f t="shared" si="40"/>
        <v>9816257.5199999996</v>
      </c>
      <c r="AG63" s="39" t="s">
        <v>69</v>
      </c>
      <c r="AH63" s="34" t="s">
        <v>261</v>
      </c>
      <c r="AI63" s="35">
        <v>2526006.8199999994</v>
      </c>
      <c r="AJ63" s="36">
        <v>0</v>
      </c>
      <c r="AK63" s="28">
        <f t="shared" si="6"/>
        <v>5718065.4300000006</v>
      </c>
      <c r="AL63" s="28">
        <f t="shared" si="7"/>
        <v>0</v>
      </c>
      <c r="AM63" s="29">
        <f t="shared" si="8"/>
        <v>0.30640279990268149</v>
      </c>
    </row>
    <row r="64" spans="1:39" ht="192" customHeight="1" x14ac:dyDescent="0.25">
      <c r="A64" s="10">
        <v>61</v>
      </c>
      <c r="B64" s="37">
        <v>128335</v>
      </c>
      <c r="C64" s="20">
        <v>634</v>
      </c>
      <c r="D64" s="15" t="s">
        <v>31</v>
      </c>
      <c r="E64" s="14" t="s">
        <v>249</v>
      </c>
      <c r="F64" s="32" t="s">
        <v>262</v>
      </c>
      <c r="G64" s="20" t="s">
        <v>263</v>
      </c>
      <c r="H64" s="20" t="s">
        <v>264</v>
      </c>
      <c r="I64" s="61" t="s">
        <v>265</v>
      </c>
      <c r="J64" s="30">
        <v>43647</v>
      </c>
      <c r="K64" s="30">
        <v>44562</v>
      </c>
      <c r="L64" s="31">
        <f t="shared" si="0"/>
        <v>79.99999994861092</v>
      </c>
      <c r="M64" s="20">
        <v>8</v>
      </c>
      <c r="N64" s="20" t="s">
        <v>228</v>
      </c>
      <c r="O64" s="20" t="s">
        <v>228</v>
      </c>
      <c r="P64" s="20" t="s">
        <v>39</v>
      </c>
      <c r="Q64" s="20" t="s">
        <v>40</v>
      </c>
      <c r="R64" s="33">
        <f t="shared" si="37"/>
        <v>3113501.31</v>
      </c>
      <c r="S64" s="35">
        <v>0</v>
      </c>
      <c r="T64" s="2">
        <v>3113501.31</v>
      </c>
      <c r="U64" s="33">
        <f t="shared" si="2"/>
        <v>700537.78</v>
      </c>
      <c r="V64" s="35">
        <v>0</v>
      </c>
      <c r="W64" s="2">
        <v>700537.78</v>
      </c>
      <c r="X64" s="33">
        <f t="shared" si="9"/>
        <v>77837.55</v>
      </c>
      <c r="Y64" s="35">
        <v>0</v>
      </c>
      <c r="Z64" s="2">
        <v>77837.55</v>
      </c>
      <c r="AA64" s="2">
        <v>0</v>
      </c>
      <c r="AB64" s="35">
        <v>0</v>
      </c>
      <c r="AC64" s="35">
        <v>0</v>
      </c>
      <c r="AD64" s="2">
        <f t="shared" si="39"/>
        <v>3891876.6399999997</v>
      </c>
      <c r="AE64" s="42">
        <v>0</v>
      </c>
      <c r="AF64" s="2">
        <f t="shared" si="40"/>
        <v>3891876.6399999997</v>
      </c>
      <c r="AG64" s="39" t="s">
        <v>69</v>
      </c>
      <c r="AH64" s="39" t="s">
        <v>35</v>
      </c>
      <c r="AI64" s="35">
        <v>55820.78</v>
      </c>
      <c r="AJ64" s="36">
        <f>12559.67</f>
        <v>12559.67</v>
      </c>
      <c r="AK64" s="28">
        <f t="shared" si="6"/>
        <v>3057680.5300000003</v>
      </c>
      <c r="AL64" s="28">
        <f t="shared" si="7"/>
        <v>687978.11</v>
      </c>
      <c r="AM64" s="29">
        <f t="shared" si="8"/>
        <v>1.7928619403728467E-2</v>
      </c>
    </row>
    <row r="65" spans="1:39" ht="192" customHeight="1" x14ac:dyDescent="0.25">
      <c r="A65" s="10">
        <v>62</v>
      </c>
      <c r="B65" s="37">
        <v>129694</v>
      </c>
      <c r="C65" s="20">
        <v>694</v>
      </c>
      <c r="D65" s="15" t="s">
        <v>31</v>
      </c>
      <c r="E65" s="14" t="s">
        <v>249</v>
      </c>
      <c r="F65" s="32" t="s">
        <v>266</v>
      </c>
      <c r="G65" s="20" t="s">
        <v>267</v>
      </c>
      <c r="H65" s="20" t="s">
        <v>252</v>
      </c>
      <c r="I65" s="15" t="s">
        <v>268</v>
      </c>
      <c r="J65" s="30">
        <v>43635</v>
      </c>
      <c r="K65" s="30">
        <v>44458</v>
      </c>
      <c r="L65" s="31">
        <f t="shared" si="0"/>
        <v>79.559234452662935</v>
      </c>
      <c r="M65" s="20">
        <v>8</v>
      </c>
      <c r="N65" s="20" t="s">
        <v>228</v>
      </c>
      <c r="O65" s="20" t="s">
        <v>228</v>
      </c>
      <c r="P65" s="20" t="s">
        <v>39</v>
      </c>
      <c r="Q65" s="20" t="s">
        <v>40</v>
      </c>
      <c r="R65" s="33">
        <f t="shared" si="37"/>
        <v>3495320.83</v>
      </c>
      <c r="S65" s="35">
        <v>0</v>
      </c>
      <c r="T65" s="2">
        <v>3495320.83</v>
      </c>
      <c r="U65" s="33">
        <f t="shared" si="2"/>
        <v>810168.58</v>
      </c>
      <c r="V65" s="35">
        <v>0</v>
      </c>
      <c r="W65" s="2">
        <v>810168.58</v>
      </c>
      <c r="X65" s="33">
        <f t="shared" si="9"/>
        <v>63661.63</v>
      </c>
      <c r="Y65" s="35">
        <v>0</v>
      </c>
      <c r="Z65" s="2">
        <v>63661.63</v>
      </c>
      <c r="AA65" s="2">
        <f t="shared" ref="AA65:AA70" si="41">AB65+AC65</f>
        <v>24205.5</v>
      </c>
      <c r="AB65" s="35">
        <v>0</v>
      </c>
      <c r="AC65" s="35">
        <v>24205.5</v>
      </c>
      <c r="AD65" s="2">
        <f t="shared" si="39"/>
        <v>4393356.54</v>
      </c>
      <c r="AE65" s="42">
        <v>0</v>
      </c>
      <c r="AF65" s="2">
        <f t="shared" si="40"/>
        <v>4393356.54</v>
      </c>
      <c r="AG65" s="39" t="s">
        <v>69</v>
      </c>
      <c r="AH65" s="39" t="s">
        <v>35</v>
      </c>
      <c r="AI65" s="35">
        <v>136459.57999999999</v>
      </c>
      <c r="AJ65" s="36">
        <f>8615.16</f>
        <v>8615.16</v>
      </c>
      <c r="AK65" s="28">
        <f t="shared" si="6"/>
        <v>3358861.25</v>
      </c>
      <c r="AL65" s="28">
        <f t="shared" si="7"/>
        <v>801553.41999999993</v>
      </c>
      <c r="AM65" s="29">
        <f t="shared" si="8"/>
        <v>3.9040645090081753E-2</v>
      </c>
    </row>
    <row r="66" spans="1:39" ht="192" customHeight="1" x14ac:dyDescent="0.25">
      <c r="A66" s="10">
        <v>63</v>
      </c>
      <c r="B66" s="37">
        <v>129016</v>
      </c>
      <c r="C66" s="20">
        <v>693</v>
      </c>
      <c r="D66" s="15" t="s">
        <v>31</v>
      </c>
      <c r="E66" s="14" t="s">
        <v>249</v>
      </c>
      <c r="F66" s="32" t="s">
        <v>269</v>
      </c>
      <c r="G66" s="20" t="s">
        <v>270</v>
      </c>
      <c r="H66" s="20" t="s">
        <v>35</v>
      </c>
      <c r="I66" s="15" t="s">
        <v>271</v>
      </c>
      <c r="J66" s="30">
        <v>43654</v>
      </c>
      <c r="K66" s="30">
        <v>44020</v>
      </c>
      <c r="L66" s="31">
        <f t="shared" si="0"/>
        <v>79.999998958694746</v>
      </c>
      <c r="M66" s="20">
        <v>8</v>
      </c>
      <c r="N66" s="20" t="s">
        <v>228</v>
      </c>
      <c r="O66" s="20" t="s">
        <v>228</v>
      </c>
      <c r="P66" s="20" t="s">
        <v>39</v>
      </c>
      <c r="Q66" s="20" t="s">
        <v>40</v>
      </c>
      <c r="R66" s="33">
        <f t="shared" si="37"/>
        <v>307306.62</v>
      </c>
      <c r="S66" s="35">
        <v>0</v>
      </c>
      <c r="T66" s="2">
        <v>307306.62</v>
      </c>
      <c r="U66" s="33">
        <f t="shared" si="2"/>
        <v>69143.95</v>
      </c>
      <c r="V66" s="35">
        <v>0</v>
      </c>
      <c r="W66" s="2">
        <v>69143.95</v>
      </c>
      <c r="X66" s="33">
        <f t="shared" si="9"/>
        <v>7682.71</v>
      </c>
      <c r="Y66" s="35">
        <v>0</v>
      </c>
      <c r="Z66" s="2">
        <v>7682.71</v>
      </c>
      <c r="AA66" s="2">
        <f t="shared" si="41"/>
        <v>0</v>
      </c>
      <c r="AB66" s="35">
        <v>0</v>
      </c>
      <c r="AC66" s="35">
        <v>0</v>
      </c>
      <c r="AD66" s="2">
        <f t="shared" si="39"/>
        <v>384133.28</v>
      </c>
      <c r="AE66" s="42">
        <v>0</v>
      </c>
      <c r="AF66" s="2">
        <f t="shared" si="40"/>
        <v>384133.28</v>
      </c>
      <c r="AG66" s="39" t="s">
        <v>69</v>
      </c>
      <c r="AH66" s="39"/>
      <c r="AI66" s="35">
        <v>110102.97</v>
      </c>
      <c r="AJ66" s="36">
        <v>24773.14</v>
      </c>
      <c r="AK66" s="28">
        <f t="shared" si="6"/>
        <v>197203.65</v>
      </c>
      <c r="AL66" s="28">
        <f t="shared" si="7"/>
        <v>44370.81</v>
      </c>
      <c r="AM66" s="29">
        <f t="shared" si="8"/>
        <v>0.35828375581365607</v>
      </c>
    </row>
    <row r="67" spans="1:39" ht="192" customHeight="1" x14ac:dyDescent="0.25">
      <c r="A67" s="10">
        <v>64</v>
      </c>
      <c r="B67" s="37">
        <v>136166</v>
      </c>
      <c r="C67" s="20">
        <v>856</v>
      </c>
      <c r="D67" s="15" t="s">
        <v>31</v>
      </c>
      <c r="E67" s="14" t="s">
        <v>272</v>
      </c>
      <c r="F67" s="32" t="s">
        <v>273</v>
      </c>
      <c r="G67" s="20" t="s">
        <v>274</v>
      </c>
      <c r="H67" s="20" t="s">
        <v>275</v>
      </c>
      <c r="I67" s="15" t="s">
        <v>276</v>
      </c>
      <c r="J67" s="30">
        <v>43900</v>
      </c>
      <c r="K67" s="30">
        <v>44630</v>
      </c>
      <c r="L67" s="31">
        <f t="shared" si="0"/>
        <v>79.999999908763286</v>
      </c>
      <c r="M67" s="20">
        <v>8</v>
      </c>
      <c r="N67" s="20" t="s">
        <v>228</v>
      </c>
      <c r="O67" s="20" t="s">
        <v>228</v>
      </c>
      <c r="P67" s="20" t="s">
        <v>39</v>
      </c>
      <c r="Q67" s="20" t="s">
        <v>40</v>
      </c>
      <c r="R67" s="33">
        <f t="shared" si="37"/>
        <v>1753679.95</v>
      </c>
      <c r="S67" s="35">
        <v>0</v>
      </c>
      <c r="T67" s="2">
        <v>1753679.95</v>
      </c>
      <c r="U67" s="33">
        <f t="shared" si="2"/>
        <v>394577.99</v>
      </c>
      <c r="V67" s="35">
        <v>0</v>
      </c>
      <c r="W67" s="2">
        <v>394577.99</v>
      </c>
      <c r="X67" s="33">
        <f t="shared" si="9"/>
        <v>43842</v>
      </c>
      <c r="Y67" s="35">
        <v>0</v>
      </c>
      <c r="Z67" s="2">
        <v>43842</v>
      </c>
      <c r="AA67" s="2">
        <f t="shared" si="41"/>
        <v>0</v>
      </c>
      <c r="AB67" s="35">
        <v>0</v>
      </c>
      <c r="AC67" s="35">
        <v>0</v>
      </c>
      <c r="AD67" s="2">
        <f t="shared" si="39"/>
        <v>2192099.94</v>
      </c>
      <c r="AE67" s="42">
        <v>0</v>
      </c>
      <c r="AF67" s="2">
        <f t="shared" si="40"/>
        <v>2192099.94</v>
      </c>
      <c r="AG67" s="39" t="s">
        <v>69</v>
      </c>
      <c r="AH67" s="39"/>
      <c r="AI67" s="35">
        <v>0</v>
      </c>
      <c r="AJ67" s="36">
        <v>0</v>
      </c>
      <c r="AK67" s="28">
        <f t="shared" si="6"/>
        <v>1753679.95</v>
      </c>
      <c r="AL67" s="28">
        <f t="shared" si="7"/>
        <v>394577.99</v>
      </c>
      <c r="AM67" s="29">
        <f t="shared" si="8"/>
        <v>0</v>
      </c>
    </row>
    <row r="68" spans="1:39" ht="192" customHeight="1" x14ac:dyDescent="0.25">
      <c r="A68" s="10">
        <v>65</v>
      </c>
      <c r="B68" s="37">
        <v>135779</v>
      </c>
      <c r="C68" s="20">
        <v>780</v>
      </c>
      <c r="D68" s="15" t="s">
        <v>31</v>
      </c>
      <c r="E68" s="14" t="s">
        <v>272</v>
      </c>
      <c r="F68" s="32" t="s">
        <v>277</v>
      </c>
      <c r="G68" s="20" t="s">
        <v>274</v>
      </c>
      <c r="H68" s="20" t="s">
        <v>278</v>
      </c>
      <c r="I68" s="15" t="s">
        <v>279</v>
      </c>
      <c r="J68" s="30">
        <v>43901</v>
      </c>
      <c r="K68" s="30">
        <v>44631</v>
      </c>
      <c r="L68" s="31">
        <f t="shared" ref="L68:L82" si="42">R68/AD68*100</f>
        <v>80.000000203403673</v>
      </c>
      <c r="M68" s="20">
        <v>8</v>
      </c>
      <c r="N68" s="20" t="s">
        <v>228</v>
      </c>
      <c r="O68" s="20" t="s">
        <v>228</v>
      </c>
      <c r="P68" s="20" t="s">
        <v>39</v>
      </c>
      <c r="Q68" s="20" t="s">
        <v>40</v>
      </c>
      <c r="R68" s="33">
        <f t="shared" si="37"/>
        <v>2359839.4300000002</v>
      </c>
      <c r="S68" s="35">
        <v>0</v>
      </c>
      <c r="T68" s="2">
        <v>2359839.4300000002</v>
      </c>
      <c r="U68" s="33">
        <f t="shared" ref="U68:U116" si="43">V68+W68</f>
        <v>530963.84</v>
      </c>
      <c r="V68" s="35">
        <v>0</v>
      </c>
      <c r="W68" s="2">
        <v>530963.84</v>
      </c>
      <c r="X68" s="33">
        <f t="shared" si="9"/>
        <v>58996.01</v>
      </c>
      <c r="Y68" s="35">
        <v>0</v>
      </c>
      <c r="Z68" s="2">
        <v>58996.01</v>
      </c>
      <c r="AA68" s="2">
        <f t="shared" si="41"/>
        <v>0</v>
      </c>
      <c r="AB68" s="35">
        <v>0</v>
      </c>
      <c r="AC68" s="35">
        <v>0</v>
      </c>
      <c r="AD68" s="2">
        <f t="shared" si="39"/>
        <v>2949799.28</v>
      </c>
      <c r="AE68" s="42"/>
      <c r="AF68" s="2">
        <f t="shared" si="40"/>
        <v>2949799.28</v>
      </c>
      <c r="AG68" s="39" t="s">
        <v>69</v>
      </c>
      <c r="AH68" s="39"/>
      <c r="AI68" s="35">
        <v>0</v>
      </c>
      <c r="AJ68" s="36">
        <v>0</v>
      </c>
      <c r="AK68" s="28">
        <f t="shared" si="6"/>
        <v>2359839.4300000002</v>
      </c>
      <c r="AL68" s="28">
        <f t="shared" si="7"/>
        <v>530963.84</v>
      </c>
      <c r="AM68" s="29">
        <f t="shared" si="8"/>
        <v>0</v>
      </c>
    </row>
    <row r="69" spans="1:39" ht="192" customHeight="1" x14ac:dyDescent="0.25">
      <c r="A69" s="10">
        <v>66</v>
      </c>
      <c r="B69" s="37">
        <v>118335</v>
      </c>
      <c r="C69" s="37">
        <v>427</v>
      </c>
      <c r="D69" s="15" t="s">
        <v>54</v>
      </c>
      <c r="E69" s="14" t="s">
        <v>55</v>
      </c>
      <c r="F69" s="63" t="s">
        <v>280</v>
      </c>
      <c r="G69" s="15" t="s">
        <v>281</v>
      </c>
      <c r="H69" s="20" t="s">
        <v>35</v>
      </c>
      <c r="I69" s="61" t="s">
        <v>282</v>
      </c>
      <c r="J69" s="30">
        <v>43284</v>
      </c>
      <c r="K69" s="30">
        <v>43711</v>
      </c>
      <c r="L69" s="31">
        <f t="shared" si="42"/>
        <v>85.000001775483071</v>
      </c>
      <c r="M69" s="20">
        <v>2</v>
      </c>
      <c r="N69" s="20" t="s">
        <v>283</v>
      </c>
      <c r="O69" s="20" t="s">
        <v>283</v>
      </c>
      <c r="P69" s="20" t="s">
        <v>39</v>
      </c>
      <c r="Q69" s="20" t="s">
        <v>40</v>
      </c>
      <c r="R69" s="33">
        <v>239371.48</v>
      </c>
      <c r="S69" s="2">
        <v>239371.48</v>
      </c>
      <c r="T69" s="35">
        <v>0</v>
      </c>
      <c r="U69" s="33">
        <f t="shared" si="43"/>
        <v>36609.75</v>
      </c>
      <c r="V69" s="2">
        <v>36609.75</v>
      </c>
      <c r="W69" s="41">
        <v>0</v>
      </c>
      <c r="X69" s="33">
        <f t="shared" si="9"/>
        <v>5632.27</v>
      </c>
      <c r="Y69" s="2">
        <v>5632.27</v>
      </c>
      <c r="Z69" s="35">
        <v>0</v>
      </c>
      <c r="AA69" s="2">
        <f t="shared" si="41"/>
        <v>0</v>
      </c>
      <c r="AB69" s="35">
        <v>0</v>
      </c>
      <c r="AC69" s="35">
        <v>0</v>
      </c>
      <c r="AD69" s="2">
        <f t="shared" si="39"/>
        <v>281613.5</v>
      </c>
      <c r="AE69" s="39">
        <v>0</v>
      </c>
      <c r="AF69" s="2">
        <f t="shared" si="40"/>
        <v>281613.5</v>
      </c>
      <c r="AG69" s="24" t="s">
        <v>41</v>
      </c>
      <c r="AH69" s="39" t="s">
        <v>284</v>
      </c>
      <c r="AI69" s="35">
        <v>238071.21999999997</v>
      </c>
      <c r="AJ69" s="36">
        <v>36410.870000000003</v>
      </c>
      <c r="AK69" s="28">
        <f t="shared" ref="AK69:AK132" si="44">R69-AI69</f>
        <v>1300.2600000000384</v>
      </c>
      <c r="AL69" s="28">
        <f t="shared" ref="AL69:AL132" si="45">U69-AJ69</f>
        <v>198.87999999999738</v>
      </c>
      <c r="AM69" s="29">
        <f t="shared" ref="AM69:AM132" si="46">AI69/R69</f>
        <v>0.99456802456165605</v>
      </c>
    </row>
    <row r="70" spans="1:39" ht="192" customHeight="1" x14ac:dyDescent="0.25">
      <c r="A70" s="10">
        <v>67</v>
      </c>
      <c r="B70" s="37">
        <v>118396</v>
      </c>
      <c r="C70" s="37">
        <v>428</v>
      </c>
      <c r="D70" s="15" t="s">
        <v>54</v>
      </c>
      <c r="E70" s="14" t="s">
        <v>55</v>
      </c>
      <c r="F70" s="15" t="s">
        <v>285</v>
      </c>
      <c r="G70" s="15" t="s">
        <v>286</v>
      </c>
      <c r="H70" s="20" t="s">
        <v>287</v>
      </c>
      <c r="I70" s="71" t="s">
        <v>288</v>
      </c>
      <c r="J70" s="30">
        <v>43312</v>
      </c>
      <c r="K70" s="30">
        <v>43861</v>
      </c>
      <c r="L70" s="31">
        <f t="shared" si="42"/>
        <v>84.167393553203468</v>
      </c>
      <c r="M70" s="56">
        <v>2</v>
      </c>
      <c r="N70" s="20" t="s">
        <v>283</v>
      </c>
      <c r="O70" s="20" t="s">
        <v>283</v>
      </c>
      <c r="P70" s="20" t="s">
        <v>39</v>
      </c>
      <c r="Q70" s="20" t="s">
        <v>40</v>
      </c>
      <c r="R70" s="35">
        <f>S70</f>
        <v>326686.85000000009</v>
      </c>
      <c r="S70" s="35">
        <v>326686.85000000009</v>
      </c>
      <c r="T70" s="35">
        <v>0</v>
      </c>
      <c r="U70" s="33">
        <f t="shared" si="43"/>
        <v>53689.799999999996</v>
      </c>
      <c r="V70" s="35">
        <v>53689.799999999996</v>
      </c>
      <c r="W70" s="35">
        <v>0</v>
      </c>
      <c r="X70" s="33">
        <f t="shared" ref="X70:X116" si="47">Y70+Z70</f>
        <v>3960.82</v>
      </c>
      <c r="Y70" s="35">
        <v>3960.82</v>
      </c>
      <c r="Z70" s="35">
        <v>0</v>
      </c>
      <c r="AA70" s="2">
        <f t="shared" si="41"/>
        <v>3801.97</v>
      </c>
      <c r="AB70" s="35">
        <v>3801.97</v>
      </c>
      <c r="AC70" s="35">
        <v>0</v>
      </c>
      <c r="AD70" s="2">
        <f t="shared" si="39"/>
        <v>388139.44000000006</v>
      </c>
      <c r="AE70" s="39">
        <v>0</v>
      </c>
      <c r="AF70" s="2">
        <f t="shared" si="40"/>
        <v>388139.44000000006</v>
      </c>
      <c r="AG70" s="39" t="s">
        <v>41</v>
      </c>
      <c r="AH70" s="39" t="s">
        <v>78</v>
      </c>
      <c r="AI70" s="35">
        <v>228534.63999999998</v>
      </c>
      <c r="AJ70" s="36">
        <v>38165.25</v>
      </c>
      <c r="AK70" s="28">
        <f t="shared" si="44"/>
        <v>98152.210000000108</v>
      </c>
      <c r="AL70" s="28">
        <f t="shared" si="45"/>
        <v>15524.549999999996</v>
      </c>
      <c r="AM70" s="29">
        <f t="shared" si="46"/>
        <v>0.69955261437673388</v>
      </c>
    </row>
    <row r="71" spans="1:39" ht="192" customHeight="1" x14ac:dyDescent="0.25">
      <c r="A71" s="10">
        <v>68</v>
      </c>
      <c r="B71" s="37">
        <v>119892</v>
      </c>
      <c r="C71" s="37">
        <v>480</v>
      </c>
      <c r="D71" s="20" t="s">
        <v>47</v>
      </c>
      <c r="E71" s="14" t="s">
        <v>48</v>
      </c>
      <c r="F71" s="15" t="s">
        <v>289</v>
      </c>
      <c r="G71" s="15" t="s">
        <v>290</v>
      </c>
      <c r="H71" s="20" t="s">
        <v>132</v>
      </c>
      <c r="I71" s="16" t="s">
        <v>291</v>
      </c>
      <c r="J71" s="72">
        <v>43389</v>
      </c>
      <c r="K71" s="30">
        <v>43906</v>
      </c>
      <c r="L71" s="31">
        <f t="shared" si="42"/>
        <v>85.000001891187381</v>
      </c>
      <c r="M71" s="37">
        <v>2</v>
      </c>
      <c r="N71" s="20" t="s">
        <v>283</v>
      </c>
      <c r="O71" s="20" t="s">
        <v>292</v>
      </c>
      <c r="P71" s="67" t="s">
        <v>39</v>
      </c>
      <c r="Q71" s="20" t="s">
        <v>293</v>
      </c>
      <c r="R71" s="73">
        <f t="shared" ref="R71:R76" si="48">S71+T71</f>
        <v>337089.82</v>
      </c>
      <c r="S71" s="35">
        <v>337089.82</v>
      </c>
      <c r="T71" s="35">
        <v>0</v>
      </c>
      <c r="U71" s="33">
        <f t="shared" si="43"/>
        <v>51554.92</v>
      </c>
      <c r="V71" s="2">
        <v>51554.92</v>
      </c>
      <c r="W71" s="37">
        <v>0</v>
      </c>
      <c r="X71" s="33">
        <f t="shared" si="47"/>
        <v>7931.51</v>
      </c>
      <c r="Y71" s="74">
        <v>7931.51</v>
      </c>
      <c r="Z71" s="35">
        <v>0</v>
      </c>
      <c r="AA71" s="20">
        <v>0</v>
      </c>
      <c r="AB71" s="20">
        <v>0</v>
      </c>
      <c r="AC71" s="35">
        <v>0</v>
      </c>
      <c r="AD71" s="2">
        <f t="shared" si="39"/>
        <v>396576.25</v>
      </c>
      <c r="AE71" s="75">
        <v>2189.6</v>
      </c>
      <c r="AF71" s="2">
        <f t="shared" si="40"/>
        <v>398765.85</v>
      </c>
      <c r="AG71" s="39" t="s">
        <v>41</v>
      </c>
      <c r="AH71" s="39" t="s">
        <v>294</v>
      </c>
      <c r="AI71" s="35">
        <v>303728.18</v>
      </c>
      <c r="AJ71" s="36">
        <v>46452.54</v>
      </c>
      <c r="AK71" s="28">
        <f t="shared" si="44"/>
        <v>33361.640000000014</v>
      </c>
      <c r="AL71" s="28">
        <f t="shared" si="45"/>
        <v>5102.3799999999974</v>
      </c>
      <c r="AM71" s="29">
        <f t="shared" si="46"/>
        <v>0.90103041379297655</v>
      </c>
    </row>
    <row r="72" spans="1:39" ht="192" customHeight="1" x14ac:dyDescent="0.25">
      <c r="A72" s="10">
        <v>69</v>
      </c>
      <c r="B72" s="37">
        <v>126446</v>
      </c>
      <c r="C72" s="37">
        <v>543</v>
      </c>
      <c r="D72" s="20" t="s">
        <v>31</v>
      </c>
      <c r="E72" s="14" t="s">
        <v>65</v>
      </c>
      <c r="F72" s="15" t="s">
        <v>295</v>
      </c>
      <c r="G72" s="15" t="s">
        <v>290</v>
      </c>
      <c r="H72" s="20" t="s">
        <v>132</v>
      </c>
      <c r="I72" s="16" t="s">
        <v>296</v>
      </c>
      <c r="J72" s="72">
        <v>43430</v>
      </c>
      <c r="K72" s="30">
        <v>44253</v>
      </c>
      <c r="L72" s="31">
        <f t="shared" si="42"/>
        <v>85.000000017455704</v>
      </c>
      <c r="M72" s="37">
        <v>2</v>
      </c>
      <c r="N72" s="20" t="s">
        <v>283</v>
      </c>
      <c r="O72" s="20" t="s">
        <v>292</v>
      </c>
      <c r="P72" s="67" t="s">
        <v>39</v>
      </c>
      <c r="Q72" s="20" t="s">
        <v>293</v>
      </c>
      <c r="R72" s="73">
        <f t="shared" si="48"/>
        <v>2434734.11</v>
      </c>
      <c r="S72" s="35">
        <v>2434734.11</v>
      </c>
      <c r="T72" s="35">
        <v>0</v>
      </c>
      <c r="U72" s="33">
        <f t="shared" si="43"/>
        <v>372371.1</v>
      </c>
      <c r="V72" s="2">
        <v>372371.1</v>
      </c>
      <c r="W72" s="37">
        <v>0</v>
      </c>
      <c r="X72" s="33">
        <f t="shared" si="47"/>
        <v>57287.86</v>
      </c>
      <c r="Y72" s="74">
        <v>57287.86</v>
      </c>
      <c r="Z72" s="35">
        <v>0</v>
      </c>
      <c r="AA72" s="2">
        <f>AB72+AC72</f>
        <v>0</v>
      </c>
      <c r="AB72" s="35">
        <v>0</v>
      </c>
      <c r="AC72" s="35">
        <v>0</v>
      </c>
      <c r="AD72" s="2">
        <f t="shared" si="39"/>
        <v>2864393.07</v>
      </c>
      <c r="AE72" s="37"/>
      <c r="AF72" s="2">
        <f t="shared" si="40"/>
        <v>2864393.07</v>
      </c>
      <c r="AG72" s="39" t="s">
        <v>69</v>
      </c>
      <c r="AH72" s="39"/>
      <c r="AI72" s="35">
        <v>148644.99</v>
      </c>
      <c r="AJ72" s="36">
        <v>22733.93</v>
      </c>
      <c r="AK72" s="28">
        <f t="shared" si="44"/>
        <v>2286089.12</v>
      </c>
      <c r="AL72" s="28">
        <f t="shared" si="45"/>
        <v>349637.17</v>
      </c>
      <c r="AM72" s="29">
        <f t="shared" si="46"/>
        <v>6.1051836990939433E-2</v>
      </c>
    </row>
    <row r="73" spans="1:39" ht="192" customHeight="1" x14ac:dyDescent="0.25">
      <c r="A73" s="10">
        <v>70</v>
      </c>
      <c r="B73" s="37">
        <v>120730</v>
      </c>
      <c r="C73" s="20">
        <v>92</v>
      </c>
      <c r="D73" s="15" t="s">
        <v>31</v>
      </c>
      <c r="E73" s="14" t="s">
        <v>32</v>
      </c>
      <c r="F73" s="15" t="s">
        <v>297</v>
      </c>
      <c r="G73" s="15" t="s">
        <v>298</v>
      </c>
      <c r="H73" s="20" t="s">
        <v>35</v>
      </c>
      <c r="I73" s="16" t="s">
        <v>299</v>
      </c>
      <c r="J73" s="30">
        <v>43145</v>
      </c>
      <c r="K73" s="30">
        <v>43630</v>
      </c>
      <c r="L73" s="31">
        <f t="shared" si="42"/>
        <v>85.000000355065879</v>
      </c>
      <c r="M73" s="20">
        <v>2</v>
      </c>
      <c r="N73" s="20" t="s">
        <v>283</v>
      </c>
      <c r="O73" s="20" t="s">
        <v>300</v>
      </c>
      <c r="P73" s="32" t="s">
        <v>39</v>
      </c>
      <c r="Q73" s="20" t="s">
        <v>40</v>
      </c>
      <c r="R73" s="2">
        <f t="shared" si="48"/>
        <v>359088.29</v>
      </c>
      <c r="S73" s="2">
        <v>359088.29</v>
      </c>
      <c r="T73" s="2">
        <v>0</v>
      </c>
      <c r="U73" s="33">
        <f t="shared" si="43"/>
        <v>54919.39</v>
      </c>
      <c r="V73" s="2">
        <v>54919.39</v>
      </c>
      <c r="W73" s="2">
        <v>0</v>
      </c>
      <c r="X73" s="33">
        <f t="shared" si="47"/>
        <v>8449.1299999999992</v>
      </c>
      <c r="Y73" s="2">
        <v>8449.1299999999992</v>
      </c>
      <c r="Z73" s="2">
        <v>0</v>
      </c>
      <c r="AA73" s="2">
        <f>AB73+AC73</f>
        <v>0</v>
      </c>
      <c r="AB73" s="2">
        <v>0</v>
      </c>
      <c r="AC73" s="2">
        <v>0</v>
      </c>
      <c r="AD73" s="2">
        <f t="shared" si="39"/>
        <v>422456.81</v>
      </c>
      <c r="AE73" s="2">
        <v>66435.22</v>
      </c>
      <c r="AF73" s="2">
        <f t="shared" si="40"/>
        <v>488892.03</v>
      </c>
      <c r="AG73" s="24" t="s">
        <v>41</v>
      </c>
      <c r="AH73" s="34" t="s">
        <v>35</v>
      </c>
      <c r="AI73" s="35">
        <v>331095.73</v>
      </c>
      <c r="AJ73" s="36">
        <v>50638.16</v>
      </c>
      <c r="AK73" s="28">
        <f t="shared" si="44"/>
        <v>27992.559999999998</v>
      </c>
      <c r="AL73" s="28">
        <f t="shared" si="45"/>
        <v>4281.2299999999959</v>
      </c>
      <c r="AM73" s="29">
        <f t="shared" si="46"/>
        <v>0.92204546686832922</v>
      </c>
    </row>
    <row r="74" spans="1:39" ht="192" customHeight="1" x14ac:dyDescent="0.25">
      <c r="A74" s="10">
        <v>71</v>
      </c>
      <c r="B74" s="37">
        <v>129270</v>
      </c>
      <c r="C74" s="20">
        <v>647</v>
      </c>
      <c r="D74" s="15" t="s">
        <v>31</v>
      </c>
      <c r="E74" s="14" t="s">
        <v>79</v>
      </c>
      <c r="F74" s="40" t="s">
        <v>301</v>
      </c>
      <c r="G74" s="15" t="s">
        <v>298</v>
      </c>
      <c r="H74" s="20" t="s">
        <v>35</v>
      </c>
      <c r="I74" s="16" t="s">
        <v>302</v>
      </c>
      <c r="J74" s="30">
        <v>43656</v>
      </c>
      <c r="K74" s="30">
        <v>44206</v>
      </c>
      <c r="L74" s="31">
        <f t="shared" si="42"/>
        <v>84.999999975703545</v>
      </c>
      <c r="M74" s="20">
        <v>2</v>
      </c>
      <c r="N74" s="20" t="s">
        <v>283</v>
      </c>
      <c r="O74" s="20" t="s">
        <v>300</v>
      </c>
      <c r="P74" s="32" t="s">
        <v>39</v>
      </c>
      <c r="Q74" s="20" t="s">
        <v>40</v>
      </c>
      <c r="R74" s="2">
        <f t="shared" si="48"/>
        <v>1749225.82</v>
      </c>
      <c r="S74" s="2">
        <v>1749225.82</v>
      </c>
      <c r="T74" s="2">
        <v>0</v>
      </c>
      <c r="U74" s="33">
        <f t="shared" si="43"/>
        <v>267528.65999999997</v>
      </c>
      <c r="V74" s="2">
        <v>267528.65999999997</v>
      </c>
      <c r="W74" s="2">
        <v>0</v>
      </c>
      <c r="X74" s="33">
        <f t="shared" si="47"/>
        <v>41158.25</v>
      </c>
      <c r="Y74" s="2">
        <v>41158.25</v>
      </c>
      <c r="Z74" s="2">
        <v>0</v>
      </c>
      <c r="AA74" s="2">
        <f>AB74+AC74</f>
        <v>0</v>
      </c>
      <c r="AB74" s="2">
        <v>0</v>
      </c>
      <c r="AC74" s="2">
        <v>0</v>
      </c>
      <c r="AD74" s="2">
        <f t="shared" si="39"/>
        <v>2057912.73</v>
      </c>
      <c r="AE74" s="2">
        <v>0</v>
      </c>
      <c r="AF74" s="2">
        <f t="shared" si="40"/>
        <v>2057912.73</v>
      </c>
      <c r="AG74" s="39" t="s">
        <v>69</v>
      </c>
      <c r="AH74" s="34"/>
      <c r="AI74" s="35">
        <v>166775.70000000001</v>
      </c>
      <c r="AJ74" s="36">
        <v>25506.87</v>
      </c>
      <c r="AK74" s="28">
        <f t="shared" si="44"/>
        <v>1582450.12</v>
      </c>
      <c r="AL74" s="28">
        <f t="shared" si="45"/>
        <v>242021.78999999998</v>
      </c>
      <c r="AM74" s="29">
        <f t="shared" si="46"/>
        <v>9.5342578467084368E-2</v>
      </c>
    </row>
    <row r="75" spans="1:39" ht="192" customHeight="1" x14ac:dyDescent="0.25">
      <c r="A75" s="10">
        <v>72</v>
      </c>
      <c r="B75" s="37">
        <v>128948</v>
      </c>
      <c r="C75" s="20">
        <v>664</v>
      </c>
      <c r="D75" s="15" t="s">
        <v>31</v>
      </c>
      <c r="E75" s="14" t="s">
        <v>79</v>
      </c>
      <c r="F75" s="40" t="s">
        <v>303</v>
      </c>
      <c r="G75" s="15" t="s">
        <v>290</v>
      </c>
      <c r="H75" s="20" t="s">
        <v>35</v>
      </c>
      <c r="I75" s="16" t="s">
        <v>304</v>
      </c>
      <c r="J75" s="30">
        <v>43712</v>
      </c>
      <c r="K75" s="30">
        <v>44443</v>
      </c>
      <c r="L75" s="31">
        <f t="shared" si="42"/>
        <v>85.000000102885792</v>
      </c>
      <c r="M75" s="20">
        <v>2</v>
      </c>
      <c r="N75" s="20" t="s">
        <v>283</v>
      </c>
      <c r="O75" s="20" t="s">
        <v>292</v>
      </c>
      <c r="P75" s="32" t="s">
        <v>39</v>
      </c>
      <c r="Q75" s="20" t="s">
        <v>40</v>
      </c>
      <c r="R75" s="2">
        <f t="shared" si="48"/>
        <v>826158.81</v>
      </c>
      <c r="S75" s="2">
        <v>826158.81</v>
      </c>
      <c r="T75" s="2">
        <v>0</v>
      </c>
      <c r="U75" s="33">
        <f t="shared" si="43"/>
        <v>126353.7</v>
      </c>
      <c r="V75" s="2">
        <v>126353.7</v>
      </c>
      <c r="W75" s="2">
        <v>0</v>
      </c>
      <c r="X75" s="33">
        <f t="shared" si="47"/>
        <v>19439.03</v>
      </c>
      <c r="Y75" s="2">
        <v>19439.03</v>
      </c>
      <c r="Z75" s="2">
        <v>0</v>
      </c>
      <c r="AA75" s="2">
        <f>AB75+AC75</f>
        <v>0</v>
      </c>
      <c r="AB75" s="2">
        <v>0</v>
      </c>
      <c r="AC75" s="2">
        <v>0</v>
      </c>
      <c r="AD75" s="2">
        <f t="shared" si="39"/>
        <v>971951.54</v>
      </c>
      <c r="AE75" s="2">
        <v>0</v>
      </c>
      <c r="AF75" s="2">
        <f t="shared" si="40"/>
        <v>971951.54</v>
      </c>
      <c r="AG75" s="39" t="s">
        <v>69</v>
      </c>
      <c r="AH75" s="34"/>
      <c r="AI75" s="35">
        <v>66845.990000000005</v>
      </c>
      <c r="AJ75" s="36">
        <v>10223.5</v>
      </c>
      <c r="AK75" s="28">
        <f t="shared" si="44"/>
        <v>759312.82000000007</v>
      </c>
      <c r="AL75" s="28">
        <f t="shared" si="45"/>
        <v>116130.2</v>
      </c>
      <c r="AM75" s="29">
        <f t="shared" si="46"/>
        <v>8.0911792249724959E-2</v>
      </c>
    </row>
    <row r="76" spans="1:39" ht="192" customHeight="1" x14ac:dyDescent="0.25">
      <c r="A76" s="10">
        <v>73</v>
      </c>
      <c r="B76" s="44">
        <v>135741</v>
      </c>
      <c r="C76" s="45">
        <v>772</v>
      </c>
      <c r="D76" s="46" t="s">
        <v>31</v>
      </c>
      <c r="E76" s="14" t="s">
        <v>1826</v>
      </c>
      <c r="F76" s="40" t="s">
        <v>1832</v>
      </c>
      <c r="G76" s="15" t="s">
        <v>290</v>
      </c>
      <c r="H76" s="20" t="s">
        <v>35</v>
      </c>
      <c r="I76" s="16" t="s">
        <v>1833</v>
      </c>
      <c r="J76" s="47">
        <v>43949</v>
      </c>
      <c r="K76" s="47">
        <v>44467</v>
      </c>
      <c r="L76" s="48">
        <f t="shared" si="42"/>
        <v>85</v>
      </c>
      <c r="M76" s="45">
        <v>2</v>
      </c>
      <c r="N76" s="45" t="s">
        <v>283</v>
      </c>
      <c r="O76" s="45" t="s">
        <v>292</v>
      </c>
      <c r="P76" s="49" t="s">
        <v>39</v>
      </c>
      <c r="Q76" s="45" t="s">
        <v>40</v>
      </c>
      <c r="R76" s="50">
        <f t="shared" si="48"/>
        <v>849255.4</v>
      </c>
      <c r="S76" s="50">
        <v>849255.4</v>
      </c>
      <c r="T76" s="50">
        <v>0</v>
      </c>
      <c r="U76" s="51">
        <f t="shared" si="43"/>
        <v>129886.12</v>
      </c>
      <c r="V76" s="50">
        <v>129886.12</v>
      </c>
      <c r="W76" s="50">
        <v>0</v>
      </c>
      <c r="X76" s="51">
        <f t="shared" si="47"/>
        <v>19982.48</v>
      </c>
      <c r="Y76" s="50">
        <v>19982.48</v>
      </c>
      <c r="Z76" s="50">
        <v>0</v>
      </c>
      <c r="AA76" s="50">
        <f>AB76+AC76</f>
        <v>0</v>
      </c>
      <c r="AB76" s="50">
        <v>0</v>
      </c>
      <c r="AC76" s="50">
        <v>0</v>
      </c>
      <c r="AD76" s="50">
        <f t="shared" si="39"/>
        <v>999124</v>
      </c>
      <c r="AE76" s="50">
        <v>0</v>
      </c>
      <c r="AF76" s="50">
        <f t="shared" si="40"/>
        <v>999124</v>
      </c>
      <c r="AG76" s="39" t="s">
        <v>69</v>
      </c>
      <c r="AH76" s="34"/>
      <c r="AI76" s="35">
        <v>0</v>
      </c>
      <c r="AJ76" s="36">
        <v>0</v>
      </c>
      <c r="AK76" s="28">
        <f t="shared" si="44"/>
        <v>849255.4</v>
      </c>
      <c r="AL76" s="28">
        <f t="shared" si="45"/>
        <v>129886.12</v>
      </c>
      <c r="AM76" s="29">
        <f t="shared" si="46"/>
        <v>0</v>
      </c>
    </row>
    <row r="77" spans="1:39" ht="192" customHeight="1" x14ac:dyDescent="0.25">
      <c r="A77" s="10">
        <v>74</v>
      </c>
      <c r="B77" s="37">
        <v>118879</v>
      </c>
      <c r="C77" s="20">
        <v>452</v>
      </c>
      <c r="D77" s="15" t="s">
        <v>54</v>
      </c>
      <c r="E77" s="14" t="s">
        <v>55</v>
      </c>
      <c r="F77" s="15" t="s">
        <v>305</v>
      </c>
      <c r="G77" s="20" t="s">
        <v>306</v>
      </c>
      <c r="H77" s="20" t="s">
        <v>35</v>
      </c>
      <c r="I77" s="15" t="s">
        <v>307</v>
      </c>
      <c r="J77" s="30">
        <v>43293</v>
      </c>
      <c r="K77" s="30">
        <v>43781</v>
      </c>
      <c r="L77" s="31">
        <f t="shared" si="42"/>
        <v>85</v>
      </c>
      <c r="M77" s="20">
        <v>3</v>
      </c>
      <c r="N77" s="20" t="s">
        <v>308</v>
      </c>
      <c r="O77" s="20" t="s">
        <v>308</v>
      </c>
      <c r="P77" s="20" t="s">
        <v>39</v>
      </c>
      <c r="Q77" s="20" t="s">
        <v>40</v>
      </c>
      <c r="R77" s="35">
        <v>338205.65</v>
      </c>
      <c r="S77" s="35">
        <v>338205.65</v>
      </c>
      <c r="T77" s="35">
        <v>0</v>
      </c>
      <c r="U77" s="33">
        <f t="shared" si="43"/>
        <v>51725.57</v>
      </c>
      <c r="V77" s="35">
        <v>51725.57</v>
      </c>
      <c r="W77" s="35">
        <v>0</v>
      </c>
      <c r="X77" s="33">
        <f t="shared" si="47"/>
        <v>7957.78</v>
      </c>
      <c r="Y77" s="35">
        <v>7957.78</v>
      </c>
      <c r="Z77" s="35">
        <v>0</v>
      </c>
      <c r="AA77" s="2">
        <v>0</v>
      </c>
      <c r="AB77" s="35">
        <v>0</v>
      </c>
      <c r="AC77" s="35">
        <v>0</v>
      </c>
      <c r="AD77" s="35">
        <f t="shared" si="39"/>
        <v>397889.00000000006</v>
      </c>
      <c r="AE77" s="39">
        <v>0</v>
      </c>
      <c r="AF77" s="35">
        <f t="shared" si="40"/>
        <v>397889.00000000006</v>
      </c>
      <c r="AG77" s="24" t="s">
        <v>41</v>
      </c>
      <c r="AH77" s="70" t="s">
        <v>309</v>
      </c>
      <c r="AI77" s="35">
        <v>324878.98</v>
      </c>
      <c r="AJ77" s="36">
        <v>49687.360000000001</v>
      </c>
      <c r="AK77" s="28">
        <f t="shared" si="44"/>
        <v>13326.670000000042</v>
      </c>
      <c r="AL77" s="28">
        <f t="shared" si="45"/>
        <v>2038.2099999999991</v>
      </c>
      <c r="AM77" s="29">
        <f t="shared" si="46"/>
        <v>0.96059595692739008</v>
      </c>
    </row>
    <row r="78" spans="1:39" ht="192" customHeight="1" x14ac:dyDescent="0.25">
      <c r="A78" s="10">
        <v>75</v>
      </c>
      <c r="B78" s="37">
        <v>118774</v>
      </c>
      <c r="C78" s="20">
        <v>442</v>
      </c>
      <c r="D78" s="15" t="s">
        <v>54</v>
      </c>
      <c r="E78" s="14" t="s">
        <v>55</v>
      </c>
      <c r="F78" s="15" t="s">
        <v>310</v>
      </c>
      <c r="G78" s="20" t="s">
        <v>311</v>
      </c>
      <c r="H78" s="20"/>
      <c r="I78" s="15" t="s">
        <v>312</v>
      </c>
      <c r="J78" s="30">
        <v>43341</v>
      </c>
      <c r="K78" s="30">
        <v>43798</v>
      </c>
      <c r="L78" s="31">
        <f t="shared" si="42"/>
        <v>84.999996337824783</v>
      </c>
      <c r="M78" s="20">
        <v>3</v>
      </c>
      <c r="N78" s="20" t="s">
        <v>308</v>
      </c>
      <c r="O78" s="20" t="s">
        <v>308</v>
      </c>
      <c r="P78" s="20" t="s">
        <v>39</v>
      </c>
      <c r="Q78" s="20" t="s">
        <v>40</v>
      </c>
      <c r="R78" s="35">
        <f t="shared" ref="R78:R85" si="49">S78+T78</f>
        <v>220497.36</v>
      </c>
      <c r="S78" s="35">
        <v>220497.36</v>
      </c>
      <c r="T78" s="35">
        <v>0</v>
      </c>
      <c r="U78" s="33">
        <f t="shared" si="43"/>
        <v>33723.14</v>
      </c>
      <c r="V78" s="76">
        <v>33723.14</v>
      </c>
      <c r="W78" s="35">
        <v>0</v>
      </c>
      <c r="X78" s="33">
        <f t="shared" si="47"/>
        <v>5188.17</v>
      </c>
      <c r="Y78" s="35">
        <v>5188.17</v>
      </c>
      <c r="Z78" s="35">
        <v>0</v>
      </c>
      <c r="AA78" s="2">
        <f t="shared" ref="AA78:AA85" si="50">AB78+AC78</f>
        <v>0</v>
      </c>
      <c r="AB78" s="35">
        <v>0</v>
      </c>
      <c r="AC78" s="35">
        <v>0</v>
      </c>
      <c r="AD78" s="2">
        <f t="shared" si="39"/>
        <v>259408.67</v>
      </c>
      <c r="AE78" s="39"/>
      <c r="AF78" s="2">
        <f t="shared" si="40"/>
        <v>259408.67</v>
      </c>
      <c r="AG78" s="24" t="s">
        <v>41</v>
      </c>
      <c r="AH78" s="70" t="s">
        <v>35</v>
      </c>
      <c r="AI78" s="35">
        <v>202807.57</v>
      </c>
      <c r="AJ78" s="36">
        <v>31017.620000000003</v>
      </c>
      <c r="AK78" s="28">
        <f t="shared" si="44"/>
        <v>17689.789999999979</v>
      </c>
      <c r="AL78" s="28">
        <f t="shared" si="45"/>
        <v>2705.5199999999968</v>
      </c>
      <c r="AM78" s="29">
        <f t="shared" si="46"/>
        <v>0.91977323447319292</v>
      </c>
    </row>
    <row r="79" spans="1:39" ht="192" customHeight="1" x14ac:dyDescent="0.25">
      <c r="A79" s="10">
        <v>76</v>
      </c>
      <c r="B79" s="37">
        <v>119901</v>
      </c>
      <c r="C79" s="20">
        <v>486</v>
      </c>
      <c r="D79" s="20" t="s">
        <v>47</v>
      </c>
      <c r="E79" s="14" t="s">
        <v>48</v>
      </c>
      <c r="F79" s="15" t="s">
        <v>313</v>
      </c>
      <c r="G79" s="20" t="s">
        <v>306</v>
      </c>
      <c r="H79" s="20" t="s">
        <v>132</v>
      </c>
      <c r="I79" s="16" t="s">
        <v>314</v>
      </c>
      <c r="J79" s="30">
        <v>43377</v>
      </c>
      <c r="K79" s="30">
        <v>43925</v>
      </c>
      <c r="L79" s="31">
        <f t="shared" si="42"/>
        <v>85.000004041383775</v>
      </c>
      <c r="M79" s="20">
        <v>3</v>
      </c>
      <c r="N79" s="20" t="s">
        <v>308</v>
      </c>
      <c r="O79" s="20" t="s">
        <v>315</v>
      </c>
      <c r="P79" s="20" t="s">
        <v>39</v>
      </c>
      <c r="Q79" s="20" t="s">
        <v>293</v>
      </c>
      <c r="R79" s="35">
        <f t="shared" si="49"/>
        <v>420648.02</v>
      </c>
      <c r="S79" s="35">
        <v>420648.02</v>
      </c>
      <c r="T79" s="41">
        <v>0</v>
      </c>
      <c r="U79" s="33">
        <f t="shared" si="43"/>
        <v>64334.38</v>
      </c>
      <c r="V79" s="77">
        <v>64334.38</v>
      </c>
      <c r="W79" s="41">
        <v>0</v>
      </c>
      <c r="X79" s="33">
        <f t="shared" si="47"/>
        <v>9897.6</v>
      </c>
      <c r="Y79" s="35">
        <v>9897.6</v>
      </c>
      <c r="Z79" s="35">
        <v>0</v>
      </c>
      <c r="AA79" s="2">
        <f t="shared" si="50"/>
        <v>0</v>
      </c>
      <c r="AB79" s="41">
        <v>0</v>
      </c>
      <c r="AC79" s="41">
        <v>0</v>
      </c>
      <c r="AD79" s="2">
        <f t="shared" si="39"/>
        <v>494880</v>
      </c>
      <c r="AE79" s="39"/>
      <c r="AF79" s="2">
        <f t="shared" si="40"/>
        <v>494880</v>
      </c>
      <c r="AG79" s="39" t="s">
        <v>41</v>
      </c>
      <c r="AH79" s="39" t="s">
        <v>316</v>
      </c>
      <c r="AI79" s="35">
        <v>334831.23</v>
      </c>
      <c r="AJ79" s="36">
        <v>51209.450000000019</v>
      </c>
      <c r="AK79" s="28">
        <f t="shared" si="44"/>
        <v>85816.790000000037</v>
      </c>
      <c r="AL79" s="28">
        <f t="shared" si="45"/>
        <v>13124.929999999978</v>
      </c>
      <c r="AM79" s="29">
        <f t="shared" si="46"/>
        <v>0.79598907894538518</v>
      </c>
    </row>
    <row r="80" spans="1:39" ht="192" customHeight="1" x14ac:dyDescent="0.25">
      <c r="A80" s="10">
        <v>77</v>
      </c>
      <c r="B80" s="37">
        <v>126537</v>
      </c>
      <c r="C80" s="20">
        <v>569</v>
      </c>
      <c r="D80" s="15" t="s">
        <v>31</v>
      </c>
      <c r="E80" s="14" t="s">
        <v>65</v>
      </c>
      <c r="F80" s="15" t="s">
        <v>317</v>
      </c>
      <c r="G80" s="20" t="s">
        <v>306</v>
      </c>
      <c r="H80" s="20" t="s">
        <v>132</v>
      </c>
      <c r="I80" s="16" t="s">
        <v>318</v>
      </c>
      <c r="J80" s="30">
        <v>43567</v>
      </c>
      <c r="K80" s="30">
        <v>44451</v>
      </c>
      <c r="L80" s="31">
        <f t="shared" si="42"/>
        <v>84.999999931518204</v>
      </c>
      <c r="M80" s="20">
        <v>3</v>
      </c>
      <c r="N80" s="20" t="s">
        <v>308</v>
      </c>
      <c r="O80" s="20" t="s">
        <v>315</v>
      </c>
      <c r="P80" s="20" t="s">
        <v>39</v>
      </c>
      <c r="Q80" s="20" t="s">
        <v>293</v>
      </c>
      <c r="R80" s="35">
        <f t="shared" si="49"/>
        <v>3103013.95</v>
      </c>
      <c r="S80" s="35">
        <v>3103013.95</v>
      </c>
      <c r="T80" s="38">
        <v>0</v>
      </c>
      <c r="U80" s="33">
        <f t="shared" si="43"/>
        <v>474578.61</v>
      </c>
      <c r="V80" s="77">
        <v>474578.61</v>
      </c>
      <c r="W80" s="38">
        <v>0</v>
      </c>
      <c r="X80" s="33">
        <f t="shared" si="47"/>
        <v>73012.09</v>
      </c>
      <c r="Y80" s="35">
        <v>73012.09</v>
      </c>
      <c r="Z80" s="38">
        <v>0</v>
      </c>
      <c r="AA80" s="2">
        <f t="shared" si="50"/>
        <v>0</v>
      </c>
      <c r="AB80" s="38">
        <v>0</v>
      </c>
      <c r="AC80" s="38">
        <v>0</v>
      </c>
      <c r="AD80" s="2">
        <f t="shared" si="39"/>
        <v>3650604.65</v>
      </c>
      <c r="AE80" s="35">
        <v>0</v>
      </c>
      <c r="AF80" s="2">
        <f t="shared" si="40"/>
        <v>3650604.65</v>
      </c>
      <c r="AG80" s="39" t="s">
        <v>69</v>
      </c>
      <c r="AH80" s="39" t="s">
        <v>319</v>
      </c>
      <c r="AI80" s="35">
        <v>24615.340000000004</v>
      </c>
      <c r="AJ80" s="36">
        <v>654.30999999999995</v>
      </c>
      <c r="AK80" s="28">
        <f t="shared" si="44"/>
        <v>3078398.6100000003</v>
      </c>
      <c r="AL80" s="28">
        <f t="shared" si="45"/>
        <v>473924.3</v>
      </c>
      <c r="AM80" s="29">
        <f t="shared" si="46"/>
        <v>7.9327197352754408E-3</v>
      </c>
    </row>
    <row r="81" spans="1:39" ht="192" customHeight="1" x14ac:dyDescent="0.25">
      <c r="A81" s="10">
        <v>78</v>
      </c>
      <c r="B81" s="37">
        <v>129241</v>
      </c>
      <c r="C81" s="37">
        <v>650</v>
      </c>
      <c r="D81" s="15" t="s">
        <v>31</v>
      </c>
      <c r="E81" s="14" t="s">
        <v>79</v>
      </c>
      <c r="F81" s="40" t="s">
        <v>320</v>
      </c>
      <c r="G81" s="20" t="s">
        <v>321</v>
      </c>
      <c r="H81" s="20" t="s">
        <v>35</v>
      </c>
      <c r="I81" s="16" t="s">
        <v>322</v>
      </c>
      <c r="J81" s="30">
        <v>43608</v>
      </c>
      <c r="K81" s="30">
        <v>44462</v>
      </c>
      <c r="L81" s="31">
        <f t="shared" si="42"/>
        <v>85.000000168986716</v>
      </c>
      <c r="M81" s="20">
        <v>3</v>
      </c>
      <c r="N81" s="20" t="s">
        <v>308</v>
      </c>
      <c r="O81" s="20" t="s">
        <v>315</v>
      </c>
      <c r="P81" s="20" t="s">
        <v>39</v>
      </c>
      <c r="Q81" s="20" t="s">
        <v>293</v>
      </c>
      <c r="R81" s="35">
        <f t="shared" si="49"/>
        <v>2514990.63</v>
      </c>
      <c r="S81" s="35">
        <v>2514990.63</v>
      </c>
      <c r="T81" s="38">
        <v>0</v>
      </c>
      <c r="U81" s="33">
        <f t="shared" si="43"/>
        <v>384645.62</v>
      </c>
      <c r="V81" s="77">
        <v>384645.62</v>
      </c>
      <c r="W81" s="38">
        <v>0</v>
      </c>
      <c r="X81" s="33">
        <f t="shared" si="47"/>
        <v>59176.25</v>
      </c>
      <c r="Y81" s="35">
        <v>59176.25</v>
      </c>
      <c r="Z81" s="35">
        <v>0</v>
      </c>
      <c r="AA81" s="2">
        <f t="shared" si="50"/>
        <v>0</v>
      </c>
      <c r="AB81" s="38">
        <v>0</v>
      </c>
      <c r="AC81" s="38">
        <v>0</v>
      </c>
      <c r="AD81" s="2">
        <f t="shared" si="39"/>
        <v>2958812.5</v>
      </c>
      <c r="AE81" s="35">
        <v>0</v>
      </c>
      <c r="AF81" s="2">
        <f t="shared" si="40"/>
        <v>2958812.5</v>
      </c>
      <c r="AG81" s="39" t="s">
        <v>69</v>
      </c>
      <c r="AH81" s="39"/>
      <c r="AI81" s="35">
        <v>81663.7</v>
      </c>
      <c r="AJ81" s="36">
        <v>9110.66</v>
      </c>
      <c r="AK81" s="28">
        <f t="shared" si="44"/>
        <v>2433326.9299999997</v>
      </c>
      <c r="AL81" s="28">
        <f t="shared" si="45"/>
        <v>375534.96</v>
      </c>
      <c r="AM81" s="29">
        <f t="shared" si="46"/>
        <v>3.247077703824288E-2</v>
      </c>
    </row>
    <row r="82" spans="1:39" ht="192" customHeight="1" x14ac:dyDescent="0.25">
      <c r="A82" s="10">
        <v>79</v>
      </c>
      <c r="B82" s="37">
        <v>129152</v>
      </c>
      <c r="C82" s="37">
        <v>656</v>
      </c>
      <c r="D82" s="15" t="str">
        <f>D81</f>
        <v>AP 2/11i/2.1</v>
      </c>
      <c r="E82" s="14" t="str">
        <f>E81</f>
        <v>CP 12 less/2018</v>
      </c>
      <c r="F82" s="40" t="s">
        <v>323</v>
      </c>
      <c r="G82" s="37" t="s">
        <v>311</v>
      </c>
      <c r="H82" s="20" t="s">
        <v>35</v>
      </c>
      <c r="I82" s="16" t="s">
        <v>324</v>
      </c>
      <c r="J82" s="30">
        <v>43621</v>
      </c>
      <c r="K82" s="30">
        <v>44352</v>
      </c>
      <c r="L82" s="31">
        <f t="shared" si="42"/>
        <v>85.000000171199162</v>
      </c>
      <c r="M82" s="20">
        <f>M81</f>
        <v>3</v>
      </c>
      <c r="N82" s="20" t="str">
        <f>N81</f>
        <v>CĂLĂRAȘI</v>
      </c>
      <c r="O82" s="20" t="s">
        <v>315</v>
      </c>
      <c r="P82" s="20" t="s">
        <v>39</v>
      </c>
      <c r="Q82" s="20" t="s">
        <v>293</v>
      </c>
      <c r="R82" s="35">
        <f t="shared" si="49"/>
        <v>2482488.84</v>
      </c>
      <c r="S82" s="35">
        <v>2482488.84</v>
      </c>
      <c r="T82" s="38">
        <v>0</v>
      </c>
      <c r="U82" s="33">
        <f t="shared" si="43"/>
        <v>379674.76</v>
      </c>
      <c r="V82" s="77">
        <v>379674.76</v>
      </c>
      <c r="W82" s="38">
        <v>0</v>
      </c>
      <c r="X82" s="33">
        <f t="shared" si="47"/>
        <v>58411.5</v>
      </c>
      <c r="Y82" s="35">
        <v>58411.5</v>
      </c>
      <c r="Z82" s="35">
        <v>0</v>
      </c>
      <c r="AA82" s="2">
        <f t="shared" si="50"/>
        <v>0</v>
      </c>
      <c r="AB82" s="38">
        <v>0</v>
      </c>
      <c r="AC82" s="38">
        <v>0</v>
      </c>
      <c r="AD82" s="2">
        <f t="shared" si="39"/>
        <v>2920575.0999999996</v>
      </c>
      <c r="AE82" s="35">
        <v>11900</v>
      </c>
      <c r="AF82" s="2">
        <f t="shared" si="40"/>
        <v>2932475.0999999996</v>
      </c>
      <c r="AG82" s="39" t="s">
        <v>69</v>
      </c>
      <c r="AH82" s="39"/>
      <c r="AI82" s="35">
        <v>80009.94</v>
      </c>
      <c r="AJ82" s="36">
        <v>12236.81</v>
      </c>
      <c r="AK82" s="28">
        <f t="shared" si="44"/>
        <v>2402478.9</v>
      </c>
      <c r="AL82" s="28">
        <f t="shared" si="45"/>
        <v>367437.95</v>
      </c>
      <c r="AM82" s="29">
        <f t="shared" si="46"/>
        <v>3.2229727969290696E-2</v>
      </c>
    </row>
    <row r="83" spans="1:39" ht="192" customHeight="1" x14ac:dyDescent="0.25">
      <c r="A83" s="10">
        <v>80</v>
      </c>
      <c r="B83" s="37">
        <v>120791</v>
      </c>
      <c r="C83" s="20">
        <v>88</v>
      </c>
      <c r="D83" s="15" t="s">
        <v>31</v>
      </c>
      <c r="E83" s="14" t="s">
        <v>32</v>
      </c>
      <c r="F83" s="15" t="s">
        <v>325</v>
      </c>
      <c r="G83" s="15" t="s">
        <v>326</v>
      </c>
      <c r="H83" s="32" t="s">
        <v>51</v>
      </c>
      <c r="I83" s="61" t="s">
        <v>327</v>
      </c>
      <c r="J83" s="30">
        <v>43180</v>
      </c>
      <c r="K83" s="30">
        <v>43667</v>
      </c>
      <c r="L83" s="31">
        <f>R83/AD83*100</f>
        <v>84.174275146898083</v>
      </c>
      <c r="M83" s="20">
        <v>5</v>
      </c>
      <c r="N83" s="20" t="s">
        <v>328</v>
      </c>
      <c r="O83" s="20" t="s">
        <v>329</v>
      </c>
      <c r="P83" s="32" t="s">
        <v>39</v>
      </c>
      <c r="Q83" s="20" t="s">
        <v>40</v>
      </c>
      <c r="R83" s="33">
        <f t="shared" si="49"/>
        <v>316573.06</v>
      </c>
      <c r="S83" s="2">
        <v>316573.06</v>
      </c>
      <c r="T83" s="2">
        <v>0</v>
      </c>
      <c r="U83" s="33">
        <f t="shared" si="43"/>
        <v>51997.5</v>
      </c>
      <c r="V83" s="2">
        <v>51997.5</v>
      </c>
      <c r="W83" s="2">
        <v>0</v>
      </c>
      <c r="X83" s="33">
        <f t="shared" si="47"/>
        <v>7521.85</v>
      </c>
      <c r="Y83" s="2">
        <v>7521.85</v>
      </c>
      <c r="Z83" s="2">
        <v>0</v>
      </c>
      <c r="AA83" s="2">
        <f t="shared" si="50"/>
        <v>0</v>
      </c>
      <c r="AB83" s="2">
        <v>0</v>
      </c>
      <c r="AC83" s="2">
        <v>0</v>
      </c>
      <c r="AD83" s="2">
        <f>R83+U83+X83+AA83</f>
        <v>376092.41</v>
      </c>
      <c r="AE83" s="2">
        <v>0</v>
      </c>
      <c r="AF83" s="2">
        <f>AD83+AE83</f>
        <v>376092.41</v>
      </c>
      <c r="AG83" s="24" t="s">
        <v>41</v>
      </c>
      <c r="AH83" s="34" t="s">
        <v>35</v>
      </c>
      <c r="AI83" s="35">
        <v>249647.94000000006</v>
      </c>
      <c r="AJ83" s="36">
        <v>41012.170000000006</v>
      </c>
      <c r="AK83" s="28">
        <f t="shared" si="44"/>
        <v>66925.119999999937</v>
      </c>
      <c r="AL83" s="28">
        <f t="shared" si="45"/>
        <v>10985.329999999994</v>
      </c>
      <c r="AM83" s="29">
        <f t="shared" si="46"/>
        <v>0.78859502447870977</v>
      </c>
    </row>
    <row r="84" spans="1:39" ht="192" customHeight="1" x14ac:dyDescent="0.25">
      <c r="A84" s="10">
        <v>81</v>
      </c>
      <c r="B84" s="20">
        <v>128386</v>
      </c>
      <c r="C84" s="20">
        <v>657</v>
      </c>
      <c r="D84" s="15" t="s">
        <v>31</v>
      </c>
      <c r="E84" s="14" t="s">
        <v>79</v>
      </c>
      <c r="F84" s="15" t="s">
        <v>330</v>
      </c>
      <c r="G84" s="78" t="s">
        <v>331</v>
      </c>
      <c r="H84" s="20" t="s">
        <v>35</v>
      </c>
      <c r="I84" s="79" t="s">
        <v>332</v>
      </c>
      <c r="J84" s="30">
        <v>43613</v>
      </c>
      <c r="K84" s="30">
        <v>44436</v>
      </c>
      <c r="L84" s="31">
        <f>R84/AD84*100</f>
        <v>84.999999925635848</v>
      </c>
      <c r="M84" s="20">
        <v>5</v>
      </c>
      <c r="N84" s="20" t="s">
        <v>328</v>
      </c>
      <c r="O84" s="78" t="s">
        <v>331</v>
      </c>
      <c r="P84" s="32" t="s">
        <v>39</v>
      </c>
      <c r="Q84" s="20" t="s">
        <v>40</v>
      </c>
      <c r="R84" s="33">
        <f t="shared" si="49"/>
        <v>3429071.68</v>
      </c>
      <c r="S84" s="2">
        <v>3429071.68</v>
      </c>
      <c r="T84" s="2">
        <v>0</v>
      </c>
      <c r="U84" s="33">
        <f t="shared" si="43"/>
        <v>524446.26</v>
      </c>
      <c r="V84" s="2">
        <v>524446.26</v>
      </c>
      <c r="W84" s="2">
        <v>0</v>
      </c>
      <c r="X84" s="33">
        <f t="shared" si="47"/>
        <v>80684.039999999994</v>
      </c>
      <c r="Y84" s="2">
        <v>80684.039999999994</v>
      </c>
      <c r="Z84" s="2">
        <v>0</v>
      </c>
      <c r="AA84" s="2">
        <f t="shared" si="50"/>
        <v>0</v>
      </c>
      <c r="AB84" s="2">
        <v>0</v>
      </c>
      <c r="AC84" s="2">
        <v>0</v>
      </c>
      <c r="AD84" s="2">
        <f>R84+U84+X84+AA84</f>
        <v>4034201.9800000004</v>
      </c>
      <c r="AE84" s="2">
        <v>0</v>
      </c>
      <c r="AF84" s="2">
        <f>AD84+AE84</f>
        <v>4034201.9800000004</v>
      </c>
      <c r="AG84" s="39" t="s">
        <v>69</v>
      </c>
      <c r="AH84" s="34"/>
      <c r="AI84" s="35">
        <v>361593.44</v>
      </c>
      <c r="AJ84" s="36">
        <v>55302.51</v>
      </c>
      <c r="AK84" s="28">
        <f t="shared" si="44"/>
        <v>3067478.24</v>
      </c>
      <c r="AL84" s="28">
        <f t="shared" si="45"/>
        <v>469143.75</v>
      </c>
      <c r="AM84" s="29">
        <f t="shared" si="46"/>
        <v>0.10544936756760943</v>
      </c>
    </row>
    <row r="85" spans="1:39" ht="192" customHeight="1" x14ac:dyDescent="0.25">
      <c r="A85" s="10">
        <v>82</v>
      </c>
      <c r="B85" s="20">
        <v>128739</v>
      </c>
      <c r="C85" s="20">
        <v>630</v>
      </c>
      <c r="D85" s="15" t="s">
        <v>31</v>
      </c>
      <c r="E85" s="14" t="s">
        <v>79</v>
      </c>
      <c r="F85" s="40" t="s">
        <v>333</v>
      </c>
      <c r="G85" s="15" t="s">
        <v>326</v>
      </c>
      <c r="H85" s="20" t="s">
        <v>264</v>
      </c>
      <c r="I85" s="79" t="s">
        <v>334</v>
      </c>
      <c r="J85" s="30">
        <v>43654</v>
      </c>
      <c r="K85" s="30">
        <v>44447</v>
      </c>
      <c r="L85" s="31">
        <f>R85/AD85*100</f>
        <v>85.000000167824169</v>
      </c>
      <c r="M85" s="20">
        <v>5</v>
      </c>
      <c r="N85" s="20" t="s">
        <v>328</v>
      </c>
      <c r="O85" s="20" t="s">
        <v>329</v>
      </c>
      <c r="P85" s="32" t="s">
        <v>39</v>
      </c>
      <c r="Q85" s="20" t="s">
        <v>40</v>
      </c>
      <c r="R85" s="33">
        <f t="shared" si="49"/>
        <v>2532412.23</v>
      </c>
      <c r="S85" s="2">
        <v>2532412.23</v>
      </c>
      <c r="T85" s="2">
        <v>0</v>
      </c>
      <c r="U85" s="33">
        <f t="shared" si="43"/>
        <v>387310.1</v>
      </c>
      <c r="V85" s="2">
        <v>387310.1</v>
      </c>
      <c r="W85" s="2">
        <v>0</v>
      </c>
      <c r="X85" s="33">
        <f t="shared" si="47"/>
        <v>59586.17</v>
      </c>
      <c r="Y85" s="2">
        <v>59586.17</v>
      </c>
      <c r="Z85" s="2">
        <v>0</v>
      </c>
      <c r="AA85" s="2">
        <f t="shared" si="50"/>
        <v>0</v>
      </c>
      <c r="AB85" s="2">
        <v>0</v>
      </c>
      <c r="AC85" s="2">
        <v>0</v>
      </c>
      <c r="AD85" s="2">
        <f>R85+U85+X85+AA85</f>
        <v>2979308.5</v>
      </c>
      <c r="AE85" s="2">
        <v>0</v>
      </c>
      <c r="AF85" s="2">
        <f>AD85+AE85</f>
        <v>2979308.5</v>
      </c>
      <c r="AG85" s="39" t="s">
        <v>69</v>
      </c>
      <c r="AH85" s="34"/>
      <c r="AI85" s="35">
        <v>61209.43</v>
      </c>
      <c r="AJ85" s="36">
        <v>4447.07</v>
      </c>
      <c r="AK85" s="28">
        <f t="shared" si="44"/>
        <v>2471202.7999999998</v>
      </c>
      <c r="AL85" s="28">
        <f t="shared" si="45"/>
        <v>382863.02999999997</v>
      </c>
      <c r="AM85" s="29">
        <f t="shared" si="46"/>
        <v>2.4170405305616455E-2</v>
      </c>
    </row>
    <row r="86" spans="1:39" ht="192" customHeight="1" x14ac:dyDescent="0.25">
      <c r="A86" s="10">
        <v>83</v>
      </c>
      <c r="B86" s="37">
        <v>120583</v>
      </c>
      <c r="C86" s="20">
        <v>77</v>
      </c>
      <c r="D86" s="15" t="s">
        <v>31</v>
      </c>
      <c r="E86" s="14" t="s">
        <v>32</v>
      </c>
      <c r="F86" s="15" t="s">
        <v>335</v>
      </c>
      <c r="G86" s="15" t="s">
        <v>336</v>
      </c>
      <c r="H86" s="20" t="s">
        <v>35</v>
      </c>
      <c r="I86" s="55" t="s">
        <v>337</v>
      </c>
      <c r="J86" s="30">
        <v>43126</v>
      </c>
      <c r="K86" s="30">
        <v>43369</v>
      </c>
      <c r="L86" s="31">
        <f t="shared" ref="L86:L92" si="51">R86/AD86*100</f>
        <v>84.999999763641128</v>
      </c>
      <c r="M86" s="20">
        <v>6</v>
      </c>
      <c r="N86" s="20" t="s">
        <v>338</v>
      </c>
      <c r="O86" s="20" t="s">
        <v>339</v>
      </c>
      <c r="P86" s="32" t="s">
        <v>39</v>
      </c>
      <c r="Q86" s="20" t="s">
        <v>40</v>
      </c>
      <c r="R86" s="33">
        <f t="shared" ref="R86:R92" si="52">S86+T86</f>
        <v>359622.64</v>
      </c>
      <c r="S86" s="2">
        <v>359622.64</v>
      </c>
      <c r="T86" s="2">
        <v>0</v>
      </c>
      <c r="U86" s="33">
        <f t="shared" si="43"/>
        <v>55001.11</v>
      </c>
      <c r="V86" s="2">
        <v>55001.11</v>
      </c>
      <c r="W86" s="2">
        <v>0</v>
      </c>
      <c r="X86" s="33">
        <f t="shared" si="47"/>
        <v>8461.7099999999991</v>
      </c>
      <c r="Y86" s="2">
        <v>8461.7099999999991</v>
      </c>
      <c r="Z86" s="2">
        <v>0</v>
      </c>
      <c r="AA86" s="2">
        <f t="shared" ref="AA86:AA92" si="53">AB86+AC86</f>
        <v>0</v>
      </c>
      <c r="AB86" s="2">
        <v>0</v>
      </c>
      <c r="AC86" s="2">
        <v>0</v>
      </c>
      <c r="AD86" s="2">
        <f t="shared" ref="AD86:AD92" si="54">R86+U86+X86+AA86</f>
        <v>423085.46</v>
      </c>
      <c r="AE86" s="2">
        <v>0</v>
      </c>
      <c r="AF86" s="2">
        <f t="shared" ref="AF86:AF92" si="55">AD86+AE86</f>
        <v>423085.46</v>
      </c>
      <c r="AG86" s="24" t="s">
        <v>41</v>
      </c>
      <c r="AH86" s="34" t="s">
        <v>35</v>
      </c>
      <c r="AI86" s="35">
        <v>300081.25</v>
      </c>
      <c r="AJ86" s="36">
        <v>45894.78</v>
      </c>
      <c r="AK86" s="28">
        <f t="shared" si="44"/>
        <v>59541.390000000014</v>
      </c>
      <c r="AL86" s="28">
        <f t="shared" si="45"/>
        <v>9106.3300000000017</v>
      </c>
      <c r="AM86" s="29">
        <f t="shared" si="46"/>
        <v>0.83443369972480042</v>
      </c>
    </row>
    <row r="87" spans="1:39" ht="192" customHeight="1" x14ac:dyDescent="0.25">
      <c r="A87" s="10">
        <v>84</v>
      </c>
      <c r="B87" s="37">
        <v>110080</v>
      </c>
      <c r="C87" s="20">
        <v>118</v>
      </c>
      <c r="D87" s="15" t="s">
        <v>31</v>
      </c>
      <c r="E87" s="14" t="s">
        <v>32</v>
      </c>
      <c r="F87" s="15" t="s">
        <v>340</v>
      </c>
      <c r="G87" s="15" t="s">
        <v>341</v>
      </c>
      <c r="H87" s="20" t="s">
        <v>35</v>
      </c>
      <c r="I87" s="16" t="s">
        <v>342</v>
      </c>
      <c r="J87" s="30">
        <v>43171</v>
      </c>
      <c r="K87" s="30">
        <v>43658</v>
      </c>
      <c r="L87" s="31">
        <f t="shared" si="51"/>
        <v>84.9999996799977</v>
      </c>
      <c r="M87" s="20">
        <v>6</v>
      </c>
      <c r="N87" s="20" t="s">
        <v>338</v>
      </c>
      <c r="O87" s="20" t="s">
        <v>343</v>
      </c>
      <c r="P87" s="32" t="s">
        <v>39</v>
      </c>
      <c r="Q87" s="20" t="s">
        <v>40</v>
      </c>
      <c r="R87" s="33">
        <f t="shared" si="52"/>
        <v>531246.18999999994</v>
      </c>
      <c r="S87" s="2">
        <v>531246.18999999994</v>
      </c>
      <c r="T87" s="2">
        <v>0</v>
      </c>
      <c r="U87" s="33">
        <f t="shared" si="43"/>
        <v>81249.41</v>
      </c>
      <c r="V87" s="2">
        <v>81249.41</v>
      </c>
      <c r="W87" s="2">
        <v>0</v>
      </c>
      <c r="X87" s="33">
        <f t="shared" si="47"/>
        <v>12499.92</v>
      </c>
      <c r="Y87" s="2">
        <v>12499.92</v>
      </c>
      <c r="Z87" s="2">
        <v>0</v>
      </c>
      <c r="AA87" s="2">
        <f t="shared" si="53"/>
        <v>0</v>
      </c>
      <c r="AB87" s="2">
        <v>0</v>
      </c>
      <c r="AC87" s="2">
        <v>0</v>
      </c>
      <c r="AD87" s="2">
        <f t="shared" si="54"/>
        <v>624995.52</v>
      </c>
      <c r="AE87" s="2">
        <v>0</v>
      </c>
      <c r="AF87" s="2">
        <f t="shared" si="55"/>
        <v>624995.52</v>
      </c>
      <c r="AG87" s="24" t="s">
        <v>41</v>
      </c>
      <c r="AH87" s="34" t="s">
        <v>35</v>
      </c>
      <c r="AI87" s="35">
        <v>425198.5</v>
      </c>
      <c r="AJ87" s="36">
        <v>65030.360000000015</v>
      </c>
      <c r="AK87" s="28">
        <f t="shared" si="44"/>
        <v>106047.68999999994</v>
      </c>
      <c r="AL87" s="28">
        <f t="shared" si="45"/>
        <v>16219.049999999988</v>
      </c>
      <c r="AM87" s="29">
        <f t="shared" si="46"/>
        <v>0.80037938719146395</v>
      </c>
    </row>
    <row r="88" spans="1:39" ht="192" customHeight="1" x14ac:dyDescent="0.25">
      <c r="A88" s="10">
        <v>85</v>
      </c>
      <c r="B88" s="37">
        <v>120588</v>
      </c>
      <c r="C88" s="20">
        <v>104</v>
      </c>
      <c r="D88" s="15" t="s">
        <v>31</v>
      </c>
      <c r="E88" s="14" t="s">
        <v>32</v>
      </c>
      <c r="F88" s="15" t="s">
        <v>344</v>
      </c>
      <c r="G88" s="15" t="s">
        <v>345</v>
      </c>
      <c r="H88" s="20" t="s">
        <v>35</v>
      </c>
      <c r="I88" s="16" t="s">
        <v>346</v>
      </c>
      <c r="J88" s="30">
        <v>43201</v>
      </c>
      <c r="K88" s="30">
        <v>43749</v>
      </c>
      <c r="L88" s="31">
        <f t="shared" si="51"/>
        <v>85.000000000000014</v>
      </c>
      <c r="M88" s="20">
        <v>6</v>
      </c>
      <c r="N88" s="20" t="s">
        <v>338</v>
      </c>
      <c r="O88" s="20" t="s">
        <v>343</v>
      </c>
      <c r="P88" s="32" t="s">
        <v>39</v>
      </c>
      <c r="Q88" s="20" t="s">
        <v>40</v>
      </c>
      <c r="R88" s="33">
        <f t="shared" si="52"/>
        <v>354701.26</v>
      </c>
      <c r="S88" s="2">
        <v>354701.26</v>
      </c>
      <c r="T88" s="2">
        <v>0</v>
      </c>
      <c r="U88" s="33">
        <f t="shared" si="43"/>
        <v>54248.43</v>
      </c>
      <c r="V88" s="2">
        <v>54248.43</v>
      </c>
      <c r="W88" s="2">
        <v>0</v>
      </c>
      <c r="X88" s="33">
        <f t="shared" si="47"/>
        <v>8345.91</v>
      </c>
      <c r="Y88" s="2">
        <v>8345.91</v>
      </c>
      <c r="Z88" s="2">
        <v>0</v>
      </c>
      <c r="AA88" s="2">
        <f t="shared" si="53"/>
        <v>0</v>
      </c>
      <c r="AB88" s="2">
        <v>0</v>
      </c>
      <c r="AC88" s="2">
        <v>0</v>
      </c>
      <c r="AD88" s="2">
        <f t="shared" si="54"/>
        <v>417295.6</v>
      </c>
      <c r="AE88" s="2">
        <v>0</v>
      </c>
      <c r="AF88" s="2">
        <f t="shared" si="55"/>
        <v>417295.6</v>
      </c>
      <c r="AG88" s="24" t="s">
        <v>41</v>
      </c>
      <c r="AH88" s="34" t="s">
        <v>347</v>
      </c>
      <c r="AI88" s="35">
        <v>329554.89999999997</v>
      </c>
      <c r="AJ88" s="36">
        <v>50402.509999999987</v>
      </c>
      <c r="AK88" s="28">
        <f t="shared" si="44"/>
        <v>25146.360000000044</v>
      </c>
      <c r="AL88" s="28">
        <f t="shared" si="45"/>
        <v>3845.9200000000128</v>
      </c>
      <c r="AM88" s="29">
        <f t="shared" si="46"/>
        <v>0.929105523899182</v>
      </c>
    </row>
    <row r="89" spans="1:39" ht="192" customHeight="1" x14ac:dyDescent="0.25">
      <c r="A89" s="10">
        <v>86</v>
      </c>
      <c r="B89" s="37">
        <v>126485</v>
      </c>
      <c r="C89" s="20">
        <v>546</v>
      </c>
      <c r="D89" s="15" t="s">
        <v>31</v>
      </c>
      <c r="E89" s="14" t="s">
        <v>65</v>
      </c>
      <c r="F89" s="15" t="s">
        <v>348</v>
      </c>
      <c r="G89" s="15" t="s">
        <v>349</v>
      </c>
      <c r="H89" s="20" t="s">
        <v>35</v>
      </c>
      <c r="I89" s="16" t="s">
        <v>350</v>
      </c>
      <c r="J89" s="30">
        <v>43455</v>
      </c>
      <c r="K89" s="30">
        <v>44186</v>
      </c>
      <c r="L89" s="31">
        <f t="shared" si="51"/>
        <v>85</v>
      </c>
      <c r="M89" s="20">
        <v>6</v>
      </c>
      <c r="N89" s="20" t="s">
        <v>338</v>
      </c>
      <c r="O89" s="20" t="s">
        <v>339</v>
      </c>
      <c r="P89" s="32" t="s">
        <v>39</v>
      </c>
      <c r="Q89" s="20" t="s">
        <v>40</v>
      </c>
      <c r="R89" s="33">
        <f t="shared" si="52"/>
        <v>3257796.87</v>
      </c>
      <c r="S89" s="2">
        <v>3257796.87</v>
      </c>
      <c r="T89" s="2">
        <v>0</v>
      </c>
      <c r="U89" s="33">
        <f t="shared" si="43"/>
        <v>498251.29</v>
      </c>
      <c r="V89" s="2">
        <v>498251.29</v>
      </c>
      <c r="W89" s="2">
        <v>0</v>
      </c>
      <c r="X89" s="33">
        <f t="shared" si="47"/>
        <v>76654.039999999994</v>
      </c>
      <c r="Y89" s="2">
        <v>76654.039999999994</v>
      </c>
      <c r="Z89" s="2">
        <v>0</v>
      </c>
      <c r="AA89" s="2">
        <f t="shared" si="53"/>
        <v>0</v>
      </c>
      <c r="AB89" s="2">
        <v>0</v>
      </c>
      <c r="AC89" s="2">
        <v>0</v>
      </c>
      <c r="AD89" s="2">
        <f t="shared" si="54"/>
        <v>3832702.2</v>
      </c>
      <c r="AE89" s="2"/>
      <c r="AF89" s="2">
        <f t="shared" si="55"/>
        <v>3832702.2</v>
      </c>
      <c r="AG89" s="39" t="s">
        <v>69</v>
      </c>
      <c r="AH89" s="34" t="s">
        <v>35</v>
      </c>
      <c r="AI89" s="35">
        <v>526834.94999999995</v>
      </c>
      <c r="AJ89" s="36">
        <v>80574.740000000005</v>
      </c>
      <c r="AK89" s="28">
        <f t="shared" si="44"/>
        <v>2730961.92</v>
      </c>
      <c r="AL89" s="28">
        <f t="shared" si="45"/>
        <v>417676.55</v>
      </c>
      <c r="AM89" s="29">
        <f t="shared" si="46"/>
        <v>0.16171510104004733</v>
      </c>
    </row>
    <row r="90" spans="1:39" ht="192" customHeight="1" x14ac:dyDescent="0.25">
      <c r="A90" s="10">
        <v>87</v>
      </c>
      <c r="B90" s="37">
        <v>126214</v>
      </c>
      <c r="C90" s="20">
        <v>527</v>
      </c>
      <c r="D90" s="15" t="s">
        <v>31</v>
      </c>
      <c r="E90" s="14" t="s">
        <v>65</v>
      </c>
      <c r="F90" s="15" t="s">
        <v>351</v>
      </c>
      <c r="G90" s="15" t="s">
        <v>352</v>
      </c>
      <c r="H90" s="20" t="s">
        <v>35</v>
      </c>
      <c r="I90" s="16" t="s">
        <v>353</v>
      </c>
      <c r="J90" s="30">
        <v>43507</v>
      </c>
      <c r="K90" s="30">
        <v>44419</v>
      </c>
      <c r="L90" s="31">
        <f t="shared" si="51"/>
        <v>85.000000000000014</v>
      </c>
      <c r="M90" s="20">
        <v>6</v>
      </c>
      <c r="N90" s="20" t="s">
        <v>338</v>
      </c>
      <c r="O90" s="20" t="s">
        <v>343</v>
      </c>
      <c r="P90" s="32" t="s">
        <v>39</v>
      </c>
      <c r="Q90" s="20" t="s">
        <v>40</v>
      </c>
      <c r="R90" s="33">
        <f t="shared" si="52"/>
        <v>3316506.2</v>
      </c>
      <c r="S90" s="2">
        <v>3316506.2</v>
      </c>
      <c r="T90" s="2">
        <v>0</v>
      </c>
      <c r="U90" s="33">
        <f t="shared" si="43"/>
        <v>507230.36</v>
      </c>
      <c r="V90" s="2">
        <v>507230.36</v>
      </c>
      <c r="W90" s="2">
        <v>0</v>
      </c>
      <c r="X90" s="33">
        <f t="shared" si="47"/>
        <v>78035.44</v>
      </c>
      <c r="Y90" s="2">
        <v>78035.44</v>
      </c>
      <c r="Z90" s="2">
        <v>0</v>
      </c>
      <c r="AA90" s="2">
        <f t="shared" si="53"/>
        <v>0</v>
      </c>
      <c r="AB90" s="2">
        <v>0</v>
      </c>
      <c r="AC90" s="2">
        <v>0</v>
      </c>
      <c r="AD90" s="2">
        <f t="shared" si="54"/>
        <v>3901772</v>
      </c>
      <c r="AE90" s="2">
        <v>0</v>
      </c>
      <c r="AF90" s="2">
        <f t="shared" si="55"/>
        <v>3901772</v>
      </c>
      <c r="AG90" s="39" t="s">
        <v>69</v>
      </c>
      <c r="AH90" s="34" t="s">
        <v>354</v>
      </c>
      <c r="AI90" s="35">
        <v>369954.38</v>
      </c>
      <c r="AJ90" s="36">
        <v>56581.259999999995</v>
      </c>
      <c r="AK90" s="28">
        <f t="shared" si="44"/>
        <v>2946551.8200000003</v>
      </c>
      <c r="AL90" s="28">
        <f t="shared" si="45"/>
        <v>450649.1</v>
      </c>
      <c r="AM90" s="29">
        <f t="shared" si="46"/>
        <v>0.11154943114534205</v>
      </c>
    </row>
    <row r="91" spans="1:39" ht="192" customHeight="1" x14ac:dyDescent="0.25">
      <c r="A91" s="10">
        <v>88</v>
      </c>
      <c r="B91" s="20">
        <v>128473</v>
      </c>
      <c r="C91" s="20">
        <v>629</v>
      </c>
      <c r="D91" s="15" t="str">
        <f>$D$201</f>
        <v>AP2/11i /2.1</v>
      </c>
      <c r="E91" s="14" t="s">
        <v>79</v>
      </c>
      <c r="F91" s="15" t="s">
        <v>355</v>
      </c>
      <c r="G91" s="15" t="s">
        <v>356</v>
      </c>
      <c r="H91" s="20" t="s">
        <v>132</v>
      </c>
      <c r="I91" s="16" t="s">
        <v>357</v>
      </c>
      <c r="J91" s="30">
        <v>43640</v>
      </c>
      <c r="K91" s="30">
        <v>44554</v>
      </c>
      <c r="L91" s="31">
        <f t="shared" si="51"/>
        <v>85</v>
      </c>
      <c r="M91" s="20">
        <v>6</v>
      </c>
      <c r="N91" s="20" t="s">
        <v>338</v>
      </c>
      <c r="O91" s="20" t="s">
        <v>343</v>
      </c>
      <c r="P91" s="32" t="s">
        <v>39</v>
      </c>
      <c r="Q91" s="20" t="s">
        <v>40</v>
      </c>
      <c r="R91" s="33">
        <f t="shared" si="52"/>
        <v>2773068.05</v>
      </c>
      <c r="S91" s="2">
        <v>2773068.05</v>
      </c>
      <c r="T91" s="2">
        <v>0</v>
      </c>
      <c r="U91" s="33">
        <f t="shared" si="43"/>
        <v>424116.29</v>
      </c>
      <c r="V91" s="2">
        <v>424116.29</v>
      </c>
      <c r="W91" s="2">
        <v>0</v>
      </c>
      <c r="X91" s="33">
        <f t="shared" si="47"/>
        <v>65248.66</v>
      </c>
      <c r="Y91" s="2">
        <v>65248.66</v>
      </c>
      <c r="Z91" s="2">
        <v>0</v>
      </c>
      <c r="AA91" s="2">
        <f t="shared" si="53"/>
        <v>0</v>
      </c>
      <c r="AB91" s="2">
        <v>0</v>
      </c>
      <c r="AC91" s="2">
        <v>0</v>
      </c>
      <c r="AD91" s="2">
        <f t="shared" si="54"/>
        <v>3262433</v>
      </c>
      <c r="AE91" s="2">
        <v>102340</v>
      </c>
      <c r="AF91" s="2">
        <f t="shared" si="55"/>
        <v>3364773</v>
      </c>
      <c r="AG91" s="39" t="s">
        <v>69</v>
      </c>
      <c r="AH91" s="34"/>
      <c r="AI91" s="35">
        <v>147591.18</v>
      </c>
      <c r="AJ91" s="36">
        <f>3183.31+19389.45</f>
        <v>22572.760000000002</v>
      </c>
      <c r="AK91" s="28">
        <f t="shared" si="44"/>
        <v>2625476.8699999996</v>
      </c>
      <c r="AL91" s="28">
        <f t="shared" si="45"/>
        <v>401543.52999999997</v>
      </c>
      <c r="AM91" s="29">
        <f t="shared" si="46"/>
        <v>5.3223064612496616E-2</v>
      </c>
    </row>
    <row r="92" spans="1:39" ht="192" customHeight="1" x14ac:dyDescent="0.25">
      <c r="A92" s="10">
        <v>89</v>
      </c>
      <c r="B92" s="20">
        <v>129268</v>
      </c>
      <c r="C92" s="80">
        <v>655</v>
      </c>
      <c r="D92" s="15" t="str">
        <f>$D$201</f>
        <v>AP2/11i /2.1</v>
      </c>
      <c r="E92" s="14" t="s">
        <v>79</v>
      </c>
      <c r="F92" s="15" t="s">
        <v>358</v>
      </c>
      <c r="G92" s="15" t="s">
        <v>359</v>
      </c>
      <c r="H92" s="20" t="s">
        <v>35</v>
      </c>
      <c r="I92" s="16" t="s">
        <v>360</v>
      </c>
      <c r="J92" s="30">
        <v>43634</v>
      </c>
      <c r="K92" s="30">
        <v>44214</v>
      </c>
      <c r="L92" s="31">
        <f t="shared" si="51"/>
        <v>84.999999999999986</v>
      </c>
      <c r="M92" s="20">
        <v>5</v>
      </c>
      <c r="N92" s="20" t="s">
        <v>338</v>
      </c>
      <c r="O92" s="20" t="s">
        <v>361</v>
      </c>
      <c r="P92" s="32" t="str">
        <f>P90</f>
        <v>APL</v>
      </c>
      <c r="Q92" s="20" t="str">
        <f>Q90</f>
        <v>119 - Investiții în capacitatea instituțională și în eficiența administrațiilor și a serviciilor publice la nivel național, regional și local, în perspectiva realizării de reforme, a unei mai bune legiferări și a bunei guvernanțe</v>
      </c>
      <c r="R92" s="33">
        <f t="shared" si="52"/>
        <v>1962765.6</v>
      </c>
      <c r="S92" s="2">
        <v>1962765.6</v>
      </c>
      <c r="T92" s="2">
        <v>0</v>
      </c>
      <c r="U92" s="33">
        <f t="shared" si="43"/>
        <v>300187.68</v>
      </c>
      <c r="V92" s="2">
        <v>300187.68</v>
      </c>
      <c r="W92" s="2">
        <v>0</v>
      </c>
      <c r="X92" s="33">
        <f t="shared" si="47"/>
        <v>46182.720000000001</v>
      </c>
      <c r="Y92" s="2">
        <v>46182.720000000001</v>
      </c>
      <c r="Z92" s="2">
        <v>0</v>
      </c>
      <c r="AA92" s="2">
        <f t="shared" si="53"/>
        <v>0</v>
      </c>
      <c r="AB92" s="2">
        <v>0</v>
      </c>
      <c r="AC92" s="2">
        <v>0</v>
      </c>
      <c r="AD92" s="2">
        <f t="shared" si="54"/>
        <v>2309136.0000000005</v>
      </c>
      <c r="AE92" s="2">
        <v>0</v>
      </c>
      <c r="AF92" s="2">
        <f t="shared" si="55"/>
        <v>2309136.0000000005</v>
      </c>
      <c r="AG92" s="39" t="s">
        <v>69</v>
      </c>
      <c r="AH92" s="34" t="s">
        <v>35</v>
      </c>
      <c r="AI92" s="35">
        <v>72304.61</v>
      </c>
      <c r="AJ92" s="36">
        <f>3424.24+3817.06+3817.06</f>
        <v>11058.359999999999</v>
      </c>
      <c r="AK92" s="28">
        <f t="shared" si="44"/>
        <v>1890460.99</v>
      </c>
      <c r="AL92" s="28">
        <f t="shared" si="45"/>
        <v>289129.32</v>
      </c>
      <c r="AM92" s="29">
        <f t="shared" si="46"/>
        <v>3.6838127792743057E-2</v>
      </c>
    </row>
    <row r="93" spans="1:39" ht="192" customHeight="1" x14ac:dyDescent="0.25">
      <c r="A93" s="10">
        <v>90</v>
      </c>
      <c r="B93" s="20">
        <v>120642</v>
      </c>
      <c r="C93" s="20">
        <v>84</v>
      </c>
      <c r="D93" s="15" t="s">
        <v>31</v>
      </c>
      <c r="E93" s="14" t="s">
        <v>32</v>
      </c>
      <c r="F93" s="15" t="s">
        <v>362</v>
      </c>
      <c r="G93" s="20" t="s">
        <v>363</v>
      </c>
      <c r="H93" s="20" t="s">
        <v>35</v>
      </c>
      <c r="I93" s="61" t="s">
        <v>364</v>
      </c>
      <c r="J93" s="30">
        <v>43175</v>
      </c>
      <c r="K93" s="30">
        <v>43662</v>
      </c>
      <c r="L93" s="31">
        <f t="shared" ref="L93:L101" si="56">R93/AD93*100</f>
        <v>84.999998716744599</v>
      </c>
      <c r="M93" s="20">
        <v>2</v>
      </c>
      <c r="N93" s="20" t="s">
        <v>365</v>
      </c>
      <c r="O93" s="20" t="s">
        <v>366</v>
      </c>
      <c r="P93" s="32" t="s">
        <v>39</v>
      </c>
      <c r="Q93" s="20" t="s">
        <v>40</v>
      </c>
      <c r="R93" s="33">
        <f t="shared" ref="R93:R101" si="57">S93+T93</f>
        <v>264951.15000000002</v>
      </c>
      <c r="S93" s="2">
        <v>264951.15000000002</v>
      </c>
      <c r="T93" s="2">
        <v>0</v>
      </c>
      <c r="U93" s="33">
        <f t="shared" si="43"/>
        <v>40521.949999999997</v>
      </c>
      <c r="V93" s="2">
        <v>40521.949999999997</v>
      </c>
      <c r="W93" s="2">
        <v>0</v>
      </c>
      <c r="X93" s="33">
        <f t="shared" si="47"/>
        <v>6234.14</v>
      </c>
      <c r="Y93" s="2">
        <v>6234.14</v>
      </c>
      <c r="Z93" s="2">
        <v>0</v>
      </c>
      <c r="AA93" s="2">
        <f t="shared" ref="AA93:AA106" si="58">AB93+AC93</f>
        <v>0</v>
      </c>
      <c r="AB93" s="2">
        <v>0</v>
      </c>
      <c r="AC93" s="2">
        <v>0</v>
      </c>
      <c r="AD93" s="2">
        <f t="shared" ref="AD93:AD101" si="59">R93+U93+X93+AA93</f>
        <v>311707.24000000005</v>
      </c>
      <c r="AE93" s="2">
        <v>0</v>
      </c>
      <c r="AF93" s="2">
        <f t="shared" ref="AF93:AF101" si="60">AD93+AE93</f>
        <v>311707.24000000005</v>
      </c>
      <c r="AG93" s="24" t="s">
        <v>41</v>
      </c>
      <c r="AH93" s="34" t="s">
        <v>35</v>
      </c>
      <c r="AI93" s="35">
        <v>161700.98000000001</v>
      </c>
      <c r="AJ93" s="36">
        <v>24730.730000000003</v>
      </c>
      <c r="AK93" s="28">
        <f t="shared" si="44"/>
        <v>103250.17000000001</v>
      </c>
      <c r="AL93" s="28">
        <f t="shared" si="45"/>
        <v>15791.219999999994</v>
      </c>
      <c r="AM93" s="29">
        <f t="shared" si="46"/>
        <v>0.61030488072990052</v>
      </c>
    </row>
    <row r="94" spans="1:39" ht="192" customHeight="1" x14ac:dyDescent="0.25">
      <c r="A94" s="10">
        <v>91</v>
      </c>
      <c r="B94" s="37">
        <v>116521</v>
      </c>
      <c r="C94" s="20">
        <v>405</v>
      </c>
      <c r="D94" s="15" t="s">
        <v>54</v>
      </c>
      <c r="E94" s="14" t="s">
        <v>55</v>
      </c>
      <c r="F94" s="15" t="s">
        <v>367</v>
      </c>
      <c r="G94" s="15" t="s">
        <v>368</v>
      </c>
      <c r="H94" s="20" t="s">
        <v>35</v>
      </c>
      <c r="I94" s="15" t="s">
        <v>369</v>
      </c>
      <c r="J94" s="30">
        <v>43304</v>
      </c>
      <c r="K94" s="30">
        <v>43792</v>
      </c>
      <c r="L94" s="31">
        <f t="shared" si="56"/>
        <v>85.000001706742694</v>
      </c>
      <c r="M94" s="20">
        <v>2</v>
      </c>
      <c r="N94" s="20" t="s">
        <v>365</v>
      </c>
      <c r="O94" s="20" t="s">
        <v>365</v>
      </c>
      <c r="P94" s="20" t="s">
        <v>39</v>
      </c>
      <c r="Q94" s="20" t="s">
        <v>40</v>
      </c>
      <c r="R94" s="33">
        <f t="shared" si="57"/>
        <v>249012.35</v>
      </c>
      <c r="S94" s="35">
        <v>249012.35</v>
      </c>
      <c r="T94" s="35">
        <v>0</v>
      </c>
      <c r="U94" s="33">
        <f t="shared" si="43"/>
        <v>38084.239999999998</v>
      </c>
      <c r="V94" s="35">
        <v>38084.239999999998</v>
      </c>
      <c r="W94" s="35">
        <v>0</v>
      </c>
      <c r="X94" s="33">
        <f t="shared" si="47"/>
        <v>5859.11</v>
      </c>
      <c r="Y94" s="35">
        <v>5859.11</v>
      </c>
      <c r="Z94" s="35">
        <v>0</v>
      </c>
      <c r="AA94" s="2">
        <f t="shared" si="58"/>
        <v>0</v>
      </c>
      <c r="AB94" s="35">
        <v>0</v>
      </c>
      <c r="AC94" s="35">
        <v>0</v>
      </c>
      <c r="AD94" s="2">
        <f t="shared" si="59"/>
        <v>292955.7</v>
      </c>
      <c r="AE94" s="39">
        <v>0</v>
      </c>
      <c r="AF94" s="2">
        <f t="shared" si="60"/>
        <v>292955.7</v>
      </c>
      <c r="AG94" s="24" t="s">
        <v>41</v>
      </c>
      <c r="AH94" s="39"/>
      <c r="AI94" s="35">
        <v>201942.88</v>
      </c>
      <c r="AJ94" s="36">
        <f>9579.42+5275.29+1268.05+14762.58</f>
        <v>30885.339999999997</v>
      </c>
      <c r="AK94" s="28">
        <f t="shared" si="44"/>
        <v>47069.47</v>
      </c>
      <c r="AL94" s="28">
        <f t="shared" si="45"/>
        <v>7198.9000000000015</v>
      </c>
      <c r="AM94" s="29">
        <f t="shared" si="46"/>
        <v>0.81097535925426989</v>
      </c>
    </row>
    <row r="95" spans="1:39" ht="192" customHeight="1" x14ac:dyDescent="0.25">
      <c r="A95" s="10">
        <v>92</v>
      </c>
      <c r="B95" s="37">
        <v>126409</v>
      </c>
      <c r="C95" s="20">
        <v>551</v>
      </c>
      <c r="D95" s="15" t="s">
        <v>31</v>
      </c>
      <c r="E95" s="14" t="s">
        <v>65</v>
      </c>
      <c r="F95" s="15" t="s">
        <v>370</v>
      </c>
      <c r="G95" s="15" t="s">
        <v>368</v>
      </c>
      <c r="H95" s="20" t="s">
        <v>35</v>
      </c>
      <c r="I95" s="15" t="s">
        <v>371</v>
      </c>
      <c r="J95" s="30">
        <v>43439</v>
      </c>
      <c r="K95" s="30">
        <v>44321</v>
      </c>
      <c r="L95" s="31">
        <f t="shared" si="56"/>
        <v>85.000000331630361</v>
      </c>
      <c r="M95" s="20">
        <v>2</v>
      </c>
      <c r="N95" s="20" t="s">
        <v>365</v>
      </c>
      <c r="O95" s="20" t="s">
        <v>365</v>
      </c>
      <c r="P95" s="20" t="s">
        <v>39</v>
      </c>
      <c r="Q95" s="20" t="s">
        <v>40</v>
      </c>
      <c r="R95" s="33">
        <f t="shared" si="57"/>
        <v>3075713.52</v>
      </c>
      <c r="S95" s="35">
        <v>3075713.52</v>
      </c>
      <c r="T95" s="35">
        <v>0</v>
      </c>
      <c r="U95" s="33">
        <f t="shared" si="43"/>
        <v>470403.23</v>
      </c>
      <c r="V95" s="35">
        <v>470403.23</v>
      </c>
      <c r="W95" s="35">
        <v>0</v>
      </c>
      <c r="X95" s="33">
        <f t="shared" si="47"/>
        <v>72369.73000000001</v>
      </c>
      <c r="Y95" s="35">
        <v>72369.73000000001</v>
      </c>
      <c r="Z95" s="35">
        <v>0</v>
      </c>
      <c r="AA95" s="2">
        <f t="shared" si="58"/>
        <v>0</v>
      </c>
      <c r="AB95" s="35">
        <v>0</v>
      </c>
      <c r="AC95" s="35">
        <v>0</v>
      </c>
      <c r="AD95" s="2">
        <f t="shared" si="59"/>
        <v>3618486.48</v>
      </c>
      <c r="AE95" s="39">
        <v>0</v>
      </c>
      <c r="AF95" s="2">
        <f t="shared" si="60"/>
        <v>3618486.48</v>
      </c>
      <c r="AG95" s="39" t="s">
        <v>69</v>
      </c>
      <c r="AH95" s="39"/>
      <c r="AI95" s="35">
        <v>183107.25</v>
      </c>
      <c r="AJ95" s="36">
        <v>28004.63</v>
      </c>
      <c r="AK95" s="28">
        <f t="shared" si="44"/>
        <v>2892606.27</v>
      </c>
      <c r="AL95" s="28">
        <f t="shared" si="45"/>
        <v>442398.6</v>
      </c>
      <c r="AM95" s="29">
        <f t="shared" si="46"/>
        <v>5.9533259131364091E-2</v>
      </c>
    </row>
    <row r="96" spans="1:39" ht="192" customHeight="1" x14ac:dyDescent="0.25">
      <c r="A96" s="10">
        <v>93</v>
      </c>
      <c r="B96" s="37">
        <v>125754</v>
      </c>
      <c r="C96" s="20">
        <v>531</v>
      </c>
      <c r="D96" s="15" t="s">
        <v>31</v>
      </c>
      <c r="E96" s="14" t="s">
        <v>65</v>
      </c>
      <c r="F96" s="15" t="s">
        <v>372</v>
      </c>
      <c r="G96" s="15" t="s">
        <v>373</v>
      </c>
      <c r="H96" s="20" t="s">
        <v>35</v>
      </c>
      <c r="I96" s="15" t="s">
        <v>374</v>
      </c>
      <c r="J96" s="30">
        <v>43550</v>
      </c>
      <c r="K96" s="30">
        <v>44465</v>
      </c>
      <c r="L96" s="31">
        <f t="shared" si="56"/>
        <v>85</v>
      </c>
      <c r="M96" s="20">
        <v>2</v>
      </c>
      <c r="N96" s="20" t="s">
        <v>365</v>
      </c>
      <c r="O96" s="20" t="s">
        <v>365</v>
      </c>
      <c r="P96" s="20" t="s">
        <v>39</v>
      </c>
      <c r="Q96" s="20" t="s">
        <v>40</v>
      </c>
      <c r="R96" s="33">
        <f t="shared" si="57"/>
        <v>1983050</v>
      </c>
      <c r="S96" s="35">
        <v>1983050</v>
      </c>
      <c r="T96" s="35">
        <v>0</v>
      </c>
      <c r="U96" s="33">
        <f t="shared" si="43"/>
        <v>303290</v>
      </c>
      <c r="V96" s="35">
        <v>303290</v>
      </c>
      <c r="W96" s="35">
        <v>0</v>
      </c>
      <c r="X96" s="33">
        <f t="shared" si="47"/>
        <v>46660</v>
      </c>
      <c r="Y96" s="35">
        <v>46660</v>
      </c>
      <c r="Z96" s="35">
        <v>0</v>
      </c>
      <c r="AA96" s="2">
        <f t="shared" si="58"/>
        <v>0</v>
      </c>
      <c r="AB96" s="35">
        <v>0</v>
      </c>
      <c r="AC96" s="35">
        <v>0</v>
      </c>
      <c r="AD96" s="2">
        <f t="shared" si="59"/>
        <v>2333000</v>
      </c>
      <c r="AE96" s="39">
        <v>0</v>
      </c>
      <c r="AF96" s="2">
        <f t="shared" si="60"/>
        <v>2333000</v>
      </c>
      <c r="AG96" s="39" t="s">
        <v>69</v>
      </c>
      <c r="AH96" s="39"/>
      <c r="AI96" s="35">
        <v>1517.25</v>
      </c>
      <c r="AJ96" s="36">
        <v>232.05</v>
      </c>
      <c r="AK96" s="28">
        <f t="shared" si="44"/>
        <v>1981532.75</v>
      </c>
      <c r="AL96" s="28">
        <f t="shared" si="45"/>
        <v>303057.95</v>
      </c>
      <c r="AM96" s="29">
        <f t="shared" si="46"/>
        <v>7.6510930132876124E-4</v>
      </c>
    </row>
    <row r="97" spans="1:39" ht="192" customHeight="1" x14ac:dyDescent="0.25">
      <c r="A97" s="10">
        <v>94</v>
      </c>
      <c r="B97" s="37">
        <v>109686</v>
      </c>
      <c r="C97" s="37">
        <v>122</v>
      </c>
      <c r="D97" s="15" t="s">
        <v>31</v>
      </c>
      <c r="E97" s="14" t="s">
        <v>32</v>
      </c>
      <c r="F97" s="15" t="s">
        <v>375</v>
      </c>
      <c r="G97" s="15" t="s">
        <v>368</v>
      </c>
      <c r="H97" s="20" t="s">
        <v>132</v>
      </c>
      <c r="I97" s="16" t="s">
        <v>376</v>
      </c>
      <c r="J97" s="30">
        <v>43276</v>
      </c>
      <c r="K97" s="30">
        <v>43763</v>
      </c>
      <c r="L97" s="31">
        <f t="shared" si="56"/>
        <v>85.000000118226325</v>
      </c>
      <c r="M97" s="20">
        <v>2</v>
      </c>
      <c r="N97" s="20" t="s">
        <v>377</v>
      </c>
      <c r="O97" s="20" t="s">
        <v>377</v>
      </c>
      <c r="P97" s="32" t="s">
        <v>39</v>
      </c>
      <c r="Q97" s="20" t="s">
        <v>40</v>
      </c>
      <c r="R97" s="2">
        <f t="shared" si="57"/>
        <v>359480.02</v>
      </c>
      <c r="S97" s="2">
        <v>359480.02</v>
      </c>
      <c r="T97" s="2">
        <v>0</v>
      </c>
      <c r="U97" s="33">
        <f t="shared" si="43"/>
        <v>54979.3</v>
      </c>
      <c r="V97" s="2">
        <v>54979.3</v>
      </c>
      <c r="W97" s="2">
        <v>0</v>
      </c>
      <c r="X97" s="33">
        <f t="shared" si="47"/>
        <v>8458.35</v>
      </c>
      <c r="Y97" s="2">
        <v>8458.35</v>
      </c>
      <c r="Z97" s="2">
        <v>0</v>
      </c>
      <c r="AA97" s="2">
        <f t="shared" si="58"/>
        <v>0</v>
      </c>
      <c r="AB97" s="2">
        <v>0</v>
      </c>
      <c r="AC97" s="2">
        <v>0</v>
      </c>
      <c r="AD97" s="2">
        <f t="shared" si="59"/>
        <v>422917.67</v>
      </c>
      <c r="AE97" s="2">
        <v>0</v>
      </c>
      <c r="AF97" s="2">
        <f t="shared" si="60"/>
        <v>422917.67</v>
      </c>
      <c r="AG97" s="24" t="s">
        <v>41</v>
      </c>
      <c r="AH97" s="34" t="s">
        <v>35</v>
      </c>
      <c r="AI97" s="35">
        <v>258837.34</v>
      </c>
      <c r="AJ97" s="36">
        <v>39586.89</v>
      </c>
      <c r="AK97" s="28">
        <f t="shared" si="44"/>
        <v>100642.68000000002</v>
      </c>
      <c r="AL97" s="28">
        <f t="shared" si="45"/>
        <v>15392.410000000003</v>
      </c>
      <c r="AM97" s="29">
        <f t="shared" si="46"/>
        <v>0.72003261822451214</v>
      </c>
    </row>
    <row r="98" spans="1:39" ht="192" customHeight="1" x14ac:dyDescent="0.25">
      <c r="A98" s="10">
        <v>95</v>
      </c>
      <c r="B98" s="37">
        <v>126515</v>
      </c>
      <c r="C98" s="20">
        <v>547</v>
      </c>
      <c r="D98" s="15" t="s">
        <v>31</v>
      </c>
      <c r="E98" s="14" t="s">
        <v>65</v>
      </c>
      <c r="F98" s="81" t="s">
        <v>378</v>
      </c>
      <c r="G98" s="15" t="s">
        <v>379</v>
      </c>
      <c r="H98" s="20" t="s">
        <v>35</v>
      </c>
      <c r="I98" s="15" t="s">
        <v>380</v>
      </c>
      <c r="J98" s="30">
        <v>43521</v>
      </c>
      <c r="K98" s="30">
        <v>44433</v>
      </c>
      <c r="L98" s="31">
        <f t="shared" si="56"/>
        <v>84.999999929518182</v>
      </c>
      <c r="M98" s="20">
        <v>7</v>
      </c>
      <c r="N98" s="20" t="s">
        <v>381</v>
      </c>
      <c r="O98" s="20" t="s">
        <v>382</v>
      </c>
      <c r="P98" s="20" t="s">
        <v>39</v>
      </c>
      <c r="Q98" s="20" t="s">
        <v>40</v>
      </c>
      <c r="R98" s="33">
        <f t="shared" si="57"/>
        <v>2411970.2999999998</v>
      </c>
      <c r="S98" s="35">
        <v>2411970.2999999998</v>
      </c>
      <c r="T98" s="35">
        <v>0</v>
      </c>
      <c r="U98" s="33">
        <f t="shared" si="43"/>
        <v>368889.58</v>
      </c>
      <c r="V98" s="35">
        <v>368889.58</v>
      </c>
      <c r="W98" s="35">
        <v>0</v>
      </c>
      <c r="X98" s="33">
        <f t="shared" si="47"/>
        <v>56752.24</v>
      </c>
      <c r="Y98" s="35">
        <v>56752.24</v>
      </c>
      <c r="Z98" s="35">
        <v>0</v>
      </c>
      <c r="AA98" s="33">
        <f t="shared" si="58"/>
        <v>0</v>
      </c>
      <c r="AB98" s="35">
        <v>0</v>
      </c>
      <c r="AC98" s="35">
        <v>0</v>
      </c>
      <c r="AD98" s="2">
        <f t="shared" si="59"/>
        <v>2837612.12</v>
      </c>
      <c r="AE98" s="35">
        <v>72392.72</v>
      </c>
      <c r="AF98" s="2">
        <f t="shared" si="60"/>
        <v>2910004.8400000003</v>
      </c>
      <c r="AG98" s="39" t="s">
        <v>69</v>
      </c>
      <c r="AH98" s="39"/>
      <c r="AI98" s="35">
        <v>41642.35</v>
      </c>
      <c r="AJ98" s="36">
        <v>6368.83</v>
      </c>
      <c r="AK98" s="28">
        <f t="shared" si="44"/>
        <v>2370327.9499999997</v>
      </c>
      <c r="AL98" s="28">
        <f t="shared" si="45"/>
        <v>362520.75</v>
      </c>
      <c r="AM98" s="29">
        <f t="shared" si="46"/>
        <v>1.7264868477028926E-2</v>
      </c>
    </row>
    <row r="99" spans="1:39" ht="192" customHeight="1" x14ac:dyDescent="0.25">
      <c r="A99" s="10">
        <v>96</v>
      </c>
      <c r="B99" s="37">
        <v>120631</v>
      </c>
      <c r="C99" s="20">
        <v>81</v>
      </c>
      <c r="D99" s="15" t="s">
        <v>31</v>
      </c>
      <c r="E99" s="14" t="s">
        <v>32</v>
      </c>
      <c r="F99" s="62" t="s">
        <v>383</v>
      </c>
      <c r="G99" s="32" t="s">
        <v>384</v>
      </c>
      <c r="H99" s="20" t="s">
        <v>35</v>
      </c>
      <c r="I99" s="15" t="s">
        <v>385</v>
      </c>
      <c r="J99" s="30">
        <v>43129</v>
      </c>
      <c r="K99" s="30">
        <v>43614</v>
      </c>
      <c r="L99" s="31">
        <f t="shared" si="56"/>
        <v>84.999999195969949</v>
      </c>
      <c r="M99" s="20">
        <v>3</v>
      </c>
      <c r="N99" s="20" t="s">
        <v>386</v>
      </c>
      <c r="O99" s="20" t="s">
        <v>387</v>
      </c>
      <c r="P99" s="32" t="s">
        <v>39</v>
      </c>
      <c r="Q99" s="20" t="s">
        <v>40</v>
      </c>
      <c r="R99" s="2">
        <f t="shared" si="57"/>
        <v>528587.19999999995</v>
      </c>
      <c r="S99" s="64">
        <v>528587.19999999995</v>
      </c>
      <c r="T99" s="35">
        <v>0</v>
      </c>
      <c r="U99" s="33">
        <f t="shared" si="43"/>
        <v>80842.75</v>
      </c>
      <c r="V99" s="64">
        <v>80842.75</v>
      </c>
      <c r="W99" s="35">
        <v>0</v>
      </c>
      <c r="X99" s="33">
        <f t="shared" si="47"/>
        <v>12437.35</v>
      </c>
      <c r="Y99" s="64">
        <v>12437.35</v>
      </c>
      <c r="Z99" s="2">
        <v>0</v>
      </c>
      <c r="AA99" s="2">
        <f t="shared" si="58"/>
        <v>0</v>
      </c>
      <c r="AB99" s="2">
        <v>0</v>
      </c>
      <c r="AC99" s="2">
        <v>0</v>
      </c>
      <c r="AD99" s="2">
        <f t="shared" si="59"/>
        <v>621867.29999999993</v>
      </c>
      <c r="AE99" s="2">
        <v>0</v>
      </c>
      <c r="AF99" s="2">
        <f t="shared" si="60"/>
        <v>621867.29999999993</v>
      </c>
      <c r="AG99" s="24" t="s">
        <v>41</v>
      </c>
      <c r="AH99" s="34" t="s">
        <v>35</v>
      </c>
      <c r="AI99" s="35">
        <v>445145.72000000009</v>
      </c>
      <c r="AJ99" s="36">
        <v>68081.099999999919</v>
      </c>
      <c r="AK99" s="28">
        <f t="shared" si="44"/>
        <v>83441.479999999865</v>
      </c>
      <c r="AL99" s="28">
        <f t="shared" si="45"/>
        <v>12761.650000000081</v>
      </c>
      <c r="AM99" s="29">
        <f t="shared" si="46"/>
        <v>0.84214245066849924</v>
      </c>
    </row>
    <row r="100" spans="1:39" ht="192" customHeight="1" x14ac:dyDescent="0.25">
      <c r="A100" s="10">
        <v>97</v>
      </c>
      <c r="B100" s="37">
        <v>118772</v>
      </c>
      <c r="C100" s="37">
        <v>441</v>
      </c>
      <c r="D100" s="15" t="s">
        <v>54</v>
      </c>
      <c r="E100" s="14" t="s">
        <v>55</v>
      </c>
      <c r="F100" s="62" t="s">
        <v>388</v>
      </c>
      <c r="G100" s="32" t="s">
        <v>389</v>
      </c>
      <c r="H100" s="20" t="s">
        <v>35</v>
      </c>
      <c r="I100" s="15" t="s">
        <v>390</v>
      </c>
      <c r="J100" s="30">
        <v>43313</v>
      </c>
      <c r="K100" s="30">
        <v>43678</v>
      </c>
      <c r="L100" s="31">
        <f t="shared" si="56"/>
        <v>85</v>
      </c>
      <c r="M100" s="20">
        <v>3</v>
      </c>
      <c r="N100" s="20" t="s">
        <v>386</v>
      </c>
      <c r="O100" s="20" t="s">
        <v>391</v>
      </c>
      <c r="P100" s="32" t="s">
        <v>39</v>
      </c>
      <c r="Q100" s="20" t="s">
        <v>40</v>
      </c>
      <c r="R100" s="2">
        <f t="shared" si="57"/>
        <v>232055.1</v>
      </c>
      <c r="S100" s="35">
        <v>232055.1</v>
      </c>
      <c r="T100" s="35">
        <v>0</v>
      </c>
      <c r="U100" s="33">
        <f t="shared" si="43"/>
        <v>35490.78</v>
      </c>
      <c r="V100" s="35">
        <v>35490.78</v>
      </c>
      <c r="W100" s="35">
        <v>0</v>
      </c>
      <c r="X100" s="33">
        <f t="shared" si="47"/>
        <v>5460.12</v>
      </c>
      <c r="Y100" s="35">
        <v>5460.12</v>
      </c>
      <c r="Z100" s="35">
        <v>0</v>
      </c>
      <c r="AA100" s="2">
        <f t="shared" si="58"/>
        <v>0</v>
      </c>
      <c r="AB100" s="35">
        <v>0</v>
      </c>
      <c r="AC100" s="35">
        <v>0</v>
      </c>
      <c r="AD100" s="2">
        <f t="shared" si="59"/>
        <v>273006</v>
      </c>
      <c r="AE100" s="39">
        <v>0</v>
      </c>
      <c r="AF100" s="2">
        <f t="shared" si="60"/>
        <v>273006</v>
      </c>
      <c r="AG100" s="24" t="s">
        <v>41</v>
      </c>
      <c r="AH100" s="34" t="s">
        <v>35</v>
      </c>
      <c r="AI100" s="35">
        <v>226177.33000000002</v>
      </c>
      <c r="AJ100" s="36">
        <v>34591.82</v>
      </c>
      <c r="AK100" s="28">
        <f t="shared" si="44"/>
        <v>5877.7699999999895</v>
      </c>
      <c r="AL100" s="28">
        <f t="shared" si="45"/>
        <v>898.95999999999913</v>
      </c>
      <c r="AM100" s="29">
        <f t="shared" si="46"/>
        <v>0.97467080016771879</v>
      </c>
    </row>
    <row r="101" spans="1:39" ht="192" customHeight="1" x14ac:dyDescent="0.25">
      <c r="A101" s="10">
        <v>98</v>
      </c>
      <c r="B101" s="37">
        <v>129704</v>
      </c>
      <c r="C101" s="37">
        <v>671</v>
      </c>
      <c r="D101" s="82" t="s">
        <v>31</v>
      </c>
      <c r="E101" s="14" t="s">
        <v>79</v>
      </c>
      <c r="F101" s="83" t="s">
        <v>392</v>
      </c>
      <c r="G101" s="32" t="str">
        <f>$G$100</f>
        <v>Municipiul Moreni</v>
      </c>
      <c r="H101" s="20" t="s">
        <v>35</v>
      </c>
      <c r="I101" s="15" t="s">
        <v>393</v>
      </c>
      <c r="J101" s="30">
        <v>43706</v>
      </c>
      <c r="K101" s="30">
        <v>44194</v>
      </c>
      <c r="L101" s="31">
        <f t="shared" si="56"/>
        <v>84.999999926251363</v>
      </c>
      <c r="M101" s="20">
        <f>M100</f>
        <v>3</v>
      </c>
      <c r="N101" s="20" t="str">
        <f>N100</f>
        <v>Dâmbovița</v>
      </c>
      <c r="O101" s="20" t="str">
        <f>O100</f>
        <v>Moreni</v>
      </c>
      <c r="P101" s="32" t="str">
        <f>P100</f>
        <v>APL</v>
      </c>
      <c r="Q101" s="20" t="str">
        <f>Q100</f>
        <v>119 - Investiții în capacitatea instituțională și în eficiența administrațiilor și a serviciilor publice la nivel național, regional și local, în perspectiva realizării de reforme, a unei mai bune legiferări și a bunei guvernanțe</v>
      </c>
      <c r="R101" s="2">
        <f t="shared" si="57"/>
        <v>1152563.67</v>
      </c>
      <c r="S101" s="35">
        <v>1152563.67</v>
      </c>
      <c r="T101" s="35">
        <v>0</v>
      </c>
      <c r="U101" s="33">
        <f t="shared" si="43"/>
        <v>176274.44</v>
      </c>
      <c r="V101" s="35">
        <v>176274.44</v>
      </c>
      <c r="W101" s="35">
        <v>0</v>
      </c>
      <c r="X101" s="33">
        <f t="shared" si="47"/>
        <v>27119.15</v>
      </c>
      <c r="Y101" s="35">
        <v>27119.15</v>
      </c>
      <c r="Z101" s="35">
        <v>0</v>
      </c>
      <c r="AA101" s="2">
        <f t="shared" si="58"/>
        <v>0</v>
      </c>
      <c r="AB101" s="35">
        <v>0</v>
      </c>
      <c r="AC101" s="35">
        <v>0</v>
      </c>
      <c r="AD101" s="2">
        <f t="shared" si="59"/>
        <v>1355957.2599999998</v>
      </c>
      <c r="AE101" s="39">
        <v>0</v>
      </c>
      <c r="AF101" s="2">
        <f t="shared" si="60"/>
        <v>1355957.2599999998</v>
      </c>
      <c r="AG101" s="39" t="s">
        <v>69</v>
      </c>
      <c r="AH101" s="34" t="s">
        <v>35</v>
      </c>
      <c r="AI101" s="35">
        <v>122408.7</v>
      </c>
      <c r="AJ101" s="36">
        <v>13187.02</v>
      </c>
      <c r="AK101" s="28">
        <f t="shared" si="44"/>
        <v>1030154.97</v>
      </c>
      <c r="AL101" s="28">
        <f t="shared" si="45"/>
        <v>163087.42000000001</v>
      </c>
      <c r="AM101" s="29">
        <f t="shared" si="46"/>
        <v>0.10620558602198524</v>
      </c>
    </row>
    <row r="102" spans="1:39" ht="192" customHeight="1" x14ac:dyDescent="0.25">
      <c r="A102" s="10">
        <v>99</v>
      </c>
      <c r="B102" s="37">
        <v>120693</v>
      </c>
      <c r="C102" s="20">
        <v>114</v>
      </c>
      <c r="D102" s="15" t="s">
        <v>31</v>
      </c>
      <c r="E102" s="14" t="s">
        <v>32</v>
      </c>
      <c r="F102" s="63" t="s">
        <v>394</v>
      </c>
      <c r="G102" s="15" t="s">
        <v>395</v>
      </c>
      <c r="H102" s="20" t="s">
        <v>35</v>
      </c>
      <c r="I102" s="16" t="s">
        <v>396</v>
      </c>
      <c r="J102" s="30">
        <v>43145</v>
      </c>
      <c r="K102" s="30">
        <v>43630</v>
      </c>
      <c r="L102" s="31">
        <f t="shared" ref="L102:L116" si="61">R102/AD102*100</f>
        <v>85.000000594539443</v>
      </c>
      <c r="M102" s="20">
        <v>4</v>
      </c>
      <c r="N102" s="20" t="s">
        <v>397</v>
      </c>
      <c r="O102" s="20" t="s">
        <v>398</v>
      </c>
      <c r="P102" s="32" t="s">
        <v>39</v>
      </c>
      <c r="Q102" s="20" t="s">
        <v>40</v>
      </c>
      <c r="R102" s="2">
        <f t="shared" ref="R102:R116" si="62">S102+T102</f>
        <v>357419.52000000002</v>
      </c>
      <c r="S102" s="2">
        <v>357419.52000000002</v>
      </c>
      <c r="T102" s="35">
        <v>0</v>
      </c>
      <c r="U102" s="33">
        <f t="shared" si="43"/>
        <v>54664.160000000003</v>
      </c>
      <c r="V102" s="64">
        <v>54664.160000000003</v>
      </c>
      <c r="W102" s="35">
        <v>0</v>
      </c>
      <c r="X102" s="33">
        <f t="shared" si="47"/>
        <v>8409.8700000000008</v>
      </c>
      <c r="Y102" s="64">
        <v>8409.8700000000008</v>
      </c>
      <c r="Z102" s="84">
        <v>0</v>
      </c>
      <c r="AA102" s="2">
        <f t="shared" si="58"/>
        <v>0</v>
      </c>
      <c r="AB102" s="2">
        <v>0</v>
      </c>
      <c r="AC102" s="2">
        <v>0</v>
      </c>
      <c r="AD102" s="2">
        <f t="shared" ref="AD102:AD116" si="63">R102+U102+X102+AA102</f>
        <v>420493.55000000005</v>
      </c>
      <c r="AE102" s="2">
        <v>0</v>
      </c>
      <c r="AF102" s="2">
        <f t="shared" ref="AF102:AF116" si="64">AD102+AE102</f>
        <v>420493.55000000005</v>
      </c>
      <c r="AG102" s="24" t="s">
        <v>41</v>
      </c>
      <c r="AH102" s="34" t="s">
        <v>35</v>
      </c>
      <c r="AI102" s="35">
        <v>278082.99</v>
      </c>
      <c r="AJ102" s="36">
        <v>42530.380000000005</v>
      </c>
      <c r="AK102" s="28">
        <f t="shared" si="44"/>
        <v>79336.530000000028</v>
      </c>
      <c r="AL102" s="28">
        <f t="shared" si="45"/>
        <v>12133.779999999999</v>
      </c>
      <c r="AM102" s="29">
        <f t="shared" si="46"/>
        <v>0.77802966665055107</v>
      </c>
    </row>
    <row r="103" spans="1:39" ht="192" customHeight="1" x14ac:dyDescent="0.25">
      <c r="A103" s="10">
        <v>100</v>
      </c>
      <c r="B103" s="20">
        <v>119288</v>
      </c>
      <c r="C103" s="20">
        <v>487</v>
      </c>
      <c r="D103" s="20" t="s">
        <v>47</v>
      </c>
      <c r="E103" s="14" t="s">
        <v>48</v>
      </c>
      <c r="F103" s="63" t="s">
        <v>399</v>
      </c>
      <c r="G103" s="15" t="s">
        <v>400</v>
      </c>
      <c r="H103" s="20" t="s">
        <v>35</v>
      </c>
      <c r="I103" s="15" t="s">
        <v>1855</v>
      </c>
      <c r="J103" s="30">
        <v>43272</v>
      </c>
      <c r="K103" s="30">
        <v>43667</v>
      </c>
      <c r="L103" s="31">
        <f t="shared" si="61"/>
        <v>85</v>
      </c>
      <c r="M103" s="20">
        <v>4</v>
      </c>
      <c r="N103" s="20" t="s">
        <v>397</v>
      </c>
      <c r="O103" s="20" t="s">
        <v>401</v>
      </c>
      <c r="P103" s="32" t="s">
        <v>39</v>
      </c>
      <c r="Q103" s="20" t="s">
        <v>40</v>
      </c>
      <c r="R103" s="2">
        <f t="shared" si="62"/>
        <v>360400</v>
      </c>
      <c r="S103" s="35">
        <v>360400</v>
      </c>
      <c r="T103" s="35">
        <v>0</v>
      </c>
      <c r="U103" s="33">
        <f t="shared" si="43"/>
        <v>55120</v>
      </c>
      <c r="V103" s="2">
        <v>55120</v>
      </c>
      <c r="W103" s="37">
        <v>0</v>
      </c>
      <c r="X103" s="33">
        <f t="shared" si="47"/>
        <v>8480</v>
      </c>
      <c r="Y103" s="32">
        <v>8480</v>
      </c>
      <c r="Z103" s="35">
        <v>0</v>
      </c>
      <c r="AA103" s="2">
        <f t="shared" si="58"/>
        <v>0</v>
      </c>
      <c r="AB103" s="32">
        <v>0</v>
      </c>
      <c r="AC103" s="32">
        <v>0</v>
      </c>
      <c r="AD103" s="2">
        <f t="shared" si="63"/>
        <v>424000</v>
      </c>
      <c r="AE103" s="39"/>
      <c r="AF103" s="2">
        <f t="shared" si="64"/>
        <v>424000</v>
      </c>
      <c r="AG103" s="24" t="s">
        <v>41</v>
      </c>
      <c r="AH103" s="34" t="s">
        <v>402</v>
      </c>
      <c r="AI103" s="2">
        <v>305948.81</v>
      </c>
      <c r="AJ103" s="85">
        <v>46792.149999999994</v>
      </c>
      <c r="AK103" s="28">
        <f t="shared" si="44"/>
        <v>54451.19</v>
      </c>
      <c r="AL103" s="28">
        <f t="shared" si="45"/>
        <v>8327.8500000000058</v>
      </c>
      <c r="AM103" s="29">
        <f t="shared" si="46"/>
        <v>0.84891456714761371</v>
      </c>
    </row>
    <row r="104" spans="1:39" ht="192" customHeight="1" x14ac:dyDescent="0.25">
      <c r="A104" s="10">
        <v>101</v>
      </c>
      <c r="B104" s="86">
        <v>118780</v>
      </c>
      <c r="C104" s="87">
        <v>443</v>
      </c>
      <c r="D104" s="88" t="s">
        <v>54</v>
      </c>
      <c r="E104" s="14" t="s">
        <v>55</v>
      </c>
      <c r="F104" s="4" t="s">
        <v>403</v>
      </c>
      <c r="G104" s="88" t="s">
        <v>395</v>
      </c>
      <c r="H104" s="20" t="s">
        <v>404</v>
      </c>
      <c r="I104" s="15" t="s">
        <v>405</v>
      </c>
      <c r="J104" s="30">
        <v>43312</v>
      </c>
      <c r="K104" s="30">
        <v>43677</v>
      </c>
      <c r="L104" s="31">
        <f t="shared" si="61"/>
        <v>84.150233941460755</v>
      </c>
      <c r="M104" s="20">
        <v>4</v>
      </c>
      <c r="N104" s="20" t="s">
        <v>406</v>
      </c>
      <c r="O104" s="20" t="s">
        <v>407</v>
      </c>
      <c r="P104" s="32" t="s">
        <v>39</v>
      </c>
      <c r="Q104" s="20" t="s">
        <v>40</v>
      </c>
      <c r="R104" s="2">
        <f t="shared" si="62"/>
        <v>230233.66</v>
      </c>
      <c r="S104" s="35">
        <v>230233.66</v>
      </c>
      <c r="T104" s="35">
        <v>0</v>
      </c>
      <c r="U104" s="33">
        <f t="shared" si="43"/>
        <v>37892.730000000003</v>
      </c>
      <c r="V104" s="35">
        <v>37892.730000000003</v>
      </c>
      <c r="W104" s="35">
        <v>0</v>
      </c>
      <c r="X104" s="33">
        <f t="shared" si="47"/>
        <v>2736.73</v>
      </c>
      <c r="Y104" s="35">
        <v>2736.73</v>
      </c>
      <c r="Z104" s="35">
        <v>0</v>
      </c>
      <c r="AA104" s="2">
        <f t="shared" si="58"/>
        <v>2735.24</v>
      </c>
      <c r="AB104" s="35">
        <v>2735.24</v>
      </c>
      <c r="AC104" s="41">
        <v>0</v>
      </c>
      <c r="AD104" s="2">
        <f t="shared" si="63"/>
        <v>273598.36</v>
      </c>
      <c r="AE104" s="39">
        <v>0</v>
      </c>
      <c r="AF104" s="2">
        <f t="shared" si="64"/>
        <v>273598.36</v>
      </c>
      <c r="AG104" s="24" t="s">
        <v>41</v>
      </c>
      <c r="AH104" s="34" t="s">
        <v>35</v>
      </c>
      <c r="AI104" s="35">
        <v>165046.26</v>
      </c>
      <c r="AJ104" s="36">
        <v>27286.14</v>
      </c>
      <c r="AK104" s="28">
        <f t="shared" si="44"/>
        <v>65187.399999999994</v>
      </c>
      <c r="AL104" s="28">
        <f t="shared" si="45"/>
        <v>10606.590000000004</v>
      </c>
      <c r="AM104" s="29">
        <f t="shared" si="46"/>
        <v>0.71686416312888401</v>
      </c>
    </row>
    <row r="105" spans="1:39" ht="192" customHeight="1" x14ac:dyDescent="0.25">
      <c r="A105" s="10">
        <v>102</v>
      </c>
      <c r="B105" s="37">
        <v>119830</v>
      </c>
      <c r="C105" s="20">
        <v>474</v>
      </c>
      <c r="D105" s="20" t="s">
        <v>47</v>
      </c>
      <c r="E105" s="14" t="s">
        <v>48</v>
      </c>
      <c r="F105" s="63" t="s">
        <v>408</v>
      </c>
      <c r="G105" s="20" t="s">
        <v>409</v>
      </c>
      <c r="H105" s="20" t="s">
        <v>35</v>
      </c>
      <c r="I105" s="15" t="s">
        <v>410</v>
      </c>
      <c r="J105" s="30">
        <v>43322</v>
      </c>
      <c r="K105" s="30">
        <v>43992</v>
      </c>
      <c r="L105" s="31">
        <f t="shared" si="61"/>
        <v>84.999997553055863</v>
      </c>
      <c r="M105" s="20">
        <v>4</v>
      </c>
      <c r="N105" s="20" t="s">
        <v>406</v>
      </c>
      <c r="O105" s="20" t="s">
        <v>411</v>
      </c>
      <c r="P105" s="32" t="s">
        <v>39</v>
      </c>
      <c r="Q105" s="20" t="s">
        <v>40</v>
      </c>
      <c r="R105" s="2">
        <f t="shared" si="62"/>
        <v>347372.04</v>
      </c>
      <c r="S105" s="35">
        <v>347372.04</v>
      </c>
      <c r="T105" s="35">
        <v>0</v>
      </c>
      <c r="U105" s="33">
        <f t="shared" si="43"/>
        <v>53127.519999999997</v>
      </c>
      <c r="V105" s="41">
        <v>53127.519999999997</v>
      </c>
      <c r="W105" s="41">
        <v>0</v>
      </c>
      <c r="X105" s="33">
        <f t="shared" si="47"/>
        <v>8173.4400000000005</v>
      </c>
      <c r="Y105" s="35">
        <v>8173.4400000000005</v>
      </c>
      <c r="Z105" s="35">
        <v>0</v>
      </c>
      <c r="AA105" s="2">
        <f t="shared" si="58"/>
        <v>0</v>
      </c>
      <c r="AB105" s="64">
        <v>0</v>
      </c>
      <c r="AC105" s="64">
        <v>0</v>
      </c>
      <c r="AD105" s="2">
        <f t="shared" si="63"/>
        <v>408673</v>
      </c>
      <c r="AE105" s="2">
        <v>0</v>
      </c>
      <c r="AF105" s="2">
        <f t="shared" si="64"/>
        <v>408673</v>
      </c>
      <c r="AG105" s="39" t="s">
        <v>69</v>
      </c>
      <c r="AH105" s="34" t="s">
        <v>412</v>
      </c>
      <c r="AI105" s="35">
        <v>312673.95</v>
      </c>
      <c r="AJ105" s="36">
        <v>47820.720000000008</v>
      </c>
      <c r="AK105" s="28">
        <f t="shared" si="44"/>
        <v>34698.089999999967</v>
      </c>
      <c r="AL105" s="28">
        <f t="shared" si="45"/>
        <v>5306.7999999999884</v>
      </c>
      <c r="AM105" s="29">
        <f t="shared" si="46"/>
        <v>0.90011259973600644</v>
      </c>
    </row>
    <row r="106" spans="1:39" ht="192" customHeight="1" x14ac:dyDescent="0.25">
      <c r="A106" s="10">
        <v>103</v>
      </c>
      <c r="B106" s="37">
        <v>118793</v>
      </c>
      <c r="C106" s="20">
        <v>446</v>
      </c>
      <c r="D106" s="15" t="s">
        <v>54</v>
      </c>
      <c r="E106" s="14" t="s">
        <v>55</v>
      </c>
      <c r="F106" s="15" t="s">
        <v>413</v>
      </c>
      <c r="G106" s="20" t="s">
        <v>409</v>
      </c>
      <c r="H106" s="20"/>
      <c r="I106" s="43" t="s">
        <v>414</v>
      </c>
      <c r="J106" s="30">
        <v>43322</v>
      </c>
      <c r="K106" s="30">
        <v>43779</v>
      </c>
      <c r="L106" s="31">
        <f t="shared" si="61"/>
        <v>85.000000000000014</v>
      </c>
      <c r="M106" s="20">
        <v>4</v>
      </c>
      <c r="N106" s="20" t="s">
        <v>406</v>
      </c>
      <c r="O106" s="20" t="s">
        <v>411</v>
      </c>
      <c r="P106" s="20" t="s">
        <v>39</v>
      </c>
      <c r="Q106" s="20" t="s">
        <v>40</v>
      </c>
      <c r="R106" s="2">
        <f t="shared" si="62"/>
        <v>239897.2</v>
      </c>
      <c r="S106" s="89">
        <v>239897.2</v>
      </c>
      <c r="T106" s="41">
        <v>0</v>
      </c>
      <c r="U106" s="33">
        <f t="shared" si="43"/>
        <v>36690.160000000003</v>
      </c>
      <c r="V106" s="41">
        <v>36690.160000000003</v>
      </c>
      <c r="W106" s="41">
        <v>0</v>
      </c>
      <c r="X106" s="33">
        <f t="shared" si="47"/>
        <v>5644.6399999999994</v>
      </c>
      <c r="Y106" s="35">
        <v>5644.6399999999994</v>
      </c>
      <c r="Z106" s="35">
        <v>0</v>
      </c>
      <c r="AA106" s="2">
        <f t="shared" si="58"/>
        <v>0</v>
      </c>
      <c r="AB106" s="2">
        <v>0</v>
      </c>
      <c r="AC106" s="2">
        <v>0</v>
      </c>
      <c r="AD106" s="2">
        <f t="shared" si="63"/>
        <v>282232</v>
      </c>
      <c r="AE106" s="39"/>
      <c r="AF106" s="2">
        <f t="shared" si="64"/>
        <v>282232</v>
      </c>
      <c r="AG106" s="24" t="s">
        <v>41</v>
      </c>
      <c r="AH106" s="39" t="s">
        <v>415</v>
      </c>
      <c r="AI106" s="35">
        <v>214650.99</v>
      </c>
      <c r="AJ106" s="36">
        <v>32828.959999999999</v>
      </c>
      <c r="AK106" s="28">
        <f t="shared" si="44"/>
        <v>25246.210000000021</v>
      </c>
      <c r="AL106" s="28">
        <f t="shared" si="45"/>
        <v>3861.2000000000044</v>
      </c>
      <c r="AM106" s="29">
        <f t="shared" si="46"/>
        <v>0.89476238155343202</v>
      </c>
    </row>
    <row r="107" spans="1:39" ht="192" customHeight="1" x14ac:dyDescent="0.25">
      <c r="A107" s="10">
        <v>104</v>
      </c>
      <c r="B107" s="90">
        <v>126292</v>
      </c>
      <c r="C107" s="91">
        <v>514</v>
      </c>
      <c r="D107" s="82" t="s">
        <v>31</v>
      </c>
      <c r="E107" s="14" t="s">
        <v>65</v>
      </c>
      <c r="F107" s="82" t="s">
        <v>416</v>
      </c>
      <c r="G107" s="92" t="s">
        <v>417</v>
      </c>
      <c r="H107" s="92" t="s">
        <v>35</v>
      </c>
      <c r="I107" s="93" t="s">
        <v>418</v>
      </c>
      <c r="J107" s="30">
        <v>43439</v>
      </c>
      <c r="K107" s="30">
        <v>43926</v>
      </c>
      <c r="L107" s="31">
        <f t="shared" si="61"/>
        <v>84.999999635678833</v>
      </c>
      <c r="M107" s="91">
        <v>4</v>
      </c>
      <c r="N107" s="92" t="s">
        <v>406</v>
      </c>
      <c r="O107" s="92" t="s">
        <v>401</v>
      </c>
      <c r="P107" s="92" t="s">
        <v>39</v>
      </c>
      <c r="Q107" s="20" t="s">
        <v>40</v>
      </c>
      <c r="R107" s="2">
        <f t="shared" si="62"/>
        <v>2333106.34</v>
      </c>
      <c r="S107" s="35">
        <v>2333106.34</v>
      </c>
      <c r="T107" s="35">
        <v>0</v>
      </c>
      <c r="U107" s="33">
        <f t="shared" si="43"/>
        <v>356828.04</v>
      </c>
      <c r="V107" s="35">
        <v>356828.04</v>
      </c>
      <c r="W107" s="35">
        <v>0</v>
      </c>
      <c r="X107" s="33">
        <f t="shared" si="47"/>
        <v>54896.62</v>
      </c>
      <c r="Y107" s="35">
        <v>54896.62</v>
      </c>
      <c r="Z107" s="35">
        <v>0</v>
      </c>
      <c r="AA107" s="33">
        <v>0</v>
      </c>
      <c r="AB107" s="35">
        <v>0</v>
      </c>
      <c r="AC107" s="35">
        <v>0</v>
      </c>
      <c r="AD107" s="2">
        <f t="shared" si="63"/>
        <v>2744831</v>
      </c>
      <c r="AE107" s="35"/>
      <c r="AF107" s="2">
        <f t="shared" si="64"/>
        <v>2744831</v>
      </c>
      <c r="AG107" s="39" t="s">
        <v>41</v>
      </c>
      <c r="AH107" s="35"/>
      <c r="AI107" s="35">
        <v>142930.13</v>
      </c>
      <c r="AJ107" s="36">
        <v>21859.91</v>
      </c>
      <c r="AK107" s="28">
        <f t="shared" si="44"/>
        <v>2190176.21</v>
      </c>
      <c r="AL107" s="28">
        <f t="shared" si="45"/>
        <v>334968.13</v>
      </c>
      <c r="AM107" s="29">
        <f t="shared" si="46"/>
        <v>6.1261729716100305E-2</v>
      </c>
    </row>
    <row r="108" spans="1:39" ht="192" customHeight="1" x14ac:dyDescent="0.25">
      <c r="A108" s="10">
        <v>105</v>
      </c>
      <c r="B108" s="37">
        <v>126320</v>
      </c>
      <c r="C108" s="91">
        <v>515</v>
      </c>
      <c r="D108" s="92" t="s">
        <v>31</v>
      </c>
      <c r="E108" s="14" t="s">
        <v>65</v>
      </c>
      <c r="F108" s="81" t="s">
        <v>419</v>
      </c>
      <c r="G108" s="87" t="s">
        <v>395</v>
      </c>
      <c r="H108" s="92" t="s">
        <v>420</v>
      </c>
      <c r="I108" s="82" t="s">
        <v>421</v>
      </c>
      <c r="J108" s="30">
        <v>43531</v>
      </c>
      <c r="K108" s="30">
        <v>44446</v>
      </c>
      <c r="L108" s="31">
        <f t="shared" si="61"/>
        <v>84.263733041248912</v>
      </c>
      <c r="M108" s="91">
        <v>4</v>
      </c>
      <c r="N108" s="92" t="s">
        <v>406</v>
      </c>
      <c r="O108" s="92" t="s">
        <v>407</v>
      </c>
      <c r="P108" s="92" t="s">
        <v>39</v>
      </c>
      <c r="Q108" s="20" t="s">
        <v>40</v>
      </c>
      <c r="R108" s="57">
        <f t="shared" si="62"/>
        <v>2765436.54</v>
      </c>
      <c r="S108" s="92">
        <v>2765436.54</v>
      </c>
      <c r="T108" s="92">
        <v>0</v>
      </c>
      <c r="U108" s="33">
        <f t="shared" si="43"/>
        <v>450808.12</v>
      </c>
      <c r="V108" s="92">
        <v>450808.12</v>
      </c>
      <c r="W108" s="92">
        <v>0</v>
      </c>
      <c r="X108" s="33">
        <f t="shared" si="47"/>
        <v>28427.56</v>
      </c>
      <c r="Y108" s="92">
        <v>28427.56</v>
      </c>
      <c r="Z108" s="92">
        <v>0</v>
      </c>
      <c r="AA108" s="57">
        <f>AB108+AC108</f>
        <v>37210.080000000002</v>
      </c>
      <c r="AB108" s="92">
        <v>37210.080000000002</v>
      </c>
      <c r="AC108" s="92">
        <v>0</v>
      </c>
      <c r="AD108" s="57">
        <f t="shared" si="63"/>
        <v>3281882.3000000003</v>
      </c>
      <c r="AE108" s="92">
        <v>0</v>
      </c>
      <c r="AF108" s="57">
        <f t="shared" si="64"/>
        <v>3281882.3000000003</v>
      </c>
      <c r="AG108" s="39" t="s">
        <v>69</v>
      </c>
      <c r="AH108" s="92"/>
      <c r="AI108" s="35">
        <v>266429.75999999995</v>
      </c>
      <c r="AJ108" s="36">
        <v>29705.22</v>
      </c>
      <c r="AK108" s="28">
        <f t="shared" si="44"/>
        <v>2499006.7800000003</v>
      </c>
      <c r="AL108" s="28">
        <f t="shared" si="45"/>
        <v>421102.9</v>
      </c>
      <c r="AM108" s="29">
        <f t="shared" si="46"/>
        <v>9.634274956097888E-2</v>
      </c>
    </row>
    <row r="109" spans="1:39" ht="192" customHeight="1" x14ac:dyDescent="0.25">
      <c r="A109" s="10">
        <v>106</v>
      </c>
      <c r="B109" s="90">
        <v>128004</v>
      </c>
      <c r="C109" s="91">
        <v>635</v>
      </c>
      <c r="D109" s="82" t="s">
        <v>31</v>
      </c>
      <c r="E109" s="14" t="s">
        <v>79</v>
      </c>
      <c r="F109" s="82" t="s">
        <v>422</v>
      </c>
      <c r="G109" s="92" t="s">
        <v>423</v>
      </c>
      <c r="H109" s="92" t="s">
        <v>35</v>
      </c>
      <c r="I109" s="93" t="s">
        <v>424</v>
      </c>
      <c r="J109" s="30">
        <v>43620</v>
      </c>
      <c r="K109" s="30">
        <v>44351</v>
      </c>
      <c r="L109" s="31">
        <f t="shared" si="61"/>
        <v>85</v>
      </c>
      <c r="M109" s="91">
        <v>4</v>
      </c>
      <c r="N109" s="92" t="s">
        <v>406</v>
      </c>
      <c r="O109" s="92" t="s">
        <v>401</v>
      </c>
      <c r="P109" s="92" t="s">
        <v>39</v>
      </c>
      <c r="Q109" s="92" t="s">
        <v>40</v>
      </c>
      <c r="R109" s="2">
        <f t="shared" si="62"/>
        <v>1919118.95</v>
      </c>
      <c r="S109" s="35">
        <v>1919118.95</v>
      </c>
      <c r="T109" s="35">
        <v>0</v>
      </c>
      <c r="U109" s="33">
        <f t="shared" si="43"/>
        <v>293512.31</v>
      </c>
      <c r="V109" s="35">
        <v>293512.31</v>
      </c>
      <c r="W109" s="35">
        <v>0</v>
      </c>
      <c r="X109" s="33">
        <f t="shared" si="47"/>
        <v>45155.74</v>
      </c>
      <c r="Y109" s="35">
        <v>45155.74</v>
      </c>
      <c r="Z109" s="35">
        <v>0</v>
      </c>
      <c r="AA109" s="33">
        <v>0</v>
      </c>
      <c r="AB109" s="35">
        <v>0</v>
      </c>
      <c r="AC109" s="35">
        <v>0</v>
      </c>
      <c r="AD109" s="2">
        <f t="shared" si="63"/>
        <v>2257787</v>
      </c>
      <c r="AE109" s="35">
        <v>0</v>
      </c>
      <c r="AF109" s="2">
        <f t="shared" si="64"/>
        <v>2257787</v>
      </c>
      <c r="AG109" s="39" t="s">
        <v>69</v>
      </c>
      <c r="AH109" s="35"/>
      <c r="AI109" s="35">
        <v>23213.93</v>
      </c>
      <c r="AJ109" s="36">
        <f>3550.36</f>
        <v>3550.36</v>
      </c>
      <c r="AK109" s="28">
        <f t="shared" si="44"/>
        <v>1895905.02</v>
      </c>
      <c r="AL109" s="28">
        <f t="shared" si="45"/>
        <v>289961.95</v>
      </c>
      <c r="AM109" s="29">
        <f t="shared" si="46"/>
        <v>1.2096139220552223E-2</v>
      </c>
    </row>
    <row r="110" spans="1:39" ht="192" customHeight="1" x14ac:dyDescent="0.25">
      <c r="A110" s="10">
        <v>107</v>
      </c>
      <c r="B110" s="94">
        <v>126500</v>
      </c>
      <c r="C110" s="91">
        <v>501</v>
      </c>
      <c r="D110" s="82" t="s">
        <v>425</v>
      </c>
      <c r="E110" s="14" t="s">
        <v>426</v>
      </c>
      <c r="F110" s="95" t="s">
        <v>427</v>
      </c>
      <c r="G110" s="92" t="s">
        <v>404</v>
      </c>
      <c r="H110" s="92" t="s">
        <v>428</v>
      </c>
      <c r="I110" s="93" t="s">
        <v>429</v>
      </c>
      <c r="J110" s="30">
        <v>43626</v>
      </c>
      <c r="K110" s="30">
        <v>44357</v>
      </c>
      <c r="L110" s="31">
        <f t="shared" si="61"/>
        <v>83.560067781888534</v>
      </c>
      <c r="M110" s="91">
        <v>4</v>
      </c>
      <c r="N110" s="92" t="s">
        <v>406</v>
      </c>
      <c r="O110" s="92" t="s">
        <v>401</v>
      </c>
      <c r="P110" s="92" t="s">
        <v>39</v>
      </c>
      <c r="Q110" s="92" t="s">
        <v>40</v>
      </c>
      <c r="R110" s="2">
        <f t="shared" si="62"/>
        <v>1824019.35</v>
      </c>
      <c r="S110" s="35">
        <v>1824019.35</v>
      </c>
      <c r="T110" s="35">
        <v>0</v>
      </c>
      <c r="U110" s="33">
        <f t="shared" si="43"/>
        <v>315206.96999999997</v>
      </c>
      <c r="V110" s="35">
        <v>315206.96999999997</v>
      </c>
      <c r="W110" s="35">
        <v>0</v>
      </c>
      <c r="X110" s="33">
        <f t="shared" si="47"/>
        <v>6678.79</v>
      </c>
      <c r="Y110" s="35">
        <v>6678.79</v>
      </c>
      <c r="Z110" s="35">
        <v>0</v>
      </c>
      <c r="AA110" s="33">
        <f>AB110+AC110</f>
        <v>36978.89</v>
      </c>
      <c r="AB110" s="35">
        <v>36978.89</v>
      </c>
      <c r="AC110" s="35">
        <v>0</v>
      </c>
      <c r="AD110" s="2">
        <f t="shared" si="63"/>
        <v>2182884.0000000005</v>
      </c>
      <c r="AE110" s="35">
        <v>0</v>
      </c>
      <c r="AF110" s="2">
        <f t="shared" si="64"/>
        <v>2182884.0000000005</v>
      </c>
      <c r="AG110" s="39" t="s">
        <v>69</v>
      </c>
      <c r="AH110" s="35" t="s">
        <v>46</v>
      </c>
      <c r="AI110" s="35">
        <v>198612.8</v>
      </c>
      <c r="AJ110" s="36">
        <v>19674.2</v>
      </c>
      <c r="AK110" s="28">
        <f t="shared" si="44"/>
        <v>1625406.55</v>
      </c>
      <c r="AL110" s="28">
        <f t="shared" si="45"/>
        <v>295532.76999999996</v>
      </c>
      <c r="AM110" s="29">
        <f t="shared" si="46"/>
        <v>0.10888744135307554</v>
      </c>
    </row>
    <row r="111" spans="1:39" ht="192" customHeight="1" x14ac:dyDescent="0.25">
      <c r="A111" s="10">
        <v>108</v>
      </c>
      <c r="B111" s="37">
        <v>120590</v>
      </c>
      <c r="C111" s="20">
        <v>69</v>
      </c>
      <c r="D111" s="15" t="s">
        <v>31</v>
      </c>
      <c r="E111" s="14" t="s">
        <v>32</v>
      </c>
      <c r="F111" s="15" t="s">
        <v>430</v>
      </c>
      <c r="G111" s="15" t="s">
        <v>431</v>
      </c>
      <c r="H111" s="20" t="s">
        <v>35</v>
      </c>
      <c r="I111" s="55" t="s">
        <v>432</v>
      </c>
      <c r="J111" s="30">
        <v>43129</v>
      </c>
      <c r="K111" s="30">
        <v>43553</v>
      </c>
      <c r="L111" s="31">
        <f t="shared" si="61"/>
        <v>85</v>
      </c>
      <c r="M111" s="20">
        <v>2</v>
      </c>
      <c r="N111" s="20" t="s">
        <v>433</v>
      </c>
      <c r="O111" s="20" t="s">
        <v>434</v>
      </c>
      <c r="P111" s="32" t="s">
        <v>39</v>
      </c>
      <c r="Q111" s="20" t="s">
        <v>40</v>
      </c>
      <c r="R111" s="2">
        <f t="shared" si="62"/>
        <v>312939.57</v>
      </c>
      <c r="S111" s="2">
        <v>312939.57</v>
      </c>
      <c r="T111" s="2">
        <v>0</v>
      </c>
      <c r="U111" s="33">
        <f t="shared" si="43"/>
        <v>47861.35</v>
      </c>
      <c r="V111" s="2">
        <v>47861.35</v>
      </c>
      <c r="W111" s="2">
        <v>0</v>
      </c>
      <c r="X111" s="33">
        <f t="shared" si="47"/>
        <v>7363.28</v>
      </c>
      <c r="Y111" s="2">
        <v>7363.28</v>
      </c>
      <c r="Z111" s="2">
        <v>0</v>
      </c>
      <c r="AA111" s="2">
        <f t="shared" ref="AA111:AA116" si="65">AB111+AC111</f>
        <v>0</v>
      </c>
      <c r="AB111" s="2">
        <v>0</v>
      </c>
      <c r="AC111" s="2">
        <v>0</v>
      </c>
      <c r="AD111" s="2">
        <f t="shared" si="63"/>
        <v>368164.2</v>
      </c>
      <c r="AE111" s="2">
        <v>0</v>
      </c>
      <c r="AF111" s="2">
        <f t="shared" si="64"/>
        <v>368164.2</v>
      </c>
      <c r="AG111" s="24" t="s">
        <v>41</v>
      </c>
      <c r="AH111" s="34" t="s">
        <v>35</v>
      </c>
      <c r="AI111" s="35">
        <v>269997.55</v>
      </c>
      <c r="AJ111" s="36">
        <v>41293.74</v>
      </c>
      <c r="AK111" s="28">
        <f t="shared" si="44"/>
        <v>42942.020000000019</v>
      </c>
      <c r="AL111" s="28">
        <f t="shared" si="45"/>
        <v>6567.6100000000006</v>
      </c>
      <c r="AM111" s="29">
        <f t="shared" si="46"/>
        <v>0.86277855497788269</v>
      </c>
    </row>
    <row r="112" spans="1:39" ht="192" customHeight="1" x14ac:dyDescent="0.25">
      <c r="A112" s="10">
        <v>109</v>
      </c>
      <c r="B112" s="37">
        <v>118013</v>
      </c>
      <c r="C112" s="20">
        <v>419</v>
      </c>
      <c r="D112" s="15" t="s">
        <v>54</v>
      </c>
      <c r="E112" s="14" t="s">
        <v>55</v>
      </c>
      <c r="F112" s="15" t="s">
        <v>435</v>
      </c>
      <c r="G112" s="15" t="s">
        <v>436</v>
      </c>
      <c r="H112" s="20" t="s">
        <v>35</v>
      </c>
      <c r="I112" s="15" t="s">
        <v>437</v>
      </c>
      <c r="J112" s="30">
        <v>43336</v>
      </c>
      <c r="K112" s="30">
        <v>43762</v>
      </c>
      <c r="L112" s="31">
        <f t="shared" si="61"/>
        <v>84.999998597642829</v>
      </c>
      <c r="M112" s="20">
        <v>2</v>
      </c>
      <c r="N112" s="20" t="s">
        <v>433</v>
      </c>
      <c r="O112" s="20" t="s">
        <v>434</v>
      </c>
      <c r="P112" s="32" t="s">
        <v>39</v>
      </c>
      <c r="Q112" s="20" t="s">
        <v>40</v>
      </c>
      <c r="R112" s="2">
        <f t="shared" si="62"/>
        <v>242448.93</v>
      </c>
      <c r="S112" s="35">
        <v>242448.93</v>
      </c>
      <c r="T112" s="35">
        <v>0</v>
      </c>
      <c r="U112" s="33">
        <f t="shared" si="43"/>
        <v>37080.43</v>
      </c>
      <c r="V112" s="35">
        <v>37080.43</v>
      </c>
      <c r="W112" s="41">
        <v>0</v>
      </c>
      <c r="X112" s="33">
        <f t="shared" si="47"/>
        <v>5704.68</v>
      </c>
      <c r="Y112" s="35">
        <v>5704.68</v>
      </c>
      <c r="Z112" s="35">
        <v>0</v>
      </c>
      <c r="AA112" s="2">
        <f t="shared" si="65"/>
        <v>0</v>
      </c>
      <c r="AB112" s="35">
        <v>0</v>
      </c>
      <c r="AC112" s="35">
        <v>0</v>
      </c>
      <c r="AD112" s="2">
        <f t="shared" si="63"/>
        <v>285234.03999999998</v>
      </c>
      <c r="AE112" s="39">
        <v>0</v>
      </c>
      <c r="AF112" s="2">
        <f t="shared" si="64"/>
        <v>285234.03999999998</v>
      </c>
      <c r="AG112" s="24" t="s">
        <v>41</v>
      </c>
      <c r="AH112" s="34" t="s">
        <v>35</v>
      </c>
      <c r="AI112" s="35">
        <v>220919.96</v>
      </c>
      <c r="AJ112" s="36">
        <v>33787.72</v>
      </c>
      <c r="AK112" s="28">
        <f t="shared" si="44"/>
        <v>21528.97</v>
      </c>
      <c r="AL112" s="28">
        <f t="shared" si="45"/>
        <v>3292.7099999999991</v>
      </c>
      <c r="AM112" s="29">
        <f t="shared" si="46"/>
        <v>0.91120204160109097</v>
      </c>
    </row>
    <row r="113" spans="1:39" ht="192" customHeight="1" x14ac:dyDescent="0.25">
      <c r="A113" s="10">
        <v>110</v>
      </c>
      <c r="B113" s="37">
        <v>126419</v>
      </c>
      <c r="C113" s="37">
        <v>561</v>
      </c>
      <c r="D113" s="20" t="s">
        <v>31</v>
      </c>
      <c r="E113" s="14" t="s">
        <v>65</v>
      </c>
      <c r="F113" s="15" t="s">
        <v>438</v>
      </c>
      <c r="G113" s="15" t="s">
        <v>436</v>
      </c>
      <c r="H113" s="20" t="s">
        <v>35</v>
      </c>
      <c r="I113" s="16" t="s">
        <v>439</v>
      </c>
      <c r="J113" s="30">
        <v>43432</v>
      </c>
      <c r="K113" s="30">
        <v>44283</v>
      </c>
      <c r="L113" s="31">
        <f t="shared" si="61"/>
        <v>85</v>
      </c>
      <c r="M113" s="37">
        <v>2</v>
      </c>
      <c r="N113" s="20" t="s">
        <v>433</v>
      </c>
      <c r="O113" s="20" t="s">
        <v>434</v>
      </c>
      <c r="P113" s="67" t="s">
        <v>39</v>
      </c>
      <c r="Q113" s="20" t="s">
        <v>40</v>
      </c>
      <c r="R113" s="73">
        <f t="shared" si="62"/>
        <v>2627225.9</v>
      </c>
      <c r="S113" s="35">
        <v>2627225.9</v>
      </c>
      <c r="T113" s="35">
        <v>0</v>
      </c>
      <c r="U113" s="33">
        <f t="shared" si="43"/>
        <v>401811.02</v>
      </c>
      <c r="V113" s="2">
        <v>401811.02</v>
      </c>
      <c r="W113" s="35">
        <v>0</v>
      </c>
      <c r="X113" s="33">
        <f t="shared" si="47"/>
        <v>61817.079999999994</v>
      </c>
      <c r="Y113" s="74">
        <v>61817.079999999994</v>
      </c>
      <c r="Z113" s="35">
        <v>0</v>
      </c>
      <c r="AA113" s="2">
        <f t="shared" si="65"/>
        <v>0</v>
      </c>
      <c r="AB113" s="35">
        <v>0</v>
      </c>
      <c r="AC113" s="35">
        <v>0</v>
      </c>
      <c r="AD113" s="2">
        <f t="shared" si="63"/>
        <v>3090854</v>
      </c>
      <c r="AE113" s="37">
        <v>0</v>
      </c>
      <c r="AF113" s="2">
        <f t="shared" si="64"/>
        <v>3090854</v>
      </c>
      <c r="AG113" s="39" t="s">
        <v>69</v>
      </c>
      <c r="AH113" s="39" t="s">
        <v>35</v>
      </c>
      <c r="AI113" s="35">
        <v>316850.48</v>
      </c>
      <c r="AJ113" s="36">
        <v>1187.6600000000001</v>
      </c>
      <c r="AK113" s="28">
        <f t="shared" si="44"/>
        <v>2310375.42</v>
      </c>
      <c r="AL113" s="28">
        <f t="shared" si="45"/>
        <v>400623.36000000004</v>
      </c>
      <c r="AM113" s="29">
        <f t="shared" si="46"/>
        <v>0.12060267828510673</v>
      </c>
    </row>
    <row r="114" spans="1:39" ht="192" customHeight="1" x14ac:dyDescent="0.25">
      <c r="A114" s="10">
        <v>111</v>
      </c>
      <c r="B114" s="37">
        <v>125256</v>
      </c>
      <c r="C114" s="37">
        <v>562</v>
      </c>
      <c r="D114" s="20" t="s">
        <v>31</v>
      </c>
      <c r="E114" s="14" t="s">
        <v>65</v>
      </c>
      <c r="F114" s="15" t="s">
        <v>440</v>
      </c>
      <c r="G114" s="15" t="s">
        <v>1856</v>
      </c>
      <c r="H114" s="20" t="s">
        <v>35</v>
      </c>
      <c r="I114" s="16" t="s">
        <v>441</v>
      </c>
      <c r="J114" s="30">
        <v>43444</v>
      </c>
      <c r="K114" s="30">
        <v>43931</v>
      </c>
      <c r="L114" s="31">
        <f t="shared" si="61"/>
        <v>84.999999921204406</v>
      </c>
      <c r="M114" s="37">
        <v>2</v>
      </c>
      <c r="N114" s="20" t="s">
        <v>433</v>
      </c>
      <c r="O114" s="20" t="s">
        <v>433</v>
      </c>
      <c r="P114" s="67" t="s">
        <v>39</v>
      </c>
      <c r="Q114" s="20" t="s">
        <v>40</v>
      </c>
      <c r="R114" s="73">
        <f t="shared" si="62"/>
        <v>3236221.13</v>
      </c>
      <c r="S114" s="35">
        <v>3236221.13</v>
      </c>
      <c r="T114" s="35">
        <v>0</v>
      </c>
      <c r="U114" s="33">
        <f t="shared" si="43"/>
        <v>494951.47</v>
      </c>
      <c r="V114" s="2">
        <v>494951.47</v>
      </c>
      <c r="W114" s="35">
        <v>0</v>
      </c>
      <c r="X114" s="33">
        <f t="shared" si="47"/>
        <v>76146.38</v>
      </c>
      <c r="Y114" s="74">
        <v>76146.38</v>
      </c>
      <c r="Z114" s="35">
        <v>0</v>
      </c>
      <c r="AA114" s="2">
        <f t="shared" si="65"/>
        <v>0</v>
      </c>
      <c r="AB114" s="35">
        <v>0</v>
      </c>
      <c r="AC114" s="35">
        <v>0</v>
      </c>
      <c r="AD114" s="2">
        <f t="shared" si="63"/>
        <v>3807318.9799999995</v>
      </c>
      <c r="AE114" s="37">
        <v>630578.23</v>
      </c>
      <c r="AF114" s="2">
        <f t="shared" si="64"/>
        <v>4437897.209999999</v>
      </c>
      <c r="AG114" s="39" t="s">
        <v>41</v>
      </c>
      <c r="AH114" s="39" t="s">
        <v>442</v>
      </c>
      <c r="AI114" s="35">
        <v>2329475.1</v>
      </c>
      <c r="AJ114" s="36">
        <v>356272.66000000009</v>
      </c>
      <c r="AK114" s="28">
        <f t="shared" si="44"/>
        <v>906746.0299999998</v>
      </c>
      <c r="AL114" s="28">
        <f t="shared" si="45"/>
        <v>138678.80999999988</v>
      </c>
      <c r="AM114" s="29">
        <f t="shared" si="46"/>
        <v>0.71981332746566673</v>
      </c>
    </row>
    <row r="115" spans="1:39" ht="192" customHeight="1" x14ac:dyDescent="0.25">
      <c r="A115" s="10">
        <v>112</v>
      </c>
      <c r="B115" s="37">
        <v>126291</v>
      </c>
      <c r="C115" s="37">
        <v>535</v>
      </c>
      <c r="D115" s="20" t="s">
        <v>31</v>
      </c>
      <c r="E115" s="14" t="s">
        <v>65</v>
      </c>
      <c r="F115" s="15" t="s">
        <v>443</v>
      </c>
      <c r="G115" s="15" t="s">
        <v>444</v>
      </c>
      <c r="H115" s="20" t="s">
        <v>132</v>
      </c>
      <c r="I115" s="16" t="s">
        <v>445</v>
      </c>
      <c r="J115" s="30">
        <v>43493</v>
      </c>
      <c r="K115" s="30">
        <v>44344</v>
      </c>
      <c r="L115" s="31">
        <f t="shared" si="61"/>
        <v>85</v>
      </c>
      <c r="M115" s="37">
        <v>2</v>
      </c>
      <c r="N115" s="20" t="s">
        <v>433</v>
      </c>
      <c r="O115" s="20" t="s">
        <v>433</v>
      </c>
      <c r="P115" s="67" t="s">
        <v>39</v>
      </c>
      <c r="Q115" s="20" t="s">
        <v>40</v>
      </c>
      <c r="R115" s="73">
        <f t="shared" si="62"/>
        <v>1421225.5</v>
      </c>
      <c r="S115" s="35">
        <v>1421225.5</v>
      </c>
      <c r="T115" s="35">
        <v>0</v>
      </c>
      <c r="U115" s="33">
        <f t="shared" si="43"/>
        <v>217363.9</v>
      </c>
      <c r="V115" s="2">
        <v>217363.9</v>
      </c>
      <c r="W115" s="37">
        <v>0</v>
      </c>
      <c r="X115" s="33">
        <f t="shared" si="47"/>
        <v>33440.6</v>
      </c>
      <c r="Y115" s="74">
        <v>33440.6</v>
      </c>
      <c r="Z115" s="35">
        <v>0</v>
      </c>
      <c r="AA115" s="2">
        <f t="shared" si="65"/>
        <v>0</v>
      </c>
      <c r="AB115" s="2">
        <v>0</v>
      </c>
      <c r="AC115" s="2">
        <v>0</v>
      </c>
      <c r="AD115" s="2">
        <f t="shared" si="63"/>
        <v>1672030</v>
      </c>
      <c r="AE115" s="37"/>
      <c r="AF115" s="2">
        <f t="shared" si="64"/>
        <v>1672030</v>
      </c>
      <c r="AG115" s="39" t="s">
        <v>69</v>
      </c>
      <c r="AH115" s="39"/>
      <c r="AI115" s="35">
        <v>355563.46</v>
      </c>
      <c r="AJ115" s="36">
        <v>54380.3</v>
      </c>
      <c r="AK115" s="28">
        <f t="shared" si="44"/>
        <v>1065662.04</v>
      </c>
      <c r="AL115" s="28">
        <f t="shared" si="45"/>
        <v>162983.59999999998</v>
      </c>
      <c r="AM115" s="29">
        <f t="shared" si="46"/>
        <v>0.25018088966177432</v>
      </c>
    </row>
    <row r="116" spans="1:39" ht="192" customHeight="1" x14ac:dyDescent="0.25">
      <c r="A116" s="10">
        <v>113</v>
      </c>
      <c r="B116" s="37">
        <v>128555</v>
      </c>
      <c r="C116" s="37">
        <v>679</v>
      </c>
      <c r="D116" s="20" t="s">
        <v>31</v>
      </c>
      <c r="E116" s="14" t="s">
        <v>79</v>
      </c>
      <c r="F116" s="15" t="s">
        <v>446</v>
      </c>
      <c r="G116" s="15" t="s">
        <v>444</v>
      </c>
      <c r="H116" s="96" t="s">
        <v>1857</v>
      </c>
      <c r="I116" s="16" t="s">
        <v>447</v>
      </c>
      <c r="J116" s="30">
        <v>43690</v>
      </c>
      <c r="K116" s="30">
        <v>44056</v>
      </c>
      <c r="L116" s="31">
        <f t="shared" si="61"/>
        <v>84.288170125844573</v>
      </c>
      <c r="M116" s="37">
        <v>2</v>
      </c>
      <c r="N116" s="20" t="s">
        <v>433</v>
      </c>
      <c r="O116" s="20" t="s">
        <v>433</v>
      </c>
      <c r="P116" s="67" t="s">
        <v>39</v>
      </c>
      <c r="Q116" s="20" t="s">
        <v>40</v>
      </c>
      <c r="R116" s="73">
        <f t="shared" si="62"/>
        <v>338596.52</v>
      </c>
      <c r="S116" s="35">
        <v>338596.52</v>
      </c>
      <c r="T116" s="35">
        <v>0</v>
      </c>
      <c r="U116" s="33">
        <f t="shared" si="43"/>
        <v>55082.2</v>
      </c>
      <c r="V116" s="2">
        <v>55082.2</v>
      </c>
      <c r="W116" s="37">
        <v>0</v>
      </c>
      <c r="X116" s="33">
        <f t="shared" si="47"/>
        <v>4670.12</v>
      </c>
      <c r="Y116" s="74">
        <v>4670.12</v>
      </c>
      <c r="Z116" s="35">
        <v>0</v>
      </c>
      <c r="AA116" s="2">
        <f t="shared" si="65"/>
        <v>3364.14</v>
      </c>
      <c r="AB116" s="20">
        <v>3364.14</v>
      </c>
      <c r="AC116" s="35">
        <v>0</v>
      </c>
      <c r="AD116" s="2">
        <f t="shared" si="63"/>
        <v>401712.98000000004</v>
      </c>
      <c r="AE116" s="37"/>
      <c r="AF116" s="2">
        <f t="shared" si="64"/>
        <v>401712.98000000004</v>
      </c>
      <c r="AG116" s="39" t="s">
        <v>69</v>
      </c>
      <c r="AH116" s="39"/>
      <c r="AI116" s="35">
        <v>185469.97</v>
      </c>
      <c r="AJ116" s="36">
        <f>4005.59+20340.83</f>
        <v>24346.420000000002</v>
      </c>
      <c r="AK116" s="28">
        <f t="shared" si="44"/>
        <v>153126.55000000002</v>
      </c>
      <c r="AL116" s="28">
        <f t="shared" si="45"/>
        <v>30735.779999999995</v>
      </c>
      <c r="AM116" s="29">
        <f t="shared" si="46"/>
        <v>0.54776100474984202</v>
      </c>
    </row>
    <row r="117" spans="1:39" ht="192" customHeight="1" x14ac:dyDescent="0.25">
      <c r="A117" s="10">
        <v>114</v>
      </c>
      <c r="B117" s="20">
        <v>111029</v>
      </c>
      <c r="C117" s="20">
        <v>126</v>
      </c>
      <c r="D117" s="15" t="s">
        <v>31</v>
      </c>
      <c r="E117" s="14" t="s">
        <v>32</v>
      </c>
      <c r="F117" s="15" t="s">
        <v>448</v>
      </c>
      <c r="G117" s="15" t="s">
        <v>449</v>
      </c>
      <c r="H117" s="20" t="s">
        <v>35</v>
      </c>
      <c r="I117" s="16" t="s">
        <v>450</v>
      </c>
      <c r="J117" s="30">
        <v>43208</v>
      </c>
      <c r="K117" s="30">
        <v>43695</v>
      </c>
      <c r="L117" s="31">
        <f>R117/AD117*100</f>
        <v>85.000001177275294</v>
      </c>
      <c r="M117" s="20">
        <v>3</v>
      </c>
      <c r="N117" s="20" t="s">
        <v>451</v>
      </c>
      <c r="O117" s="20" t="s">
        <v>451</v>
      </c>
      <c r="P117" s="32" t="s">
        <v>39</v>
      </c>
      <c r="Q117" s="20" t="s">
        <v>40</v>
      </c>
      <c r="R117" s="33">
        <f>S117+T117</f>
        <v>361003.08</v>
      </c>
      <c r="S117" s="2">
        <v>361003.08</v>
      </c>
      <c r="T117" s="2">
        <v>0</v>
      </c>
      <c r="U117" s="33">
        <f>V117+W117</f>
        <v>55212.23</v>
      </c>
      <c r="V117" s="2">
        <v>55212.23</v>
      </c>
      <c r="W117" s="2"/>
      <c r="X117" s="33">
        <f>Y117+Z117</f>
        <v>8494.19</v>
      </c>
      <c r="Y117" s="2">
        <v>8494.19</v>
      </c>
      <c r="Z117" s="2">
        <v>0</v>
      </c>
      <c r="AA117" s="2">
        <f>AB117+AC117</f>
        <v>0</v>
      </c>
      <c r="AB117" s="2">
        <v>0</v>
      </c>
      <c r="AC117" s="2">
        <v>0</v>
      </c>
      <c r="AD117" s="2">
        <f t="shared" ref="AD117:AD124" si="66">R117+U117+X117+AA117</f>
        <v>424709.5</v>
      </c>
      <c r="AE117" s="2">
        <v>0</v>
      </c>
      <c r="AF117" s="2">
        <f>AD117+AE117</f>
        <v>424709.5</v>
      </c>
      <c r="AG117" s="24" t="s">
        <v>41</v>
      </c>
      <c r="AH117" s="34" t="s">
        <v>35</v>
      </c>
      <c r="AI117" s="35">
        <v>306350.18</v>
      </c>
      <c r="AJ117" s="36">
        <v>46853.56</v>
      </c>
      <c r="AK117" s="28">
        <f t="shared" si="44"/>
        <v>54652.900000000023</v>
      </c>
      <c r="AL117" s="28">
        <f t="shared" si="45"/>
        <v>8358.6700000000055</v>
      </c>
      <c r="AM117" s="29">
        <f t="shared" si="46"/>
        <v>0.84860821686064281</v>
      </c>
    </row>
    <row r="118" spans="1:39" ht="192" customHeight="1" x14ac:dyDescent="0.25">
      <c r="A118" s="10">
        <v>115</v>
      </c>
      <c r="B118" s="20">
        <v>116685</v>
      </c>
      <c r="C118" s="20">
        <v>407</v>
      </c>
      <c r="D118" s="15" t="s">
        <v>54</v>
      </c>
      <c r="E118" s="14" t="s">
        <v>55</v>
      </c>
      <c r="F118" s="63" t="s">
        <v>452</v>
      </c>
      <c r="G118" s="15" t="s">
        <v>453</v>
      </c>
      <c r="H118" s="20" t="s">
        <v>454</v>
      </c>
      <c r="I118" s="16" t="s">
        <v>455</v>
      </c>
      <c r="J118" s="30">
        <v>43298</v>
      </c>
      <c r="K118" s="30">
        <v>43907</v>
      </c>
      <c r="L118" s="31">
        <f>R118/AD118*100</f>
        <v>84.519132769277391</v>
      </c>
      <c r="M118" s="20">
        <v>3</v>
      </c>
      <c r="N118" s="20" t="s">
        <v>451</v>
      </c>
      <c r="O118" s="20" t="s">
        <v>451</v>
      </c>
      <c r="P118" s="32" t="s">
        <v>39</v>
      </c>
      <c r="Q118" s="20" t="s">
        <v>40</v>
      </c>
      <c r="R118" s="33">
        <f>S118+T118</f>
        <v>335058.15000000002</v>
      </c>
      <c r="S118" s="2">
        <v>335058.15000000002</v>
      </c>
      <c r="T118" s="2">
        <v>0</v>
      </c>
      <c r="U118" s="33">
        <f>V118+W118</f>
        <v>53442.06</v>
      </c>
      <c r="V118" s="2">
        <v>53442.06</v>
      </c>
      <c r="W118" s="2">
        <v>0</v>
      </c>
      <c r="X118" s="33">
        <f>Y118+Z118</f>
        <v>0</v>
      </c>
      <c r="Y118" s="2">
        <v>0</v>
      </c>
      <c r="Z118" s="2">
        <v>0</v>
      </c>
      <c r="AA118" s="2">
        <f>AB118+AC118</f>
        <v>7928.55</v>
      </c>
      <c r="AB118" s="2">
        <v>7928.55</v>
      </c>
      <c r="AC118" s="2">
        <v>0</v>
      </c>
      <c r="AD118" s="2">
        <f t="shared" si="66"/>
        <v>396428.76</v>
      </c>
      <c r="AE118" s="2">
        <v>0</v>
      </c>
      <c r="AF118" s="2">
        <f>AD118+AE118</f>
        <v>396428.76</v>
      </c>
      <c r="AG118" s="39" t="s">
        <v>41</v>
      </c>
      <c r="AH118" s="34" t="s">
        <v>456</v>
      </c>
      <c r="AI118" s="35">
        <v>314745.92</v>
      </c>
      <c r="AJ118" s="36">
        <f>21832.13+15683.52+12657.51</f>
        <v>50173.16</v>
      </c>
      <c r="AK118" s="28">
        <f t="shared" si="44"/>
        <v>20312.23000000004</v>
      </c>
      <c r="AL118" s="28">
        <f t="shared" si="45"/>
        <v>3268.8999999999942</v>
      </c>
      <c r="AM118" s="29">
        <f t="shared" si="46"/>
        <v>0.93937700067883723</v>
      </c>
    </row>
    <row r="119" spans="1:39" ht="192" customHeight="1" x14ac:dyDescent="0.25">
      <c r="A119" s="10">
        <v>116</v>
      </c>
      <c r="B119" s="20">
        <v>118751</v>
      </c>
      <c r="C119" s="20">
        <v>437</v>
      </c>
      <c r="D119" s="15" t="s">
        <v>54</v>
      </c>
      <c r="E119" s="14" t="s">
        <v>55</v>
      </c>
      <c r="F119" s="15" t="s">
        <v>457</v>
      </c>
      <c r="G119" s="15" t="s">
        <v>449</v>
      </c>
      <c r="H119" s="20" t="s">
        <v>35</v>
      </c>
      <c r="I119" s="16" t="s">
        <v>1859</v>
      </c>
      <c r="J119" s="30">
        <v>43340</v>
      </c>
      <c r="K119" s="30">
        <v>43644</v>
      </c>
      <c r="L119" s="31">
        <f>R119/AD119*100</f>
        <v>85.000001668371198</v>
      </c>
      <c r="M119" s="20">
        <v>3</v>
      </c>
      <c r="N119" s="20" t="s">
        <v>451</v>
      </c>
      <c r="O119" s="20" t="s">
        <v>451</v>
      </c>
      <c r="P119" s="32" t="s">
        <v>39</v>
      </c>
      <c r="Q119" s="20" t="s">
        <v>40</v>
      </c>
      <c r="R119" s="33">
        <v>254739.48</v>
      </c>
      <c r="S119" s="35">
        <v>254739.48</v>
      </c>
      <c r="T119" s="2">
        <v>0</v>
      </c>
      <c r="U119" s="33">
        <f>V119+W119</f>
        <v>38960.15</v>
      </c>
      <c r="V119" s="2">
        <v>38960.15</v>
      </c>
      <c r="W119" s="2">
        <v>0</v>
      </c>
      <c r="X119" s="33">
        <f>Y119+Z119</f>
        <v>5993.87</v>
      </c>
      <c r="Y119" s="2">
        <v>5993.87</v>
      </c>
      <c r="Z119" s="2">
        <v>0</v>
      </c>
      <c r="AA119" s="2">
        <f>AB119+AC119</f>
        <v>0</v>
      </c>
      <c r="AB119" s="2">
        <v>0</v>
      </c>
      <c r="AC119" s="2">
        <v>0</v>
      </c>
      <c r="AD119" s="2">
        <f t="shared" si="66"/>
        <v>299693.5</v>
      </c>
      <c r="AE119" s="2">
        <v>0</v>
      </c>
      <c r="AF119" s="2">
        <f>AD119+AE119</f>
        <v>299693.5</v>
      </c>
      <c r="AG119" s="24" t="s">
        <v>41</v>
      </c>
      <c r="AH119" s="34" t="s">
        <v>35</v>
      </c>
      <c r="AI119" s="35">
        <v>248993.41</v>
      </c>
      <c r="AJ119" s="36">
        <v>38081.339999999997</v>
      </c>
      <c r="AK119" s="28">
        <f t="shared" si="44"/>
        <v>5746.070000000007</v>
      </c>
      <c r="AL119" s="28">
        <f t="shared" si="45"/>
        <v>878.81000000000495</v>
      </c>
      <c r="AM119" s="29">
        <f t="shared" si="46"/>
        <v>0.97744334721889203</v>
      </c>
    </row>
    <row r="120" spans="1:39" ht="192" customHeight="1" x14ac:dyDescent="0.25">
      <c r="A120" s="10">
        <v>117</v>
      </c>
      <c r="B120" s="37">
        <v>126535</v>
      </c>
      <c r="C120" s="20">
        <v>564</v>
      </c>
      <c r="D120" s="15" t="s">
        <v>31</v>
      </c>
      <c r="E120" s="14" t="s">
        <v>65</v>
      </c>
      <c r="F120" s="37" t="s">
        <v>458</v>
      </c>
      <c r="G120" s="20" t="s">
        <v>449</v>
      </c>
      <c r="H120" s="20" t="s">
        <v>35</v>
      </c>
      <c r="I120" s="15" t="s">
        <v>459</v>
      </c>
      <c r="J120" s="30">
        <v>43447</v>
      </c>
      <c r="K120" s="30">
        <v>44178</v>
      </c>
      <c r="L120" s="31">
        <f>R120/AD120*100</f>
        <v>85</v>
      </c>
      <c r="M120" s="20">
        <v>3</v>
      </c>
      <c r="N120" s="20" t="s">
        <v>451</v>
      </c>
      <c r="O120" s="20" t="s">
        <v>451</v>
      </c>
      <c r="P120" s="32" t="s">
        <v>39</v>
      </c>
      <c r="Q120" s="20" t="s">
        <v>40</v>
      </c>
      <c r="R120" s="33">
        <f>S120+T120</f>
        <v>3199377.9</v>
      </c>
      <c r="S120" s="35">
        <v>3199377.9</v>
      </c>
      <c r="T120" s="35">
        <v>0</v>
      </c>
      <c r="U120" s="33">
        <f>V120+W120</f>
        <v>489316.62</v>
      </c>
      <c r="V120" s="35">
        <v>489316.62</v>
      </c>
      <c r="W120" s="35">
        <v>0</v>
      </c>
      <c r="X120" s="33">
        <f>Y120+Z120</f>
        <v>75279.48</v>
      </c>
      <c r="Y120" s="2">
        <v>75279.48</v>
      </c>
      <c r="Z120" s="2">
        <v>0</v>
      </c>
      <c r="AA120" s="2">
        <f>AB120+AC120</f>
        <v>0</v>
      </c>
      <c r="AB120" s="35">
        <v>0</v>
      </c>
      <c r="AC120" s="35">
        <v>0</v>
      </c>
      <c r="AD120" s="2">
        <f t="shared" si="66"/>
        <v>3763974</v>
      </c>
      <c r="AE120" s="39"/>
      <c r="AF120" s="2">
        <f>AD120+AE120</f>
        <v>3763974</v>
      </c>
      <c r="AG120" s="39" t="s">
        <v>69</v>
      </c>
      <c r="AH120" s="34"/>
      <c r="AI120" s="35">
        <v>455141.07</v>
      </c>
      <c r="AJ120" s="36">
        <v>31374.51</v>
      </c>
      <c r="AK120" s="28">
        <f t="shared" si="44"/>
        <v>2744236.83</v>
      </c>
      <c r="AL120" s="28">
        <f t="shared" si="45"/>
        <v>457942.11</v>
      </c>
      <c r="AM120" s="29">
        <f t="shared" si="46"/>
        <v>0.14225924046046579</v>
      </c>
    </row>
    <row r="121" spans="1:39" ht="192" customHeight="1" x14ac:dyDescent="0.25">
      <c r="A121" s="10">
        <v>118</v>
      </c>
      <c r="B121" s="20">
        <v>120638</v>
      </c>
      <c r="C121" s="20">
        <v>97</v>
      </c>
      <c r="D121" s="15" t="s">
        <v>31</v>
      </c>
      <c r="E121" s="14" t="s">
        <v>32</v>
      </c>
      <c r="F121" s="15" t="s">
        <v>460</v>
      </c>
      <c r="G121" s="20" t="s">
        <v>461</v>
      </c>
      <c r="H121" s="20" t="s">
        <v>35</v>
      </c>
      <c r="I121" s="55" t="s">
        <v>462</v>
      </c>
      <c r="J121" s="30">
        <v>43145</v>
      </c>
      <c r="K121" s="30">
        <v>43630</v>
      </c>
      <c r="L121" s="31">
        <f t="shared" ref="L121:L127" si="67">R121/AD121*100</f>
        <v>84.999998641808133</v>
      </c>
      <c r="M121" s="20">
        <v>4</v>
      </c>
      <c r="N121" s="20" t="s">
        <v>463</v>
      </c>
      <c r="O121" s="20" t="s">
        <v>464</v>
      </c>
      <c r="P121" s="32" t="s">
        <v>39</v>
      </c>
      <c r="Q121" s="20" t="s">
        <v>40</v>
      </c>
      <c r="R121" s="2">
        <f t="shared" ref="R121:R127" si="68">S121+T121</f>
        <v>312916.02</v>
      </c>
      <c r="S121" s="52">
        <v>312916.02</v>
      </c>
      <c r="T121" s="59">
        <v>0</v>
      </c>
      <c r="U121" s="33">
        <f t="shared" ref="U121:U157" si="69">V121+W121</f>
        <v>47857.75</v>
      </c>
      <c r="V121" s="2">
        <v>47857.75</v>
      </c>
      <c r="W121" s="2">
        <v>0</v>
      </c>
      <c r="X121" s="33">
        <f t="shared" ref="X121:X157" si="70">Y121+Z121</f>
        <v>7362.73</v>
      </c>
      <c r="Y121" s="2">
        <v>7362.73</v>
      </c>
      <c r="Z121" s="2">
        <v>0</v>
      </c>
      <c r="AA121" s="2">
        <f t="shared" ref="AA121:AA127" si="71">AB121+AC121</f>
        <v>0</v>
      </c>
      <c r="AB121" s="2">
        <v>0</v>
      </c>
      <c r="AC121" s="2">
        <v>0</v>
      </c>
      <c r="AD121" s="2">
        <f t="shared" si="66"/>
        <v>368136.5</v>
      </c>
      <c r="AE121" s="2">
        <v>0</v>
      </c>
      <c r="AF121" s="2">
        <f t="shared" ref="AF121:AF127" si="72">AD121+AE121</f>
        <v>368136.5</v>
      </c>
      <c r="AG121" s="24" t="s">
        <v>41</v>
      </c>
      <c r="AH121" s="34" t="s">
        <v>46</v>
      </c>
      <c r="AI121" s="35">
        <v>237555.28999999998</v>
      </c>
      <c r="AJ121" s="36">
        <v>36331.979999999996</v>
      </c>
      <c r="AK121" s="28">
        <f t="shared" si="44"/>
        <v>75360.73000000004</v>
      </c>
      <c r="AL121" s="28">
        <f t="shared" si="45"/>
        <v>11525.770000000004</v>
      </c>
      <c r="AM121" s="29">
        <f t="shared" si="46"/>
        <v>0.75916627726506292</v>
      </c>
    </row>
    <row r="122" spans="1:39" ht="192" customHeight="1" x14ac:dyDescent="0.25">
      <c r="A122" s="10">
        <v>119</v>
      </c>
      <c r="B122" s="37">
        <v>120714</v>
      </c>
      <c r="C122" s="20">
        <v>111</v>
      </c>
      <c r="D122" s="15" t="s">
        <v>31</v>
      </c>
      <c r="E122" s="14" t="s">
        <v>32</v>
      </c>
      <c r="F122" s="15" t="s">
        <v>465</v>
      </c>
      <c r="G122" s="20" t="s">
        <v>466</v>
      </c>
      <c r="H122" s="20" t="s">
        <v>467</v>
      </c>
      <c r="I122" s="16" t="s">
        <v>468</v>
      </c>
      <c r="J122" s="30">
        <v>43166</v>
      </c>
      <c r="K122" s="30">
        <v>43653</v>
      </c>
      <c r="L122" s="31">
        <f t="shared" si="67"/>
        <v>85</v>
      </c>
      <c r="M122" s="20">
        <v>4</v>
      </c>
      <c r="N122" s="20" t="s">
        <v>463</v>
      </c>
      <c r="O122" s="20" t="s">
        <v>464</v>
      </c>
      <c r="P122" s="32" t="s">
        <v>39</v>
      </c>
      <c r="Q122" s="20" t="s">
        <v>40</v>
      </c>
      <c r="R122" s="2">
        <f t="shared" si="68"/>
        <v>355906.39</v>
      </c>
      <c r="S122" s="64">
        <v>355906.39</v>
      </c>
      <c r="T122" s="64">
        <v>0</v>
      </c>
      <c r="U122" s="33">
        <f t="shared" si="69"/>
        <v>54432.74</v>
      </c>
      <c r="V122" s="2">
        <v>54432.74</v>
      </c>
      <c r="W122" s="2">
        <v>0</v>
      </c>
      <c r="X122" s="33">
        <f t="shared" si="70"/>
        <v>8374.27</v>
      </c>
      <c r="Y122" s="2">
        <v>8374.27</v>
      </c>
      <c r="Z122" s="2">
        <v>0</v>
      </c>
      <c r="AA122" s="2">
        <f t="shared" si="71"/>
        <v>0</v>
      </c>
      <c r="AB122" s="2">
        <v>0</v>
      </c>
      <c r="AC122" s="2">
        <v>0</v>
      </c>
      <c r="AD122" s="2">
        <f t="shared" si="66"/>
        <v>418713.4</v>
      </c>
      <c r="AE122" s="2">
        <v>0</v>
      </c>
      <c r="AF122" s="2">
        <f t="shared" si="72"/>
        <v>418713.4</v>
      </c>
      <c r="AG122" s="24" t="s">
        <v>41</v>
      </c>
      <c r="AH122" s="34" t="s">
        <v>35</v>
      </c>
      <c r="AI122" s="35">
        <v>292880.73</v>
      </c>
      <c r="AJ122" s="36">
        <v>44793.507300000012</v>
      </c>
      <c r="AK122" s="28">
        <f t="shared" si="44"/>
        <v>63025.660000000033</v>
      </c>
      <c r="AL122" s="28">
        <f t="shared" si="45"/>
        <v>9639.2326999999859</v>
      </c>
      <c r="AM122" s="29">
        <f t="shared" si="46"/>
        <v>0.8229150648292658</v>
      </c>
    </row>
    <row r="123" spans="1:39" ht="192" customHeight="1" x14ac:dyDescent="0.25">
      <c r="A123" s="10">
        <v>120</v>
      </c>
      <c r="B123" s="37">
        <v>119758</v>
      </c>
      <c r="C123" s="20">
        <v>460</v>
      </c>
      <c r="D123" s="20" t="s">
        <v>47</v>
      </c>
      <c r="E123" s="14" t="s">
        <v>48</v>
      </c>
      <c r="F123" s="97" t="s">
        <v>469</v>
      </c>
      <c r="G123" s="15" t="s">
        <v>470</v>
      </c>
      <c r="H123" s="20" t="s">
        <v>35</v>
      </c>
      <c r="I123" s="16" t="s">
        <v>471</v>
      </c>
      <c r="J123" s="30">
        <v>43264</v>
      </c>
      <c r="K123" s="30">
        <v>43751</v>
      </c>
      <c r="L123" s="31">
        <f t="shared" si="67"/>
        <v>85</v>
      </c>
      <c r="M123" s="20">
        <v>4</v>
      </c>
      <c r="N123" s="20" t="s">
        <v>463</v>
      </c>
      <c r="O123" s="20" t="s">
        <v>472</v>
      </c>
      <c r="P123" s="32" t="s">
        <v>39</v>
      </c>
      <c r="Q123" s="20" t="s">
        <v>40</v>
      </c>
      <c r="R123" s="2">
        <f t="shared" si="68"/>
        <v>356536.75</v>
      </c>
      <c r="S123" s="64">
        <v>356536.75</v>
      </c>
      <c r="T123" s="64">
        <v>0</v>
      </c>
      <c r="U123" s="33">
        <f t="shared" si="69"/>
        <v>54529.15</v>
      </c>
      <c r="V123" s="2">
        <v>54529.15</v>
      </c>
      <c r="W123" s="2"/>
      <c r="X123" s="33">
        <f t="shared" si="70"/>
        <v>8389.1</v>
      </c>
      <c r="Y123" s="2">
        <v>8389.1</v>
      </c>
      <c r="Z123" s="2">
        <v>0</v>
      </c>
      <c r="AA123" s="2">
        <f t="shared" si="71"/>
        <v>0</v>
      </c>
      <c r="AB123" s="2">
        <v>0</v>
      </c>
      <c r="AC123" s="2">
        <v>0</v>
      </c>
      <c r="AD123" s="2">
        <f t="shared" si="66"/>
        <v>419455</v>
      </c>
      <c r="AE123" s="2"/>
      <c r="AF123" s="2">
        <f t="shared" si="72"/>
        <v>419455</v>
      </c>
      <c r="AG123" s="24" t="s">
        <v>41</v>
      </c>
      <c r="AH123" s="34"/>
      <c r="AI123" s="35">
        <v>294297.16000000003</v>
      </c>
      <c r="AJ123" s="36">
        <v>45010.169999999991</v>
      </c>
      <c r="AK123" s="28">
        <f t="shared" si="44"/>
        <v>62239.589999999967</v>
      </c>
      <c r="AL123" s="28">
        <f t="shared" si="45"/>
        <v>9518.9800000000105</v>
      </c>
      <c r="AM123" s="29">
        <f t="shared" si="46"/>
        <v>0.82543289015788701</v>
      </c>
    </row>
    <row r="124" spans="1:39" ht="192" customHeight="1" x14ac:dyDescent="0.25">
      <c r="A124" s="10">
        <v>121</v>
      </c>
      <c r="B124" s="37">
        <v>116766</v>
      </c>
      <c r="C124" s="20">
        <v>409</v>
      </c>
      <c r="D124" s="15" t="s">
        <v>54</v>
      </c>
      <c r="E124" s="14" t="s">
        <v>55</v>
      </c>
      <c r="F124" s="15" t="s">
        <v>473</v>
      </c>
      <c r="G124" s="15" t="s">
        <v>467</v>
      </c>
      <c r="H124" s="20" t="s">
        <v>35</v>
      </c>
      <c r="I124" s="15" t="s">
        <v>474</v>
      </c>
      <c r="J124" s="30">
        <v>43278</v>
      </c>
      <c r="K124" s="30">
        <v>43826</v>
      </c>
      <c r="L124" s="31">
        <f t="shared" si="67"/>
        <v>85.000000275422053</v>
      </c>
      <c r="M124" s="20">
        <v>4</v>
      </c>
      <c r="N124" s="20" t="s">
        <v>463</v>
      </c>
      <c r="O124" s="20" t="s">
        <v>475</v>
      </c>
      <c r="P124" s="20" t="s">
        <v>39</v>
      </c>
      <c r="Q124" s="20" t="s">
        <v>40</v>
      </c>
      <c r="R124" s="2">
        <f t="shared" si="68"/>
        <v>308617.27</v>
      </c>
      <c r="S124" s="64">
        <v>308617.27</v>
      </c>
      <c r="T124" s="64">
        <v>0</v>
      </c>
      <c r="U124" s="33">
        <f t="shared" si="69"/>
        <v>47200.29</v>
      </c>
      <c r="V124" s="2">
        <v>47200.29</v>
      </c>
      <c r="W124" s="2">
        <v>0</v>
      </c>
      <c r="X124" s="33">
        <f t="shared" si="70"/>
        <v>7261.58</v>
      </c>
      <c r="Y124" s="2">
        <v>7261.58</v>
      </c>
      <c r="Z124" s="33">
        <v>0</v>
      </c>
      <c r="AA124" s="2">
        <f t="shared" si="71"/>
        <v>0</v>
      </c>
      <c r="AB124" s="33">
        <v>0</v>
      </c>
      <c r="AC124" s="33">
        <v>0</v>
      </c>
      <c r="AD124" s="2">
        <f t="shared" si="66"/>
        <v>363079.14</v>
      </c>
      <c r="AE124" s="98">
        <v>0</v>
      </c>
      <c r="AF124" s="2">
        <f t="shared" si="72"/>
        <v>363079.14</v>
      </c>
      <c r="AG124" s="39" t="s">
        <v>41</v>
      </c>
      <c r="AH124" s="70" t="s">
        <v>476</v>
      </c>
      <c r="AI124" s="35">
        <v>225079</v>
      </c>
      <c r="AJ124" s="36">
        <v>34423.869999999995</v>
      </c>
      <c r="AK124" s="28">
        <f t="shared" si="44"/>
        <v>83538.270000000019</v>
      </c>
      <c r="AL124" s="28">
        <f t="shared" si="45"/>
        <v>12776.420000000006</v>
      </c>
      <c r="AM124" s="29">
        <f t="shared" si="46"/>
        <v>0.72931433811205704</v>
      </c>
    </row>
    <row r="125" spans="1:39" ht="192" customHeight="1" x14ac:dyDescent="0.25">
      <c r="A125" s="10">
        <v>122</v>
      </c>
      <c r="B125" s="37">
        <v>126293</v>
      </c>
      <c r="C125" s="20">
        <v>523</v>
      </c>
      <c r="D125" s="15" t="s">
        <v>31</v>
      </c>
      <c r="E125" s="14" t="s">
        <v>65</v>
      </c>
      <c r="F125" s="15" t="s">
        <v>477</v>
      </c>
      <c r="G125" s="15" t="s">
        <v>478</v>
      </c>
      <c r="H125" s="20" t="s">
        <v>35</v>
      </c>
      <c r="I125" s="15" t="s">
        <v>479</v>
      </c>
      <c r="J125" s="30">
        <v>43437</v>
      </c>
      <c r="K125" s="30">
        <v>44289</v>
      </c>
      <c r="L125" s="31">
        <f t="shared" si="67"/>
        <v>85.000000538702352</v>
      </c>
      <c r="M125" s="20">
        <v>4</v>
      </c>
      <c r="N125" s="20" t="s">
        <v>463</v>
      </c>
      <c r="O125" s="20" t="s">
        <v>475</v>
      </c>
      <c r="P125" s="20" t="s">
        <v>39</v>
      </c>
      <c r="Q125" s="20" t="s">
        <v>40</v>
      </c>
      <c r="R125" s="2">
        <f t="shared" si="68"/>
        <v>2366798.75</v>
      </c>
      <c r="S125" s="64">
        <v>2366798.75</v>
      </c>
      <c r="T125" s="64">
        <v>0</v>
      </c>
      <c r="U125" s="33">
        <f t="shared" si="69"/>
        <v>361980.97</v>
      </c>
      <c r="V125" s="2">
        <v>361980.97</v>
      </c>
      <c r="W125" s="2">
        <v>0</v>
      </c>
      <c r="X125" s="33">
        <f t="shared" si="70"/>
        <v>55689.38</v>
      </c>
      <c r="Y125" s="2">
        <v>55689.38</v>
      </c>
      <c r="Z125" s="35">
        <v>0</v>
      </c>
      <c r="AA125" s="2">
        <f t="shared" si="71"/>
        <v>0</v>
      </c>
      <c r="AB125" s="35">
        <v>0</v>
      </c>
      <c r="AC125" s="35">
        <v>0</v>
      </c>
      <c r="AD125" s="2">
        <f>R125+U125+X125</f>
        <v>2784469.0999999996</v>
      </c>
      <c r="AE125" s="2">
        <v>129948</v>
      </c>
      <c r="AF125" s="2">
        <f t="shared" si="72"/>
        <v>2914417.0999999996</v>
      </c>
      <c r="AG125" s="39" t="s">
        <v>69</v>
      </c>
      <c r="AH125" s="70" t="s">
        <v>35</v>
      </c>
      <c r="AI125" s="35">
        <v>3500.5</v>
      </c>
      <c r="AJ125" s="36">
        <v>535.38</v>
      </c>
      <c r="AK125" s="28">
        <f t="shared" si="44"/>
        <v>2363298.25</v>
      </c>
      <c r="AL125" s="28">
        <f t="shared" si="45"/>
        <v>361445.58999999997</v>
      </c>
      <c r="AM125" s="29">
        <f t="shared" si="46"/>
        <v>1.4790019641509444E-3</v>
      </c>
    </row>
    <row r="126" spans="1:39" ht="192" customHeight="1" x14ac:dyDescent="0.25">
      <c r="A126" s="10">
        <v>123</v>
      </c>
      <c r="B126" s="37">
        <v>126212</v>
      </c>
      <c r="C126" s="20">
        <v>516</v>
      </c>
      <c r="D126" s="15" t="s">
        <v>31</v>
      </c>
      <c r="E126" s="14" t="s">
        <v>65</v>
      </c>
      <c r="F126" s="15" t="s">
        <v>480</v>
      </c>
      <c r="G126" s="15" t="s">
        <v>470</v>
      </c>
      <c r="H126" s="20" t="s">
        <v>35</v>
      </c>
      <c r="I126" s="15" t="s">
        <v>481</v>
      </c>
      <c r="J126" s="30">
        <v>43445</v>
      </c>
      <c r="K126" s="30">
        <v>43993</v>
      </c>
      <c r="L126" s="31">
        <f t="shared" si="67"/>
        <v>85.000000138721092</v>
      </c>
      <c r="M126" s="20">
        <v>4</v>
      </c>
      <c r="N126" s="20" t="s">
        <v>463</v>
      </c>
      <c r="O126" s="20" t="s">
        <v>472</v>
      </c>
      <c r="P126" s="20" t="s">
        <v>39</v>
      </c>
      <c r="Q126" s="20" t="s">
        <v>40</v>
      </c>
      <c r="R126" s="2">
        <f t="shared" si="68"/>
        <v>3063701.5</v>
      </c>
      <c r="S126" s="64">
        <v>3063701.5</v>
      </c>
      <c r="T126" s="64">
        <v>0</v>
      </c>
      <c r="U126" s="33">
        <f t="shared" si="69"/>
        <v>468566.11</v>
      </c>
      <c r="V126" s="2">
        <v>468566.11</v>
      </c>
      <c r="W126" s="2">
        <v>0</v>
      </c>
      <c r="X126" s="33">
        <f t="shared" si="70"/>
        <v>72087.09</v>
      </c>
      <c r="Y126" s="2">
        <v>72087.09</v>
      </c>
      <c r="Z126" s="35">
        <v>0</v>
      </c>
      <c r="AA126" s="2">
        <f t="shared" si="71"/>
        <v>0</v>
      </c>
      <c r="AB126" s="35">
        <v>0</v>
      </c>
      <c r="AC126" s="35">
        <v>0</v>
      </c>
      <c r="AD126" s="2">
        <f>R126+U126+X126</f>
        <v>3604354.6999999997</v>
      </c>
      <c r="AE126" s="39">
        <v>0</v>
      </c>
      <c r="AF126" s="2">
        <f t="shared" si="72"/>
        <v>3604354.6999999997</v>
      </c>
      <c r="AG126" s="39" t="s">
        <v>69</v>
      </c>
      <c r="AH126" s="70" t="s">
        <v>35</v>
      </c>
      <c r="AI126" s="35">
        <v>672056.19</v>
      </c>
      <c r="AJ126" s="36">
        <v>54608.579999999973</v>
      </c>
      <c r="AK126" s="28">
        <f t="shared" si="44"/>
        <v>2391645.31</v>
      </c>
      <c r="AL126" s="28">
        <f t="shared" si="45"/>
        <v>413957.53</v>
      </c>
      <c r="AM126" s="29">
        <f t="shared" si="46"/>
        <v>0.21936085809926323</v>
      </c>
    </row>
    <row r="127" spans="1:39" ht="192" customHeight="1" x14ac:dyDescent="0.25">
      <c r="A127" s="10">
        <v>124</v>
      </c>
      <c r="B127" s="37">
        <v>125603</v>
      </c>
      <c r="C127" s="20">
        <v>528</v>
      </c>
      <c r="D127" s="15" t="s">
        <v>31</v>
      </c>
      <c r="E127" s="14" t="s">
        <v>65</v>
      </c>
      <c r="F127" s="15" t="s">
        <v>482</v>
      </c>
      <c r="G127" s="15" t="s">
        <v>461</v>
      </c>
      <c r="H127" s="20" t="s">
        <v>35</v>
      </c>
      <c r="I127" s="15" t="s">
        <v>483</v>
      </c>
      <c r="J127" s="30">
        <v>43486</v>
      </c>
      <c r="K127" s="30">
        <v>44398</v>
      </c>
      <c r="L127" s="31">
        <f t="shared" si="67"/>
        <v>85.000000127543871</v>
      </c>
      <c r="M127" s="20">
        <v>4</v>
      </c>
      <c r="N127" s="20" t="s">
        <v>463</v>
      </c>
      <c r="O127" s="20" t="s">
        <v>475</v>
      </c>
      <c r="P127" s="20" t="s">
        <v>39</v>
      </c>
      <c r="Q127" s="20" t="s">
        <v>40</v>
      </c>
      <c r="R127" s="2">
        <f t="shared" si="68"/>
        <v>2998968.16</v>
      </c>
      <c r="S127" s="64">
        <v>2998968.16</v>
      </c>
      <c r="T127" s="64">
        <v>0</v>
      </c>
      <c r="U127" s="33">
        <f t="shared" si="69"/>
        <v>458665.73</v>
      </c>
      <c r="V127" s="2">
        <v>458665.73</v>
      </c>
      <c r="W127" s="2">
        <v>0</v>
      </c>
      <c r="X127" s="33">
        <f t="shared" si="70"/>
        <v>70563.94</v>
      </c>
      <c r="Y127" s="2">
        <v>70563.94</v>
      </c>
      <c r="Z127" s="35">
        <v>0</v>
      </c>
      <c r="AA127" s="2">
        <f t="shared" si="71"/>
        <v>0</v>
      </c>
      <c r="AB127" s="35">
        <v>0</v>
      </c>
      <c r="AC127" s="35">
        <v>0</v>
      </c>
      <c r="AD127" s="2">
        <f>R127+U127+X127</f>
        <v>3528197.83</v>
      </c>
      <c r="AE127" s="39">
        <v>0</v>
      </c>
      <c r="AF127" s="2">
        <f t="shared" si="72"/>
        <v>3528197.83</v>
      </c>
      <c r="AG127" s="39" t="s">
        <v>69</v>
      </c>
      <c r="AH127" s="70"/>
      <c r="AI127" s="35">
        <v>222039.75</v>
      </c>
      <c r="AJ127" s="36">
        <v>33959.019999999997</v>
      </c>
      <c r="AK127" s="28">
        <f t="shared" si="44"/>
        <v>2776928.41</v>
      </c>
      <c r="AL127" s="28">
        <f t="shared" si="45"/>
        <v>424706.70999999996</v>
      </c>
      <c r="AM127" s="29">
        <f t="shared" si="46"/>
        <v>7.4038715369355565E-2</v>
      </c>
    </row>
    <row r="128" spans="1:39" ht="192" customHeight="1" x14ac:dyDescent="0.25">
      <c r="A128" s="10">
        <v>125</v>
      </c>
      <c r="B128" s="37">
        <v>111237</v>
      </c>
      <c r="C128" s="20">
        <v>124</v>
      </c>
      <c r="D128" s="15" t="s">
        <v>31</v>
      </c>
      <c r="E128" s="14" t="s">
        <v>32</v>
      </c>
      <c r="F128" s="15" t="s">
        <v>484</v>
      </c>
      <c r="G128" s="15" t="s">
        <v>485</v>
      </c>
      <c r="H128" s="20" t="s">
        <v>35</v>
      </c>
      <c r="I128" s="16" t="s">
        <v>486</v>
      </c>
      <c r="J128" s="30">
        <v>43145</v>
      </c>
      <c r="K128" s="30">
        <v>43783</v>
      </c>
      <c r="L128" s="31">
        <f>R128/AD128*100</f>
        <v>85.000000000000014</v>
      </c>
      <c r="M128" s="20">
        <v>7</v>
      </c>
      <c r="N128" s="19" t="s">
        <v>487</v>
      </c>
      <c r="O128" s="20" t="s">
        <v>488</v>
      </c>
      <c r="P128" s="32" t="s">
        <v>39</v>
      </c>
      <c r="Q128" s="20" t="s">
        <v>40</v>
      </c>
      <c r="R128" s="85">
        <f t="shared" ref="R128:R133" si="73">S128+T128</f>
        <v>306686.8</v>
      </c>
      <c r="S128" s="64">
        <v>306686.8</v>
      </c>
      <c r="T128" s="99">
        <v>0</v>
      </c>
      <c r="U128" s="33">
        <f t="shared" si="69"/>
        <v>46905.04</v>
      </c>
      <c r="V128" s="2">
        <v>46905.04</v>
      </c>
      <c r="W128" s="2">
        <v>0</v>
      </c>
      <c r="X128" s="33">
        <f t="shared" si="70"/>
        <v>7216.16</v>
      </c>
      <c r="Y128" s="2">
        <v>7216.16</v>
      </c>
      <c r="Z128" s="2">
        <v>0</v>
      </c>
      <c r="AA128" s="2">
        <f>AB128+AC128</f>
        <v>0</v>
      </c>
      <c r="AB128" s="2">
        <v>0</v>
      </c>
      <c r="AC128" s="2">
        <v>0</v>
      </c>
      <c r="AD128" s="2">
        <f>R128+U128+X128+AA128</f>
        <v>360807.99999999994</v>
      </c>
      <c r="AE128" s="2">
        <v>0</v>
      </c>
      <c r="AF128" s="2">
        <f>AD128+AE128</f>
        <v>360807.99999999994</v>
      </c>
      <c r="AG128" s="24" t="s">
        <v>41</v>
      </c>
      <c r="AH128" s="34" t="s">
        <v>489</v>
      </c>
      <c r="AI128" s="35">
        <v>194851.21</v>
      </c>
      <c r="AJ128" s="36">
        <v>29800.81</v>
      </c>
      <c r="AK128" s="28">
        <f t="shared" si="44"/>
        <v>111835.59</v>
      </c>
      <c r="AL128" s="28">
        <f t="shared" si="45"/>
        <v>17104.23</v>
      </c>
      <c r="AM128" s="29">
        <f t="shared" si="46"/>
        <v>0.63534266880739565</v>
      </c>
    </row>
    <row r="129" spans="1:39" ht="192" customHeight="1" x14ac:dyDescent="0.25">
      <c r="A129" s="10">
        <v>126</v>
      </c>
      <c r="B129" s="37">
        <v>122784</v>
      </c>
      <c r="C129" s="20">
        <v>94</v>
      </c>
      <c r="D129" s="15" t="s">
        <v>31</v>
      </c>
      <c r="E129" s="14" t="s">
        <v>32</v>
      </c>
      <c r="F129" s="15" t="s">
        <v>1834</v>
      </c>
      <c r="G129" s="15" t="s">
        <v>494</v>
      </c>
      <c r="H129" s="15" t="s">
        <v>35</v>
      </c>
      <c r="I129" s="16" t="s">
        <v>1835</v>
      </c>
      <c r="J129" s="30">
        <v>43264</v>
      </c>
      <c r="K129" s="30">
        <v>43751</v>
      </c>
      <c r="L129" s="31">
        <f>R129/AD129*100</f>
        <v>85.000002941982572</v>
      </c>
      <c r="M129" s="20">
        <v>7</v>
      </c>
      <c r="N129" s="19" t="s">
        <v>487</v>
      </c>
      <c r="O129" s="20" t="s">
        <v>1836</v>
      </c>
      <c r="P129" s="32" t="s">
        <v>39</v>
      </c>
      <c r="Q129" s="20" t="s">
        <v>40</v>
      </c>
      <c r="R129" s="85">
        <f t="shared" si="73"/>
        <v>361151.03</v>
      </c>
      <c r="S129" s="35">
        <v>361151.03</v>
      </c>
      <c r="T129" s="41">
        <v>0</v>
      </c>
      <c r="U129" s="33">
        <f t="shared" si="69"/>
        <v>55234.85</v>
      </c>
      <c r="V129" s="41">
        <v>55234.85</v>
      </c>
      <c r="W129" s="41">
        <v>0</v>
      </c>
      <c r="X129" s="33">
        <f t="shared" si="70"/>
        <v>8497.67</v>
      </c>
      <c r="Y129" s="35">
        <v>8497.67</v>
      </c>
      <c r="Z129" s="35">
        <v>0</v>
      </c>
      <c r="AA129" s="2">
        <f>AB129+AC129</f>
        <v>0</v>
      </c>
      <c r="AB129" s="2">
        <v>0</v>
      </c>
      <c r="AC129" s="2">
        <v>0</v>
      </c>
      <c r="AD129" s="2">
        <f>R129+U129+X129+AA129</f>
        <v>424883.55</v>
      </c>
      <c r="AE129" s="2">
        <v>0</v>
      </c>
      <c r="AF129" s="2">
        <f>AD129+AE129</f>
        <v>424883.55</v>
      </c>
      <c r="AG129" s="39" t="s">
        <v>1837</v>
      </c>
      <c r="AH129" s="39"/>
      <c r="AI129" s="35">
        <v>0</v>
      </c>
      <c r="AJ129" s="36">
        <v>0</v>
      </c>
      <c r="AK129" s="28">
        <f t="shared" si="44"/>
        <v>361151.03</v>
      </c>
      <c r="AL129" s="28">
        <f t="shared" si="45"/>
        <v>55234.85</v>
      </c>
      <c r="AM129" s="29">
        <f t="shared" si="46"/>
        <v>0</v>
      </c>
    </row>
    <row r="130" spans="1:39" ht="192" customHeight="1" x14ac:dyDescent="0.25">
      <c r="A130" s="10">
        <v>127</v>
      </c>
      <c r="B130" s="37">
        <v>126548</v>
      </c>
      <c r="C130" s="20">
        <v>533</v>
      </c>
      <c r="D130" s="15" t="s">
        <v>31</v>
      </c>
      <c r="E130" s="14" t="s">
        <v>65</v>
      </c>
      <c r="F130" s="15" t="s">
        <v>490</v>
      </c>
      <c r="G130" s="15" t="s">
        <v>491</v>
      </c>
      <c r="H130" s="15" t="s">
        <v>35</v>
      </c>
      <c r="I130" s="16" t="s">
        <v>492</v>
      </c>
      <c r="J130" s="30">
        <v>43598</v>
      </c>
      <c r="K130" s="30">
        <v>44087</v>
      </c>
      <c r="L130" s="31">
        <f>R130/AD130*100</f>
        <v>85.000009423673518</v>
      </c>
      <c r="M130" s="20">
        <v>7</v>
      </c>
      <c r="N130" s="19" t="s">
        <v>487</v>
      </c>
      <c r="O130" s="19" t="s">
        <v>487</v>
      </c>
      <c r="P130" s="32" t="s">
        <v>39</v>
      </c>
      <c r="Q130" s="20" t="s">
        <v>40</v>
      </c>
      <c r="R130" s="85">
        <f t="shared" si="73"/>
        <v>518640.69</v>
      </c>
      <c r="S130" s="35">
        <v>518640.69</v>
      </c>
      <c r="T130" s="41">
        <v>0</v>
      </c>
      <c r="U130" s="33">
        <f t="shared" si="69"/>
        <v>79321.45</v>
      </c>
      <c r="V130" s="41">
        <v>79321.45</v>
      </c>
      <c r="W130" s="41">
        <v>0</v>
      </c>
      <c r="X130" s="33">
        <f t="shared" si="70"/>
        <v>12203.31</v>
      </c>
      <c r="Y130" s="35">
        <v>12203.31</v>
      </c>
      <c r="Z130" s="35">
        <v>0</v>
      </c>
      <c r="AA130" s="2">
        <f>AB130+AC130</f>
        <v>0</v>
      </c>
      <c r="AB130" s="2">
        <v>0</v>
      </c>
      <c r="AC130" s="2">
        <v>0</v>
      </c>
      <c r="AD130" s="2">
        <f>R130+U130+X130+AA130</f>
        <v>610165.45000000007</v>
      </c>
      <c r="AE130" s="2"/>
      <c r="AF130" s="2">
        <f>AD130+AE130</f>
        <v>610165.45000000007</v>
      </c>
      <c r="AG130" s="39" t="s">
        <v>69</v>
      </c>
      <c r="AH130" s="39"/>
      <c r="AI130" s="35">
        <v>86309.8</v>
      </c>
      <c r="AJ130" s="36">
        <v>13200.3</v>
      </c>
      <c r="AK130" s="28">
        <f t="shared" si="44"/>
        <v>432330.89</v>
      </c>
      <c r="AL130" s="28">
        <f t="shared" si="45"/>
        <v>66121.149999999994</v>
      </c>
      <c r="AM130" s="29">
        <f t="shared" si="46"/>
        <v>0.1664154040825451</v>
      </c>
    </row>
    <row r="131" spans="1:39" ht="192" customHeight="1" x14ac:dyDescent="0.25">
      <c r="A131" s="10">
        <v>128</v>
      </c>
      <c r="B131" s="37">
        <v>128765</v>
      </c>
      <c r="C131" s="20">
        <v>633</v>
      </c>
      <c r="D131" s="15" t="s">
        <v>31</v>
      </c>
      <c r="E131" s="14" t="s">
        <v>79</v>
      </c>
      <c r="F131" s="15" t="s">
        <v>493</v>
      </c>
      <c r="G131" s="15" t="s">
        <v>494</v>
      </c>
      <c r="H131" s="15" t="s">
        <v>132</v>
      </c>
      <c r="I131" s="16" t="s">
        <v>495</v>
      </c>
      <c r="J131" s="30">
        <v>43647</v>
      </c>
      <c r="K131" s="30">
        <v>44501</v>
      </c>
      <c r="L131" s="31">
        <f>R131/AD131*100</f>
        <v>85.000000191241938</v>
      </c>
      <c r="M131" s="20">
        <v>7</v>
      </c>
      <c r="N131" s="19" t="s">
        <v>487</v>
      </c>
      <c r="O131" s="19" t="s">
        <v>496</v>
      </c>
      <c r="P131" s="32" t="s">
        <v>39</v>
      </c>
      <c r="Q131" s="20" t="s">
        <v>40</v>
      </c>
      <c r="R131" s="85">
        <f t="shared" si="73"/>
        <v>2222316.08</v>
      </c>
      <c r="S131" s="35">
        <v>2222316.08</v>
      </c>
      <c r="T131" s="41">
        <v>0</v>
      </c>
      <c r="U131" s="33">
        <f t="shared" si="69"/>
        <v>339883.63</v>
      </c>
      <c r="V131" s="41">
        <v>339883.63</v>
      </c>
      <c r="W131" s="41">
        <v>0</v>
      </c>
      <c r="X131" s="33">
        <f t="shared" si="70"/>
        <v>52289.79</v>
      </c>
      <c r="Y131" s="35">
        <v>52289.79</v>
      </c>
      <c r="Z131" s="35">
        <v>0</v>
      </c>
      <c r="AA131" s="2">
        <f>AB131+AC131</f>
        <v>0</v>
      </c>
      <c r="AB131" s="41">
        <v>0</v>
      </c>
      <c r="AC131" s="41">
        <v>0</v>
      </c>
      <c r="AD131" s="2">
        <f>R131+U131+X131+AA131</f>
        <v>2614489.5</v>
      </c>
      <c r="AE131" s="2">
        <v>0</v>
      </c>
      <c r="AF131" s="2">
        <f>AD131+AE131</f>
        <v>2614489.5</v>
      </c>
      <c r="AG131" s="39" t="s">
        <v>69</v>
      </c>
      <c r="AH131" s="39"/>
      <c r="AI131" s="35">
        <v>57017.37</v>
      </c>
      <c r="AJ131" s="36">
        <f>8135.13</f>
        <v>8135.13</v>
      </c>
      <c r="AK131" s="28">
        <f t="shared" si="44"/>
        <v>2165298.71</v>
      </c>
      <c r="AL131" s="28">
        <f t="shared" si="45"/>
        <v>331748.5</v>
      </c>
      <c r="AM131" s="29">
        <f t="shared" si="46"/>
        <v>2.565673286223083E-2</v>
      </c>
    </row>
    <row r="132" spans="1:39" ht="192" customHeight="1" x14ac:dyDescent="0.25">
      <c r="A132" s="10">
        <v>129</v>
      </c>
      <c r="B132" s="37">
        <v>129281</v>
      </c>
      <c r="C132" s="20">
        <v>658</v>
      </c>
      <c r="D132" s="15" t="s">
        <v>31</v>
      </c>
      <c r="E132" s="14" t="s">
        <v>79</v>
      </c>
      <c r="F132" s="15" t="s">
        <v>497</v>
      </c>
      <c r="G132" s="15" t="s">
        <v>498</v>
      </c>
      <c r="H132" s="15" t="s">
        <v>132</v>
      </c>
      <c r="I132" s="16" t="s">
        <v>499</v>
      </c>
      <c r="J132" s="30">
        <v>43710</v>
      </c>
      <c r="K132" s="30">
        <v>44532</v>
      </c>
      <c r="L132" s="31">
        <f>R132/AD132*100</f>
        <v>85.000000187352825</v>
      </c>
      <c r="M132" s="20">
        <v>7</v>
      </c>
      <c r="N132" s="19" t="s">
        <v>487</v>
      </c>
      <c r="O132" s="19" t="s">
        <v>488</v>
      </c>
      <c r="P132" s="32" t="s">
        <v>39</v>
      </c>
      <c r="Q132" s="20" t="s">
        <v>40</v>
      </c>
      <c r="R132" s="85">
        <f t="shared" si="73"/>
        <v>2495291.94</v>
      </c>
      <c r="S132" s="35">
        <v>2495291.94</v>
      </c>
      <c r="T132" s="41">
        <v>0</v>
      </c>
      <c r="U132" s="33">
        <f t="shared" si="69"/>
        <v>381632.89</v>
      </c>
      <c r="V132" s="41">
        <v>381632.89</v>
      </c>
      <c r="W132" s="41">
        <v>0</v>
      </c>
      <c r="X132" s="33">
        <f t="shared" si="70"/>
        <v>58712.74</v>
      </c>
      <c r="Y132" s="35">
        <v>58712.74</v>
      </c>
      <c r="Z132" s="35">
        <v>0</v>
      </c>
      <c r="AA132" s="2">
        <f>AB132+AC132</f>
        <v>0</v>
      </c>
      <c r="AB132" s="41">
        <v>0</v>
      </c>
      <c r="AC132" s="41">
        <v>0</v>
      </c>
      <c r="AD132" s="2">
        <f>R132+U132+X132+AA132</f>
        <v>2935637.5700000003</v>
      </c>
      <c r="AE132" s="2">
        <v>0</v>
      </c>
      <c r="AF132" s="2">
        <f>AD132+AE132</f>
        <v>2935637.5700000003</v>
      </c>
      <c r="AG132" s="39" t="s">
        <v>69</v>
      </c>
      <c r="AH132" s="39"/>
      <c r="AI132" s="35">
        <v>505.75</v>
      </c>
      <c r="AJ132" s="36">
        <v>77.349999999999994</v>
      </c>
      <c r="AK132" s="28">
        <f t="shared" si="44"/>
        <v>2494786.19</v>
      </c>
      <c r="AL132" s="28">
        <f t="shared" si="45"/>
        <v>381555.54000000004</v>
      </c>
      <c r="AM132" s="29">
        <f t="shared" si="46"/>
        <v>2.0268169503244579E-4</v>
      </c>
    </row>
    <row r="133" spans="1:39" ht="192" customHeight="1" x14ac:dyDescent="0.25">
      <c r="A133" s="10">
        <v>130</v>
      </c>
      <c r="B133" s="37">
        <v>120617</v>
      </c>
      <c r="C133" s="20">
        <v>79</v>
      </c>
      <c r="D133" s="15" t="s">
        <v>31</v>
      </c>
      <c r="E133" s="14" t="s">
        <v>32</v>
      </c>
      <c r="F133" s="63" t="s">
        <v>500</v>
      </c>
      <c r="G133" s="40" t="s">
        <v>501</v>
      </c>
      <c r="H133" s="20" t="s">
        <v>35</v>
      </c>
      <c r="I133" s="16" t="s">
        <v>502</v>
      </c>
      <c r="J133" s="30">
        <v>43145</v>
      </c>
      <c r="K133" s="30">
        <v>43630</v>
      </c>
      <c r="L133" s="31">
        <f t="shared" ref="L133:L150" si="74">R133/AD133*100</f>
        <v>84.999999644441075</v>
      </c>
      <c r="M133" s="20">
        <v>5</v>
      </c>
      <c r="N133" s="20" t="s">
        <v>503</v>
      </c>
      <c r="O133" s="20" t="s">
        <v>504</v>
      </c>
      <c r="P133" s="32" t="s">
        <v>39</v>
      </c>
      <c r="Q133" s="20" t="s">
        <v>40</v>
      </c>
      <c r="R133" s="2">
        <f t="shared" si="73"/>
        <v>358590.34</v>
      </c>
      <c r="S133" s="64">
        <v>358590.34</v>
      </c>
      <c r="T133" s="2">
        <v>0</v>
      </c>
      <c r="U133" s="33">
        <f t="shared" si="69"/>
        <v>54843.23</v>
      </c>
      <c r="V133" s="64">
        <v>54843.23</v>
      </c>
      <c r="W133" s="33">
        <v>0</v>
      </c>
      <c r="X133" s="33">
        <f t="shared" si="70"/>
        <v>8437.42</v>
      </c>
      <c r="Y133" s="64">
        <v>8437.42</v>
      </c>
      <c r="Z133" s="33">
        <v>0</v>
      </c>
      <c r="AA133" s="2">
        <f t="shared" ref="AA133:AA143" si="75">AB133+AC133</f>
        <v>0</v>
      </c>
      <c r="AB133" s="2">
        <v>0</v>
      </c>
      <c r="AC133" s="2">
        <v>0</v>
      </c>
      <c r="AD133" s="2">
        <f t="shared" ref="AD133:AD143" si="76">R133+U133+X133+AA133</f>
        <v>421870.99</v>
      </c>
      <c r="AE133" s="2">
        <v>0</v>
      </c>
      <c r="AF133" s="2">
        <f t="shared" ref="AF133:AF150" si="77">AD133+AE133</f>
        <v>421870.99</v>
      </c>
      <c r="AG133" s="24" t="s">
        <v>41</v>
      </c>
      <c r="AH133" s="34" t="s">
        <v>35</v>
      </c>
      <c r="AI133" s="35">
        <v>257973.22999999998</v>
      </c>
      <c r="AJ133" s="36">
        <v>39454.700000000004</v>
      </c>
      <c r="AK133" s="28">
        <f t="shared" ref="AK133:AK196" si="78">R133-AI133</f>
        <v>100617.11000000004</v>
      </c>
      <c r="AL133" s="28">
        <f t="shared" ref="AL133:AL196" si="79">U133-AJ133</f>
        <v>15388.529999999999</v>
      </c>
      <c r="AM133" s="29">
        <f t="shared" ref="AM133:AM196" si="80">AI133/R133</f>
        <v>0.71940931258772889</v>
      </c>
    </row>
    <row r="134" spans="1:39" ht="192" customHeight="1" x14ac:dyDescent="0.25">
      <c r="A134" s="10">
        <v>131</v>
      </c>
      <c r="B134" s="37">
        <v>118193</v>
      </c>
      <c r="C134" s="20">
        <v>424</v>
      </c>
      <c r="D134" s="15" t="s">
        <v>54</v>
      </c>
      <c r="E134" s="14" t="s">
        <v>55</v>
      </c>
      <c r="F134" s="63" t="s">
        <v>505</v>
      </c>
      <c r="G134" s="40" t="s">
        <v>506</v>
      </c>
      <c r="H134" s="20" t="s">
        <v>35</v>
      </c>
      <c r="I134" s="15" t="s">
        <v>507</v>
      </c>
      <c r="J134" s="30">
        <v>43285</v>
      </c>
      <c r="K134" s="30">
        <v>43773</v>
      </c>
      <c r="L134" s="31">
        <f t="shared" si="74"/>
        <v>85.000000000000014</v>
      </c>
      <c r="M134" s="20">
        <v>5</v>
      </c>
      <c r="N134" s="20" t="s">
        <v>508</v>
      </c>
      <c r="O134" s="20" t="s">
        <v>509</v>
      </c>
      <c r="P134" s="20" t="s">
        <v>39</v>
      </c>
      <c r="Q134" s="20" t="s">
        <v>40</v>
      </c>
      <c r="R134" s="2">
        <v>239111.8</v>
      </c>
      <c r="S134" s="41">
        <v>239111.8</v>
      </c>
      <c r="T134" s="41">
        <v>0</v>
      </c>
      <c r="U134" s="33">
        <f t="shared" si="69"/>
        <v>36570.04</v>
      </c>
      <c r="V134" s="41">
        <v>36570.04</v>
      </c>
      <c r="W134" s="41"/>
      <c r="X134" s="33">
        <f t="shared" si="70"/>
        <v>5626.16</v>
      </c>
      <c r="Y134" s="35">
        <v>5626.16</v>
      </c>
      <c r="Z134" s="35">
        <v>0</v>
      </c>
      <c r="AA134" s="2">
        <f t="shared" si="75"/>
        <v>0</v>
      </c>
      <c r="AB134" s="2">
        <v>0</v>
      </c>
      <c r="AC134" s="2">
        <v>0</v>
      </c>
      <c r="AD134" s="2">
        <f t="shared" si="76"/>
        <v>281307.99999999994</v>
      </c>
      <c r="AE134" s="39"/>
      <c r="AF134" s="2">
        <f t="shared" si="77"/>
        <v>281307.99999999994</v>
      </c>
      <c r="AG134" s="24" t="s">
        <v>41</v>
      </c>
      <c r="AH134" s="39"/>
      <c r="AI134" s="35">
        <v>185666.26</v>
      </c>
      <c r="AJ134" s="36">
        <v>28396.000000000004</v>
      </c>
      <c r="AK134" s="28">
        <f t="shared" si="78"/>
        <v>53445.539999999979</v>
      </c>
      <c r="AL134" s="28">
        <f t="shared" si="79"/>
        <v>8174.0399999999972</v>
      </c>
      <c r="AM134" s="29">
        <f t="shared" si="80"/>
        <v>0.77648305102466719</v>
      </c>
    </row>
    <row r="135" spans="1:39" ht="192" customHeight="1" x14ac:dyDescent="0.25">
      <c r="A135" s="10">
        <v>132</v>
      </c>
      <c r="B135" s="37">
        <v>117483</v>
      </c>
      <c r="C135" s="37">
        <v>412</v>
      </c>
      <c r="D135" s="15" t="s">
        <v>54</v>
      </c>
      <c r="E135" s="14" t="s">
        <v>55</v>
      </c>
      <c r="F135" s="63" t="s">
        <v>510</v>
      </c>
      <c r="G135" s="81" t="s">
        <v>501</v>
      </c>
      <c r="H135" s="20" t="s">
        <v>35</v>
      </c>
      <c r="I135" s="15" t="s">
        <v>511</v>
      </c>
      <c r="J135" s="30">
        <v>43314</v>
      </c>
      <c r="K135" s="30">
        <v>43679</v>
      </c>
      <c r="L135" s="31">
        <f t="shared" si="74"/>
        <v>85.000000000000014</v>
      </c>
      <c r="M135" s="20">
        <v>5</v>
      </c>
      <c r="N135" s="20" t="s">
        <v>508</v>
      </c>
      <c r="O135" s="20" t="s">
        <v>504</v>
      </c>
      <c r="P135" s="32" t="s">
        <v>39</v>
      </c>
      <c r="Q135" s="20" t="s">
        <v>40</v>
      </c>
      <c r="R135" s="2">
        <v>242732.46</v>
      </c>
      <c r="S135" s="52">
        <f>R135</f>
        <v>242732.46</v>
      </c>
      <c r="T135" s="2">
        <v>0</v>
      </c>
      <c r="U135" s="33">
        <f t="shared" si="69"/>
        <v>37123.78</v>
      </c>
      <c r="V135" s="52">
        <v>37123.78</v>
      </c>
      <c r="W135" s="33">
        <v>0</v>
      </c>
      <c r="X135" s="33">
        <f t="shared" si="70"/>
        <v>5711.36</v>
      </c>
      <c r="Y135" s="52">
        <v>5711.36</v>
      </c>
      <c r="Z135" s="33">
        <v>0</v>
      </c>
      <c r="AA135" s="2">
        <f t="shared" si="75"/>
        <v>0</v>
      </c>
      <c r="AB135" s="2">
        <v>0</v>
      </c>
      <c r="AC135" s="2">
        <v>0</v>
      </c>
      <c r="AD135" s="2">
        <f t="shared" si="76"/>
        <v>285567.59999999998</v>
      </c>
      <c r="AE135" s="2">
        <v>0</v>
      </c>
      <c r="AF135" s="2">
        <f t="shared" si="77"/>
        <v>285567.59999999998</v>
      </c>
      <c r="AG135" s="24" t="s">
        <v>41</v>
      </c>
      <c r="AH135" s="34" t="s">
        <v>35</v>
      </c>
      <c r="AI135" s="35">
        <v>231572.1</v>
      </c>
      <c r="AJ135" s="36">
        <v>35416.890000000014</v>
      </c>
      <c r="AK135" s="28">
        <f t="shared" si="78"/>
        <v>11160.359999999986</v>
      </c>
      <c r="AL135" s="28">
        <f t="shared" si="79"/>
        <v>1706.8899999999849</v>
      </c>
      <c r="AM135" s="29">
        <f t="shared" si="80"/>
        <v>0.95402197135067968</v>
      </c>
    </row>
    <row r="136" spans="1:39" ht="192" customHeight="1" x14ac:dyDescent="0.25">
      <c r="A136" s="10">
        <v>133</v>
      </c>
      <c r="B136" s="37">
        <v>126237</v>
      </c>
      <c r="C136" s="20">
        <v>529</v>
      </c>
      <c r="D136" s="15" t="s">
        <v>31</v>
      </c>
      <c r="E136" s="14" t="s">
        <v>65</v>
      </c>
      <c r="F136" s="15" t="s">
        <v>512</v>
      </c>
      <c r="G136" s="15" t="s">
        <v>513</v>
      </c>
      <c r="H136" s="20" t="s">
        <v>35</v>
      </c>
      <c r="I136" s="55" t="s">
        <v>514</v>
      </c>
      <c r="J136" s="30">
        <v>43446</v>
      </c>
      <c r="K136" s="30">
        <v>44177</v>
      </c>
      <c r="L136" s="31">
        <f t="shared" si="74"/>
        <v>85.000000000000014</v>
      </c>
      <c r="M136" s="20">
        <v>5</v>
      </c>
      <c r="N136" s="20" t="s">
        <v>508</v>
      </c>
      <c r="O136" s="20" t="s">
        <v>508</v>
      </c>
      <c r="P136" s="32" t="s">
        <v>39</v>
      </c>
      <c r="Q136" s="20" t="s">
        <v>40</v>
      </c>
      <c r="R136" s="2">
        <f t="shared" ref="R136:R149" si="81">S136+T136</f>
        <v>2072800.65</v>
      </c>
      <c r="S136" s="64">
        <v>2072800.65</v>
      </c>
      <c r="T136" s="2">
        <v>0</v>
      </c>
      <c r="U136" s="33">
        <f t="shared" si="69"/>
        <v>317016.56999999995</v>
      </c>
      <c r="V136" s="2">
        <v>317016.56999999995</v>
      </c>
      <c r="W136" s="2">
        <v>0</v>
      </c>
      <c r="X136" s="33">
        <f t="shared" si="70"/>
        <v>48771.78</v>
      </c>
      <c r="Y136" s="2">
        <v>48771.78</v>
      </c>
      <c r="Z136" s="2">
        <v>0</v>
      </c>
      <c r="AA136" s="2">
        <f t="shared" si="75"/>
        <v>0</v>
      </c>
      <c r="AB136" s="2">
        <v>0</v>
      </c>
      <c r="AC136" s="2">
        <v>0</v>
      </c>
      <c r="AD136" s="2">
        <f t="shared" si="76"/>
        <v>2438588.9999999995</v>
      </c>
      <c r="AE136" s="2">
        <v>0</v>
      </c>
      <c r="AF136" s="2">
        <f t="shared" si="77"/>
        <v>2438588.9999999995</v>
      </c>
      <c r="AG136" s="39" t="s">
        <v>69</v>
      </c>
      <c r="AH136" s="34" t="s">
        <v>35</v>
      </c>
      <c r="AI136" s="35">
        <v>1135968.5599999998</v>
      </c>
      <c r="AJ136" s="36">
        <v>173736.37000000002</v>
      </c>
      <c r="AK136" s="28">
        <f t="shared" si="78"/>
        <v>936832.09000000008</v>
      </c>
      <c r="AL136" s="28">
        <f t="shared" si="79"/>
        <v>143280.19999999992</v>
      </c>
      <c r="AM136" s="29">
        <f t="shared" si="80"/>
        <v>0.54803560583599775</v>
      </c>
    </row>
    <row r="137" spans="1:39" ht="192" customHeight="1" x14ac:dyDescent="0.25">
      <c r="A137" s="10">
        <v>134</v>
      </c>
      <c r="B137" s="37">
        <v>126422</v>
      </c>
      <c r="C137" s="20">
        <v>536</v>
      </c>
      <c r="D137" s="15" t="s">
        <v>31</v>
      </c>
      <c r="E137" s="14" t="s">
        <v>65</v>
      </c>
      <c r="F137" s="15" t="s">
        <v>515</v>
      </c>
      <c r="G137" s="19" t="s">
        <v>506</v>
      </c>
      <c r="H137" s="32" t="s">
        <v>516</v>
      </c>
      <c r="I137" s="55" t="s">
        <v>517</v>
      </c>
      <c r="J137" s="30">
        <v>43556</v>
      </c>
      <c r="K137" s="30">
        <v>44470</v>
      </c>
      <c r="L137" s="31">
        <f t="shared" si="74"/>
        <v>84.449828692364051</v>
      </c>
      <c r="M137" s="20">
        <v>5</v>
      </c>
      <c r="N137" s="20" t="s">
        <v>508</v>
      </c>
      <c r="O137" s="20" t="s">
        <v>509</v>
      </c>
      <c r="P137" s="32" t="s">
        <v>39</v>
      </c>
      <c r="Q137" s="20" t="s">
        <v>40</v>
      </c>
      <c r="R137" s="2">
        <f t="shared" si="81"/>
        <v>3195443.02</v>
      </c>
      <c r="S137" s="35">
        <v>3195443.02</v>
      </c>
      <c r="T137" s="35">
        <v>0</v>
      </c>
      <c r="U137" s="33">
        <f t="shared" si="69"/>
        <v>512716.26</v>
      </c>
      <c r="V137" s="35">
        <v>512716.26</v>
      </c>
      <c r="W137" s="2">
        <v>0</v>
      </c>
      <c r="X137" s="33">
        <f t="shared" si="70"/>
        <v>51185.440000000002</v>
      </c>
      <c r="Y137" s="35">
        <v>51185.440000000002</v>
      </c>
      <c r="Z137" s="35">
        <v>0</v>
      </c>
      <c r="AA137" s="2">
        <f t="shared" si="75"/>
        <v>24491.279999999999</v>
      </c>
      <c r="AB137" s="35">
        <v>24491.279999999999</v>
      </c>
      <c r="AC137" s="41">
        <v>0</v>
      </c>
      <c r="AD137" s="2">
        <f t="shared" si="76"/>
        <v>3783836</v>
      </c>
      <c r="AE137" s="2">
        <v>0</v>
      </c>
      <c r="AF137" s="2">
        <f t="shared" si="77"/>
        <v>3783836</v>
      </c>
      <c r="AG137" s="39" t="s">
        <v>69</v>
      </c>
      <c r="AH137" s="34" t="s">
        <v>518</v>
      </c>
      <c r="AI137" s="35">
        <v>313498.69999999995</v>
      </c>
      <c r="AJ137" s="36">
        <v>32621.050000000003</v>
      </c>
      <c r="AK137" s="28">
        <f t="shared" si="78"/>
        <v>2881944.3200000003</v>
      </c>
      <c r="AL137" s="28">
        <f t="shared" si="79"/>
        <v>480095.21</v>
      </c>
      <c r="AM137" s="29">
        <f t="shared" si="80"/>
        <v>9.8108055139096165E-2</v>
      </c>
    </row>
    <row r="138" spans="1:39" ht="192" customHeight="1" x14ac:dyDescent="0.25">
      <c r="A138" s="10">
        <v>135</v>
      </c>
      <c r="B138" s="37">
        <v>127741</v>
      </c>
      <c r="C138" s="20">
        <v>642</v>
      </c>
      <c r="D138" s="15" t="s">
        <v>31</v>
      </c>
      <c r="E138" s="14" t="s">
        <v>79</v>
      </c>
      <c r="F138" s="15" t="s">
        <v>519</v>
      </c>
      <c r="G138" s="19" t="s">
        <v>520</v>
      </c>
      <c r="H138" s="32" t="s">
        <v>35</v>
      </c>
      <c r="I138" s="55" t="s">
        <v>521</v>
      </c>
      <c r="J138" s="30">
        <v>43622</v>
      </c>
      <c r="K138" s="30">
        <v>44353</v>
      </c>
      <c r="L138" s="31">
        <f t="shared" si="74"/>
        <v>85.000000180308987</v>
      </c>
      <c r="M138" s="20">
        <v>5</v>
      </c>
      <c r="N138" s="20" t="s">
        <v>508</v>
      </c>
      <c r="O138" s="20" t="s">
        <v>522</v>
      </c>
      <c r="P138" s="32" t="s">
        <v>39</v>
      </c>
      <c r="Q138" s="20" t="s">
        <v>40</v>
      </c>
      <c r="R138" s="2">
        <f t="shared" si="81"/>
        <v>2357064.88</v>
      </c>
      <c r="S138" s="35">
        <v>2357064.88</v>
      </c>
      <c r="T138" s="35">
        <v>0</v>
      </c>
      <c r="U138" s="33">
        <f t="shared" si="69"/>
        <v>360492.27</v>
      </c>
      <c r="V138" s="35">
        <v>360492.27</v>
      </c>
      <c r="W138" s="41">
        <v>0</v>
      </c>
      <c r="X138" s="33">
        <f t="shared" si="70"/>
        <v>55460.35</v>
      </c>
      <c r="Y138" s="35">
        <v>55460.35</v>
      </c>
      <c r="Z138" s="35">
        <v>0</v>
      </c>
      <c r="AA138" s="2">
        <f t="shared" si="75"/>
        <v>0</v>
      </c>
      <c r="AB138" s="35"/>
      <c r="AC138" s="41">
        <v>0</v>
      </c>
      <c r="AD138" s="2">
        <f t="shared" si="76"/>
        <v>2773017.5</v>
      </c>
      <c r="AE138" s="2">
        <v>1</v>
      </c>
      <c r="AF138" s="2">
        <f t="shared" si="77"/>
        <v>2773018.5</v>
      </c>
      <c r="AG138" s="39" t="s">
        <v>69</v>
      </c>
      <c r="AH138" s="34"/>
      <c r="AI138" s="35">
        <v>128349.05</v>
      </c>
      <c r="AJ138" s="36">
        <f>3984.43+5415.15+10230.27</f>
        <v>19629.849999999999</v>
      </c>
      <c r="AK138" s="28">
        <f t="shared" si="78"/>
        <v>2228715.83</v>
      </c>
      <c r="AL138" s="28">
        <f t="shared" si="79"/>
        <v>340862.42000000004</v>
      </c>
      <c r="AM138" s="29">
        <f t="shared" si="80"/>
        <v>5.4452913489593892E-2</v>
      </c>
    </row>
    <row r="139" spans="1:39" ht="192" customHeight="1" x14ac:dyDescent="0.25">
      <c r="A139" s="10">
        <v>136</v>
      </c>
      <c r="B139" s="37">
        <v>128531</v>
      </c>
      <c r="C139" s="20">
        <v>643</v>
      </c>
      <c r="D139" s="15" t="s">
        <v>31</v>
      </c>
      <c r="E139" s="14" t="s">
        <v>79</v>
      </c>
      <c r="F139" s="15" t="s">
        <v>523</v>
      </c>
      <c r="G139" s="19" t="s">
        <v>524</v>
      </c>
      <c r="H139" s="32" t="s">
        <v>35</v>
      </c>
      <c r="I139" s="55" t="s">
        <v>525</v>
      </c>
      <c r="J139" s="30">
        <v>43634</v>
      </c>
      <c r="K139" s="30">
        <v>44365</v>
      </c>
      <c r="L139" s="31">
        <f t="shared" si="74"/>
        <v>85</v>
      </c>
      <c r="M139" s="20">
        <v>5</v>
      </c>
      <c r="N139" s="20" t="s">
        <v>508</v>
      </c>
      <c r="O139" s="20" t="s">
        <v>526</v>
      </c>
      <c r="P139" s="32" t="s">
        <v>39</v>
      </c>
      <c r="Q139" s="20" t="s">
        <v>40</v>
      </c>
      <c r="R139" s="2">
        <f t="shared" si="81"/>
        <v>2728625.8</v>
      </c>
      <c r="S139" s="35">
        <v>2728625.8</v>
      </c>
      <c r="T139" s="35">
        <v>0</v>
      </c>
      <c r="U139" s="33">
        <f t="shared" si="69"/>
        <v>417319.24</v>
      </c>
      <c r="V139" s="35">
        <v>417319.24</v>
      </c>
      <c r="W139" s="41">
        <v>0</v>
      </c>
      <c r="X139" s="33">
        <f t="shared" si="70"/>
        <v>64202.96</v>
      </c>
      <c r="Y139" s="35">
        <v>64202.96</v>
      </c>
      <c r="Z139" s="35">
        <v>0</v>
      </c>
      <c r="AA139" s="2">
        <f t="shared" si="75"/>
        <v>0</v>
      </c>
      <c r="AB139" s="2">
        <v>0</v>
      </c>
      <c r="AC139" s="2">
        <v>0</v>
      </c>
      <c r="AD139" s="2">
        <f t="shared" si="76"/>
        <v>3210148</v>
      </c>
      <c r="AE139" s="2"/>
      <c r="AF139" s="2">
        <f t="shared" si="77"/>
        <v>3210148</v>
      </c>
      <c r="AG139" s="39" t="s">
        <v>69</v>
      </c>
      <c r="AH139" s="34"/>
      <c r="AI139" s="35">
        <v>217687.62</v>
      </c>
      <c r="AJ139" s="36">
        <v>32312.38</v>
      </c>
      <c r="AK139" s="28">
        <f t="shared" si="78"/>
        <v>2510938.1799999997</v>
      </c>
      <c r="AL139" s="28">
        <f t="shared" si="79"/>
        <v>385006.86</v>
      </c>
      <c r="AM139" s="29">
        <f t="shared" si="80"/>
        <v>7.9779213404784194E-2</v>
      </c>
    </row>
    <row r="140" spans="1:39" ht="192" customHeight="1" x14ac:dyDescent="0.25">
      <c r="A140" s="10">
        <v>137</v>
      </c>
      <c r="B140" s="37">
        <v>129575</v>
      </c>
      <c r="C140" s="20">
        <v>659</v>
      </c>
      <c r="D140" s="15" t="s">
        <v>31</v>
      </c>
      <c r="E140" s="14" t="s">
        <v>79</v>
      </c>
      <c r="F140" s="15" t="s">
        <v>527</v>
      </c>
      <c r="G140" s="19" t="s">
        <v>528</v>
      </c>
      <c r="H140" s="32" t="s">
        <v>35</v>
      </c>
      <c r="I140" s="55" t="s">
        <v>529</v>
      </c>
      <c r="J140" s="30">
        <v>43640</v>
      </c>
      <c r="K140" s="30">
        <v>44371</v>
      </c>
      <c r="L140" s="31">
        <f t="shared" si="74"/>
        <v>85</v>
      </c>
      <c r="M140" s="20">
        <v>5</v>
      </c>
      <c r="N140" s="20" t="s">
        <v>508</v>
      </c>
      <c r="O140" s="20" t="s">
        <v>530</v>
      </c>
      <c r="P140" s="32" t="s">
        <v>39</v>
      </c>
      <c r="Q140" s="20" t="s">
        <v>40</v>
      </c>
      <c r="R140" s="2">
        <f t="shared" si="81"/>
        <v>2733685.85</v>
      </c>
      <c r="S140" s="35">
        <v>2733685.85</v>
      </c>
      <c r="T140" s="35">
        <v>0</v>
      </c>
      <c r="U140" s="33">
        <f t="shared" si="69"/>
        <v>418093.13</v>
      </c>
      <c r="V140" s="35">
        <v>418093.13</v>
      </c>
      <c r="W140" s="38">
        <v>0</v>
      </c>
      <c r="X140" s="33">
        <f t="shared" si="70"/>
        <v>64322.02</v>
      </c>
      <c r="Y140" s="35">
        <v>64322.02</v>
      </c>
      <c r="Z140" s="35">
        <v>0</v>
      </c>
      <c r="AA140" s="2">
        <f t="shared" si="75"/>
        <v>0</v>
      </c>
      <c r="AB140" s="35">
        <v>0</v>
      </c>
      <c r="AC140" s="35">
        <v>0</v>
      </c>
      <c r="AD140" s="2">
        <f t="shared" si="76"/>
        <v>3216101</v>
      </c>
      <c r="AE140" s="2">
        <v>0</v>
      </c>
      <c r="AF140" s="2">
        <f t="shared" si="77"/>
        <v>3216101</v>
      </c>
      <c r="AG140" s="39" t="s">
        <v>69</v>
      </c>
      <c r="AH140" s="34"/>
      <c r="AI140" s="35">
        <v>303274.40999999997</v>
      </c>
      <c r="AJ140" s="36">
        <f>4724.46+3038.23+10572.9</f>
        <v>18335.59</v>
      </c>
      <c r="AK140" s="28">
        <f t="shared" si="78"/>
        <v>2430411.44</v>
      </c>
      <c r="AL140" s="28">
        <f t="shared" si="79"/>
        <v>399757.54</v>
      </c>
      <c r="AM140" s="29">
        <f t="shared" si="80"/>
        <v>0.11093974459428101</v>
      </c>
    </row>
    <row r="141" spans="1:39" ht="192" customHeight="1" x14ac:dyDescent="0.25">
      <c r="A141" s="10">
        <v>138</v>
      </c>
      <c r="B141" s="20">
        <v>128870</v>
      </c>
      <c r="C141" s="20">
        <v>668</v>
      </c>
      <c r="D141" s="15" t="s">
        <v>31</v>
      </c>
      <c r="E141" s="14" t="s">
        <v>79</v>
      </c>
      <c r="F141" s="15" t="s">
        <v>531</v>
      </c>
      <c r="G141" s="15" t="s">
        <v>501</v>
      </c>
      <c r="H141" s="20" t="s">
        <v>35</v>
      </c>
      <c r="I141" s="16" t="s">
        <v>532</v>
      </c>
      <c r="J141" s="30">
        <v>43697</v>
      </c>
      <c r="K141" s="30">
        <v>44428</v>
      </c>
      <c r="L141" s="31">
        <f t="shared" si="74"/>
        <v>85.000000000000014</v>
      </c>
      <c r="M141" s="20">
        <v>5</v>
      </c>
      <c r="N141" s="20" t="s">
        <v>508</v>
      </c>
      <c r="O141" s="20" t="s">
        <v>504</v>
      </c>
      <c r="P141" s="32" t="s">
        <v>39</v>
      </c>
      <c r="Q141" s="20" t="s">
        <v>40</v>
      </c>
      <c r="R141" s="33">
        <f t="shared" si="81"/>
        <v>2288366.6000000006</v>
      </c>
      <c r="S141" s="2">
        <v>2288366.6000000006</v>
      </c>
      <c r="T141" s="2">
        <v>0</v>
      </c>
      <c r="U141" s="33">
        <f t="shared" si="69"/>
        <v>349985.48</v>
      </c>
      <c r="V141" s="2">
        <v>349985.48</v>
      </c>
      <c r="W141" s="2">
        <v>0</v>
      </c>
      <c r="X141" s="33">
        <f t="shared" si="70"/>
        <v>53843.92</v>
      </c>
      <c r="Y141" s="2">
        <v>53843.92</v>
      </c>
      <c r="Z141" s="2">
        <v>0</v>
      </c>
      <c r="AA141" s="2">
        <f t="shared" si="75"/>
        <v>0</v>
      </c>
      <c r="AB141" s="2">
        <v>0</v>
      </c>
      <c r="AC141" s="2">
        <v>0</v>
      </c>
      <c r="AD141" s="2">
        <f t="shared" si="76"/>
        <v>2692196.0000000005</v>
      </c>
      <c r="AE141" s="2">
        <v>0</v>
      </c>
      <c r="AF141" s="2">
        <f t="shared" si="77"/>
        <v>2692196.0000000005</v>
      </c>
      <c r="AG141" s="39" t="s">
        <v>69</v>
      </c>
      <c r="AH141" s="34" t="s">
        <v>35</v>
      </c>
      <c r="AI141" s="35">
        <v>246216.09</v>
      </c>
      <c r="AJ141" s="36">
        <v>23002.91</v>
      </c>
      <c r="AK141" s="28">
        <f t="shared" si="78"/>
        <v>2042150.5100000005</v>
      </c>
      <c r="AL141" s="28">
        <f t="shared" si="79"/>
        <v>326982.57</v>
      </c>
      <c r="AM141" s="29">
        <f t="shared" si="80"/>
        <v>0.10759468784415921</v>
      </c>
    </row>
    <row r="142" spans="1:39" ht="192" customHeight="1" x14ac:dyDescent="0.25">
      <c r="A142" s="10">
        <v>139</v>
      </c>
      <c r="B142" s="20">
        <v>128738</v>
      </c>
      <c r="C142" s="20">
        <v>627</v>
      </c>
      <c r="D142" s="15" t="s">
        <v>31</v>
      </c>
      <c r="E142" s="14" t="s">
        <v>79</v>
      </c>
      <c r="F142" s="15" t="s">
        <v>533</v>
      </c>
      <c r="G142" s="15" t="s">
        <v>534</v>
      </c>
      <c r="H142" s="20" t="s">
        <v>35</v>
      </c>
      <c r="I142" s="16" t="s">
        <v>535</v>
      </c>
      <c r="J142" s="30">
        <v>43838</v>
      </c>
      <c r="K142" s="30">
        <v>44569</v>
      </c>
      <c r="L142" s="31">
        <f t="shared" si="74"/>
        <v>84.999999882123163</v>
      </c>
      <c r="M142" s="20">
        <v>5</v>
      </c>
      <c r="N142" s="20" t="s">
        <v>508</v>
      </c>
      <c r="O142" s="20" t="s">
        <v>536</v>
      </c>
      <c r="P142" s="32" t="s">
        <v>39</v>
      </c>
      <c r="Q142" s="20" t="s">
        <v>40</v>
      </c>
      <c r="R142" s="33">
        <f t="shared" si="81"/>
        <v>1802729.17</v>
      </c>
      <c r="S142" s="2">
        <v>1802729.17</v>
      </c>
      <c r="T142" s="2">
        <v>0</v>
      </c>
      <c r="U142" s="33">
        <f t="shared" si="69"/>
        <v>275711.53999999998</v>
      </c>
      <c r="V142" s="2">
        <v>275711.53999999998</v>
      </c>
      <c r="W142" s="2">
        <v>0</v>
      </c>
      <c r="X142" s="33">
        <f t="shared" si="70"/>
        <v>42417.14</v>
      </c>
      <c r="Y142" s="2">
        <v>42417.14</v>
      </c>
      <c r="Z142" s="2">
        <v>0</v>
      </c>
      <c r="AA142" s="2">
        <f t="shared" si="75"/>
        <v>0</v>
      </c>
      <c r="AB142" s="2">
        <v>0</v>
      </c>
      <c r="AC142" s="2">
        <v>0</v>
      </c>
      <c r="AD142" s="2">
        <f t="shared" si="76"/>
        <v>2120857.85</v>
      </c>
      <c r="AE142" s="2">
        <v>0</v>
      </c>
      <c r="AF142" s="2">
        <f t="shared" si="77"/>
        <v>2120857.85</v>
      </c>
      <c r="AG142" s="39" t="s">
        <v>69</v>
      </c>
      <c r="AH142" s="34" t="s">
        <v>35</v>
      </c>
      <c r="AI142" s="35">
        <v>112000</v>
      </c>
      <c r="AJ142" s="36">
        <v>0</v>
      </c>
      <c r="AK142" s="28">
        <f t="shared" si="78"/>
        <v>1690729.17</v>
      </c>
      <c r="AL142" s="28">
        <f t="shared" si="79"/>
        <v>275711.53999999998</v>
      </c>
      <c r="AM142" s="29">
        <f t="shared" si="80"/>
        <v>6.2128023368035926E-2</v>
      </c>
    </row>
    <row r="143" spans="1:39" ht="192" customHeight="1" x14ac:dyDescent="0.25">
      <c r="A143" s="10">
        <v>140</v>
      </c>
      <c r="B143" s="20">
        <v>135237</v>
      </c>
      <c r="C143" s="20">
        <v>793</v>
      </c>
      <c r="D143" s="46" t="s">
        <v>31</v>
      </c>
      <c r="E143" s="14" t="s">
        <v>1826</v>
      </c>
      <c r="F143" s="15" t="s">
        <v>1838</v>
      </c>
      <c r="G143" s="15" t="s">
        <v>506</v>
      </c>
      <c r="H143" s="20" t="s">
        <v>35</v>
      </c>
      <c r="I143" s="16" t="s">
        <v>1839</v>
      </c>
      <c r="J143" s="30">
        <v>43949</v>
      </c>
      <c r="K143" s="30">
        <v>44854</v>
      </c>
      <c r="L143" s="31">
        <f t="shared" si="74"/>
        <v>84.999999628092681</v>
      </c>
      <c r="M143" s="20">
        <v>5</v>
      </c>
      <c r="N143" s="20" t="s">
        <v>508</v>
      </c>
      <c r="O143" s="20" t="s">
        <v>509</v>
      </c>
      <c r="P143" s="32" t="s">
        <v>39</v>
      </c>
      <c r="Q143" s="20" t="s">
        <v>40</v>
      </c>
      <c r="R143" s="33">
        <f t="shared" si="81"/>
        <v>2399791.5</v>
      </c>
      <c r="S143" s="2">
        <v>2399791.5</v>
      </c>
      <c r="T143" s="2">
        <v>0</v>
      </c>
      <c r="U143" s="33">
        <f t="shared" si="69"/>
        <v>367026.95</v>
      </c>
      <c r="V143" s="2">
        <v>367026.95</v>
      </c>
      <c r="W143" s="2">
        <v>0</v>
      </c>
      <c r="X143" s="33">
        <f t="shared" si="70"/>
        <v>56465.68</v>
      </c>
      <c r="Y143" s="2">
        <v>56465.68</v>
      </c>
      <c r="Z143" s="2">
        <v>0</v>
      </c>
      <c r="AA143" s="2">
        <f t="shared" si="75"/>
        <v>0</v>
      </c>
      <c r="AB143" s="2">
        <v>0</v>
      </c>
      <c r="AC143" s="2">
        <v>0</v>
      </c>
      <c r="AD143" s="2">
        <f t="shared" si="76"/>
        <v>2823284.1300000004</v>
      </c>
      <c r="AE143" s="2">
        <v>0</v>
      </c>
      <c r="AF143" s="2">
        <f t="shared" si="77"/>
        <v>2823284.1300000004</v>
      </c>
      <c r="AG143" s="39" t="s">
        <v>69</v>
      </c>
      <c r="AH143" s="34" t="s">
        <v>35</v>
      </c>
      <c r="AI143" s="35">
        <v>0</v>
      </c>
      <c r="AJ143" s="36">
        <v>0</v>
      </c>
      <c r="AK143" s="28">
        <f t="shared" si="78"/>
        <v>2399791.5</v>
      </c>
      <c r="AL143" s="28">
        <f t="shared" si="79"/>
        <v>367026.95</v>
      </c>
      <c r="AM143" s="29">
        <f t="shared" si="80"/>
        <v>0</v>
      </c>
    </row>
    <row r="144" spans="1:39" ht="192" customHeight="1" x14ac:dyDescent="0.25">
      <c r="A144" s="10">
        <v>141</v>
      </c>
      <c r="B144" s="37">
        <v>120482</v>
      </c>
      <c r="C144" s="20">
        <v>68</v>
      </c>
      <c r="D144" s="15" t="s">
        <v>31</v>
      </c>
      <c r="E144" s="14" t="s">
        <v>32</v>
      </c>
      <c r="F144" s="15" t="s">
        <v>537</v>
      </c>
      <c r="G144" s="15" t="s">
        <v>538</v>
      </c>
      <c r="H144" s="20" t="s">
        <v>35</v>
      </c>
      <c r="I144" s="55" t="s">
        <v>539</v>
      </c>
      <c r="J144" s="30">
        <v>43145</v>
      </c>
      <c r="K144" s="30">
        <v>43630</v>
      </c>
      <c r="L144" s="31">
        <f t="shared" si="74"/>
        <v>85</v>
      </c>
      <c r="M144" s="20">
        <v>3</v>
      </c>
      <c r="N144" s="20" t="s">
        <v>540</v>
      </c>
      <c r="O144" s="20" t="s">
        <v>541</v>
      </c>
      <c r="P144" s="32" t="s">
        <v>39</v>
      </c>
      <c r="Q144" s="20" t="s">
        <v>40</v>
      </c>
      <c r="R144" s="2">
        <f t="shared" si="81"/>
        <v>508342.5</v>
      </c>
      <c r="S144" s="64">
        <v>508342.5</v>
      </c>
      <c r="T144" s="2">
        <v>0</v>
      </c>
      <c r="U144" s="33">
        <f t="shared" si="69"/>
        <v>77746.5</v>
      </c>
      <c r="V144" s="2">
        <v>77746.5</v>
      </c>
      <c r="W144" s="2">
        <v>0</v>
      </c>
      <c r="X144" s="33">
        <f t="shared" si="70"/>
        <v>11961</v>
      </c>
      <c r="Y144" s="2">
        <v>11961</v>
      </c>
      <c r="Z144" s="2">
        <v>0</v>
      </c>
      <c r="AA144" s="2">
        <f>AB144+AC144</f>
        <v>0</v>
      </c>
      <c r="AB144" s="2">
        <v>0</v>
      </c>
      <c r="AC144" s="2">
        <v>0</v>
      </c>
      <c r="AD144" s="2">
        <f>R144+U144+X144+AA144</f>
        <v>598050</v>
      </c>
      <c r="AE144" s="2">
        <v>0</v>
      </c>
      <c r="AF144" s="2">
        <f t="shared" si="77"/>
        <v>598050</v>
      </c>
      <c r="AG144" s="24" t="s">
        <v>41</v>
      </c>
      <c r="AH144" s="34"/>
      <c r="AI144" s="35">
        <v>385296.94</v>
      </c>
      <c r="AJ144" s="36">
        <v>58927.729999999996</v>
      </c>
      <c r="AK144" s="28">
        <f t="shared" si="78"/>
        <v>123045.56</v>
      </c>
      <c r="AL144" s="28">
        <f t="shared" si="79"/>
        <v>18818.770000000004</v>
      </c>
      <c r="AM144" s="29">
        <f t="shared" si="80"/>
        <v>0.75794752553642475</v>
      </c>
    </row>
    <row r="145" spans="1:39" ht="192" customHeight="1" x14ac:dyDescent="0.25">
      <c r="A145" s="10">
        <v>142</v>
      </c>
      <c r="B145" s="37">
        <v>122108</v>
      </c>
      <c r="C145" s="20">
        <v>83</v>
      </c>
      <c r="D145" s="15" t="s">
        <v>31</v>
      </c>
      <c r="E145" s="14" t="s">
        <v>32</v>
      </c>
      <c r="F145" s="15" t="s">
        <v>542</v>
      </c>
      <c r="G145" s="15" t="s">
        <v>543</v>
      </c>
      <c r="H145" s="20" t="s">
        <v>35</v>
      </c>
      <c r="I145" s="55" t="s">
        <v>544</v>
      </c>
      <c r="J145" s="30">
        <v>43234</v>
      </c>
      <c r="K145" s="30">
        <v>43722</v>
      </c>
      <c r="L145" s="31">
        <f t="shared" si="74"/>
        <v>84.999995128143141</v>
      </c>
      <c r="M145" s="20">
        <v>3</v>
      </c>
      <c r="N145" s="20" t="s">
        <v>540</v>
      </c>
      <c r="O145" s="20" t="s">
        <v>545</v>
      </c>
      <c r="P145" s="32" t="s">
        <v>39</v>
      </c>
      <c r="Q145" s="20" t="s">
        <v>40</v>
      </c>
      <c r="R145" s="2">
        <f t="shared" si="81"/>
        <v>322772.19</v>
      </c>
      <c r="S145" s="52">
        <v>322772.19</v>
      </c>
      <c r="T145" s="100">
        <v>0</v>
      </c>
      <c r="U145" s="33">
        <f t="shared" si="69"/>
        <v>49365.18</v>
      </c>
      <c r="V145" s="2">
        <v>49365.18</v>
      </c>
      <c r="W145" s="2">
        <v>0</v>
      </c>
      <c r="X145" s="33">
        <f t="shared" si="70"/>
        <v>7594.64</v>
      </c>
      <c r="Y145" s="2">
        <v>7594.64</v>
      </c>
      <c r="Z145" s="2">
        <v>0</v>
      </c>
      <c r="AA145" s="2">
        <f>AB145+AC145</f>
        <v>0</v>
      </c>
      <c r="AB145" s="2">
        <v>0</v>
      </c>
      <c r="AC145" s="2">
        <v>0</v>
      </c>
      <c r="AD145" s="2">
        <v>379732.01</v>
      </c>
      <c r="AE145" s="2">
        <v>55635.199999999997</v>
      </c>
      <c r="AF145" s="2">
        <f t="shared" si="77"/>
        <v>435367.21</v>
      </c>
      <c r="AG145" s="24" t="s">
        <v>41</v>
      </c>
      <c r="AH145" s="34" t="s">
        <v>546</v>
      </c>
      <c r="AI145" s="35">
        <v>218039.20999999996</v>
      </c>
      <c r="AJ145" s="36">
        <v>33347.15</v>
      </c>
      <c r="AK145" s="28">
        <f t="shared" si="78"/>
        <v>104732.98000000004</v>
      </c>
      <c r="AL145" s="28">
        <f t="shared" si="79"/>
        <v>16018.029999999999</v>
      </c>
      <c r="AM145" s="29">
        <f t="shared" si="80"/>
        <v>0.67552043439677989</v>
      </c>
    </row>
    <row r="146" spans="1:39" ht="192" customHeight="1" x14ac:dyDescent="0.25">
      <c r="A146" s="10">
        <v>143</v>
      </c>
      <c r="B146" s="37">
        <v>118782</v>
      </c>
      <c r="C146" s="20">
        <v>444</v>
      </c>
      <c r="D146" s="15" t="s">
        <v>54</v>
      </c>
      <c r="E146" s="14" t="s">
        <v>55</v>
      </c>
      <c r="F146" s="15" t="s">
        <v>547</v>
      </c>
      <c r="G146" s="15" t="s">
        <v>548</v>
      </c>
      <c r="H146" s="20"/>
      <c r="I146" s="43" t="s">
        <v>549</v>
      </c>
      <c r="J146" s="30">
        <v>43304</v>
      </c>
      <c r="K146" s="30">
        <v>43792</v>
      </c>
      <c r="L146" s="31">
        <f t="shared" si="74"/>
        <v>85</v>
      </c>
      <c r="M146" s="20">
        <v>3</v>
      </c>
      <c r="N146" s="20" t="s">
        <v>540</v>
      </c>
      <c r="O146" s="20" t="s">
        <v>550</v>
      </c>
      <c r="P146" s="32" t="s">
        <v>39</v>
      </c>
      <c r="Q146" s="20" t="s">
        <v>40</v>
      </c>
      <c r="R146" s="2">
        <f t="shared" si="81"/>
        <v>242091.39</v>
      </c>
      <c r="S146" s="42">
        <v>242091.39</v>
      </c>
      <c r="T146" s="41">
        <v>0</v>
      </c>
      <c r="U146" s="33">
        <f t="shared" si="69"/>
        <v>37025.74</v>
      </c>
      <c r="V146" s="35">
        <v>37025.74</v>
      </c>
      <c r="W146" s="41">
        <v>0</v>
      </c>
      <c r="X146" s="33">
        <f t="shared" si="70"/>
        <v>5696.27</v>
      </c>
      <c r="Y146" s="35">
        <v>5696.27</v>
      </c>
      <c r="Z146" s="35">
        <v>0</v>
      </c>
      <c r="AA146" s="2">
        <f>AB146+AC146</f>
        <v>0</v>
      </c>
      <c r="AB146" s="38">
        <v>0</v>
      </c>
      <c r="AC146" s="38">
        <v>0</v>
      </c>
      <c r="AD146" s="2">
        <f>R146+U146+X146+AA146</f>
        <v>284813.40000000002</v>
      </c>
      <c r="AE146" s="35">
        <v>0</v>
      </c>
      <c r="AF146" s="2">
        <f t="shared" si="77"/>
        <v>284813.40000000002</v>
      </c>
      <c r="AG146" s="24" t="s">
        <v>41</v>
      </c>
      <c r="AH146" s="39" t="s">
        <v>551</v>
      </c>
      <c r="AI146" s="35">
        <v>218691.65000000002</v>
      </c>
      <c r="AJ146" s="36">
        <v>33446.97</v>
      </c>
      <c r="AK146" s="28">
        <f t="shared" si="78"/>
        <v>23399.739999999991</v>
      </c>
      <c r="AL146" s="28">
        <f t="shared" si="79"/>
        <v>3578.7699999999968</v>
      </c>
      <c r="AM146" s="29">
        <f t="shared" si="80"/>
        <v>0.90334336136448312</v>
      </c>
    </row>
    <row r="147" spans="1:39" ht="192" customHeight="1" x14ac:dyDescent="0.25">
      <c r="A147" s="10">
        <v>144</v>
      </c>
      <c r="B147" s="37">
        <v>118562</v>
      </c>
      <c r="C147" s="20">
        <v>430</v>
      </c>
      <c r="D147" s="15" t="s">
        <v>54</v>
      </c>
      <c r="E147" s="14" t="s">
        <v>55</v>
      </c>
      <c r="F147" s="15" t="s">
        <v>552</v>
      </c>
      <c r="G147" s="20" t="s">
        <v>553</v>
      </c>
      <c r="H147" s="20" t="s">
        <v>35</v>
      </c>
      <c r="I147" s="43" t="s">
        <v>554</v>
      </c>
      <c r="J147" s="30">
        <v>43318</v>
      </c>
      <c r="K147" s="30">
        <v>43683</v>
      </c>
      <c r="L147" s="31">
        <f t="shared" si="74"/>
        <v>85</v>
      </c>
      <c r="M147" s="20">
        <v>3</v>
      </c>
      <c r="N147" s="20" t="s">
        <v>540</v>
      </c>
      <c r="O147" s="20" t="s">
        <v>541</v>
      </c>
      <c r="P147" s="32" t="s">
        <v>39</v>
      </c>
      <c r="Q147" s="20" t="s">
        <v>40</v>
      </c>
      <c r="R147" s="2">
        <f t="shared" si="81"/>
        <v>244199.22</v>
      </c>
      <c r="S147" s="42">
        <v>244199.22</v>
      </c>
      <c r="T147" s="41">
        <v>0</v>
      </c>
      <c r="U147" s="33">
        <f t="shared" si="69"/>
        <v>37348.11</v>
      </c>
      <c r="V147" s="35">
        <v>37348.11</v>
      </c>
      <c r="W147" s="41">
        <v>0</v>
      </c>
      <c r="X147" s="33">
        <f t="shared" si="70"/>
        <v>5745.87</v>
      </c>
      <c r="Y147" s="35">
        <v>5745.87</v>
      </c>
      <c r="Z147" s="35">
        <v>0</v>
      </c>
      <c r="AA147" s="53"/>
      <c r="AB147" s="41">
        <v>0</v>
      </c>
      <c r="AC147" s="41">
        <v>0</v>
      </c>
      <c r="AD147" s="2">
        <f>R147+U147+X147+AA148</f>
        <v>287293.2</v>
      </c>
      <c r="AE147" s="39">
        <v>0</v>
      </c>
      <c r="AF147" s="2">
        <f t="shared" si="77"/>
        <v>287293.2</v>
      </c>
      <c r="AG147" s="24" t="s">
        <v>41</v>
      </c>
      <c r="AH147" s="39"/>
      <c r="AI147" s="35">
        <v>187221.18</v>
      </c>
      <c r="AJ147" s="36">
        <v>28633.829999999994</v>
      </c>
      <c r="AK147" s="28">
        <f t="shared" si="78"/>
        <v>56978.040000000008</v>
      </c>
      <c r="AL147" s="28">
        <f t="shared" si="79"/>
        <v>8714.2800000000061</v>
      </c>
      <c r="AM147" s="29">
        <f t="shared" si="80"/>
        <v>0.76667394760720364</v>
      </c>
    </row>
    <row r="148" spans="1:39" ht="192" customHeight="1" x14ac:dyDescent="0.25">
      <c r="A148" s="10">
        <v>145</v>
      </c>
      <c r="B148" s="37">
        <v>128788</v>
      </c>
      <c r="C148" s="20">
        <v>632</v>
      </c>
      <c r="D148" s="15" t="s">
        <v>31</v>
      </c>
      <c r="E148" s="14" t="s">
        <v>79</v>
      </c>
      <c r="F148" s="15" t="s">
        <v>555</v>
      </c>
      <c r="G148" s="20" t="s">
        <v>556</v>
      </c>
      <c r="H148" s="20" t="s">
        <v>35</v>
      </c>
      <c r="I148" s="43" t="s">
        <v>557</v>
      </c>
      <c r="J148" s="30">
        <v>43622</v>
      </c>
      <c r="K148" s="30">
        <v>44475</v>
      </c>
      <c r="L148" s="31">
        <f t="shared" si="74"/>
        <v>85.000000230035937</v>
      </c>
      <c r="M148" s="20">
        <v>3</v>
      </c>
      <c r="N148" s="20" t="s">
        <v>540</v>
      </c>
      <c r="O148" s="20" t="s">
        <v>558</v>
      </c>
      <c r="P148" s="32" t="s">
        <v>39</v>
      </c>
      <c r="Q148" s="20" t="s">
        <v>40</v>
      </c>
      <c r="R148" s="2">
        <f t="shared" si="81"/>
        <v>1847537.48</v>
      </c>
      <c r="S148" s="42">
        <v>1847537.48</v>
      </c>
      <c r="T148" s="41">
        <v>0</v>
      </c>
      <c r="U148" s="33">
        <f t="shared" si="69"/>
        <v>282564.55</v>
      </c>
      <c r="V148" s="35">
        <v>282564.55</v>
      </c>
      <c r="W148" s="41">
        <v>0</v>
      </c>
      <c r="X148" s="33">
        <f t="shared" si="70"/>
        <v>43471.47</v>
      </c>
      <c r="Y148" s="35">
        <v>43471.47</v>
      </c>
      <c r="Z148" s="35">
        <v>0</v>
      </c>
      <c r="AA148" s="35">
        <f t="shared" ref="AA148:AA160" si="82">AB148+AC148</f>
        <v>0</v>
      </c>
      <c r="AB148" s="41">
        <v>0</v>
      </c>
      <c r="AC148" s="41">
        <v>0</v>
      </c>
      <c r="AD148" s="2">
        <f>R148+U148+X148</f>
        <v>2173573.5</v>
      </c>
      <c r="AE148" s="39">
        <v>0</v>
      </c>
      <c r="AF148" s="2">
        <f t="shared" si="77"/>
        <v>2173573.5</v>
      </c>
      <c r="AG148" s="39" t="s">
        <v>69</v>
      </c>
      <c r="AH148" s="39"/>
      <c r="AI148" s="35">
        <v>159761.73000000001</v>
      </c>
      <c r="AJ148" s="36">
        <v>14235.89</v>
      </c>
      <c r="AK148" s="28">
        <f t="shared" si="78"/>
        <v>1687775.75</v>
      </c>
      <c r="AL148" s="28">
        <f t="shared" si="79"/>
        <v>268328.65999999997</v>
      </c>
      <c r="AM148" s="29">
        <f t="shared" si="80"/>
        <v>8.6472795128356483E-2</v>
      </c>
    </row>
    <row r="149" spans="1:39" ht="192" customHeight="1" x14ac:dyDescent="0.25">
      <c r="A149" s="10">
        <v>146</v>
      </c>
      <c r="B149" s="37">
        <v>129218</v>
      </c>
      <c r="C149" s="20">
        <v>645</v>
      </c>
      <c r="D149" s="15" t="s">
        <v>31</v>
      </c>
      <c r="E149" s="14" t="s">
        <v>79</v>
      </c>
      <c r="F149" s="4" t="s">
        <v>559</v>
      </c>
      <c r="G149" s="20" t="s">
        <v>560</v>
      </c>
      <c r="H149" s="20" t="s">
        <v>35</v>
      </c>
      <c r="I149" s="43" t="s">
        <v>561</v>
      </c>
      <c r="J149" s="30">
        <v>43643</v>
      </c>
      <c r="K149" s="30">
        <v>44192</v>
      </c>
      <c r="L149" s="31">
        <f t="shared" si="74"/>
        <v>84.999999707660962</v>
      </c>
      <c r="M149" s="20">
        <v>3</v>
      </c>
      <c r="N149" s="20" t="s">
        <v>540</v>
      </c>
      <c r="O149" s="20" t="s">
        <v>545</v>
      </c>
      <c r="P149" s="32" t="s">
        <v>39</v>
      </c>
      <c r="Q149" s="20" t="s">
        <v>40</v>
      </c>
      <c r="R149" s="2">
        <f t="shared" si="81"/>
        <v>2326066.37</v>
      </c>
      <c r="S149" s="42">
        <v>2326066.37</v>
      </c>
      <c r="T149" s="41">
        <v>0</v>
      </c>
      <c r="U149" s="33">
        <f t="shared" si="69"/>
        <v>355751.33</v>
      </c>
      <c r="V149" s="35">
        <v>355751.33</v>
      </c>
      <c r="W149" s="41">
        <v>0</v>
      </c>
      <c r="X149" s="33">
        <f t="shared" si="70"/>
        <v>54730.98</v>
      </c>
      <c r="Y149" s="35">
        <v>54730.98</v>
      </c>
      <c r="Z149" s="35">
        <v>0</v>
      </c>
      <c r="AA149" s="35">
        <f t="shared" si="82"/>
        <v>0</v>
      </c>
      <c r="AB149" s="41">
        <v>0</v>
      </c>
      <c r="AC149" s="41">
        <v>0</v>
      </c>
      <c r="AD149" s="2">
        <f>R149+U149+X149+AA151</f>
        <v>2736548.68</v>
      </c>
      <c r="AE149" s="39">
        <v>0</v>
      </c>
      <c r="AF149" s="2">
        <f t="shared" si="77"/>
        <v>2736548.68</v>
      </c>
      <c r="AG149" s="39" t="s">
        <v>69</v>
      </c>
      <c r="AH149" s="39"/>
      <c r="AI149" s="35">
        <v>117891.39</v>
      </c>
      <c r="AJ149" s="36">
        <f>1528.47+16501.98</f>
        <v>18030.45</v>
      </c>
      <c r="AK149" s="28">
        <f t="shared" si="78"/>
        <v>2208174.98</v>
      </c>
      <c r="AL149" s="28">
        <f t="shared" si="79"/>
        <v>337720.88</v>
      </c>
      <c r="AM149" s="29">
        <f t="shared" si="80"/>
        <v>5.0682728369440287E-2</v>
      </c>
    </row>
    <row r="150" spans="1:39" ht="192" customHeight="1" x14ac:dyDescent="0.25">
      <c r="A150" s="10">
        <v>147</v>
      </c>
      <c r="B150" s="44">
        <v>136346</v>
      </c>
      <c r="C150" s="45">
        <v>803</v>
      </c>
      <c r="D150" s="46" t="s">
        <v>31</v>
      </c>
      <c r="E150" s="14" t="s">
        <v>1826</v>
      </c>
      <c r="F150" s="40" t="s">
        <v>1840</v>
      </c>
      <c r="G150" s="15" t="s">
        <v>560</v>
      </c>
      <c r="H150" s="20" t="s">
        <v>35</v>
      </c>
      <c r="I150" s="16" t="s">
        <v>1841</v>
      </c>
      <c r="J150" s="47">
        <v>43949</v>
      </c>
      <c r="K150" s="47">
        <v>44497</v>
      </c>
      <c r="L150" s="48">
        <f t="shared" si="74"/>
        <v>84.999999931876232</v>
      </c>
      <c r="M150" s="45">
        <v>3</v>
      </c>
      <c r="N150" s="45" t="s">
        <v>1842</v>
      </c>
      <c r="O150" s="45" t="s">
        <v>545</v>
      </c>
      <c r="P150" s="49" t="s">
        <v>39</v>
      </c>
      <c r="Q150" s="45" t="s">
        <v>40</v>
      </c>
      <c r="R150" s="50">
        <f t="shared" ref="R150:R160" si="83">S150+T150</f>
        <v>2495457.98</v>
      </c>
      <c r="S150" s="50">
        <v>2495457.98</v>
      </c>
      <c r="T150" s="50">
        <v>0</v>
      </c>
      <c r="U150" s="51">
        <f t="shared" si="69"/>
        <v>381658.28</v>
      </c>
      <c r="V150" s="50">
        <v>381658.28</v>
      </c>
      <c r="W150" s="50">
        <v>0</v>
      </c>
      <c r="X150" s="51">
        <f t="shared" si="70"/>
        <v>58716.66</v>
      </c>
      <c r="Y150" s="50">
        <v>58716.66</v>
      </c>
      <c r="Z150" s="50">
        <v>0</v>
      </c>
      <c r="AA150" s="50">
        <f t="shared" si="82"/>
        <v>0</v>
      </c>
      <c r="AB150" s="50">
        <v>0</v>
      </c>
      <c r="AC150" s="50">
        <v>0</v>
      </c>
      <c r="AD150" s="50">
        <f t="shared" ref="AD150" si="84">R150+U150+X150+AA150</f>
        <v>2935832.92</v>
      </c>
      <c r="AE150" s="50">
        <v>0</v>
      </c>
      <c r="AF150" s="50">
        <f t="shared" si="77"/>
        <v>2935832.92</v>
      </c>
      <c r="AG150" s="39" t="s">
        <v>69</v>
      </c>
      <c r="AH150" s="39"/>
      <c r="AI150" s="35">
        <v>0</v>
      </c>
      <c r="AJ150" s="36">
        <v>0</v>
      </c>
      <c r="AK150" s="28">
        <f t="shared" si="78"/>
        <v>2495457.98</v>
      </c>
      <c r="AL150" s="28">
        <f t="shared" si="79"/>
        <v>381658.28</v>
      </c>
      <c r="AM150" s="29">
        <f t="shared" si="80"/>
        <v>0</v>
      </c>
    </row>
    <row r="151" spans="1:39" ht="192" customHeight="1" x14ac:dyDescent="0.25">
      <c r="A151" s="10">
        <v>148</v>
      </c>
      <c r="B151" s="20">
        <v>128275</v>
      </c>
      <c r="C151" s="20">
        <v>636</v>
      </c>
      <c r="D151" s="20" t="s">
        <v>31</v>
      </c>
      <c r="E151" s="14" t="s">
        <v>79</v>
      </c>
      <c r="F151" s="63" t="s">
        <v>562</v>
      </c>
      <c r="G151" s="63" t="s">
        <v>563</v>
      </c>
      <c r="H151" s="20" t="s">
        <v>35</v>
      </c>
      <c r="I151" s="15" t="s">
        <v>564</v>
      </c>
      <c r="J151" s="30">
        <v>43629</v>
      </c>
      <c r="K151" s="30">
        <v>44360</v>
      </c>
      <c r="L151" s="31">
        <f t="shared" ref="L151:L160" si="85">R151/AD151*100</f>
        <v>85.000000189128897</v>
      </c>
      <c r="M151" s="20">
        <v>1</v>
      </c>
      <c r="N151" s="20" t="s">
        <v>565</v>
      </c>
      <c r="O151" s="20" t="s">
        <v>566</v>
      </c>
      <c r="P151" s="20" t="s">
        <v>39</v>
      </c>
      <c r="Q151" s="20" t="s">
        <v>40</v>
      </c>
      <c r="R151" s="2">
        <f t="shared" si="83"/>
        <v>2247144.58</v>
      </c>
      <c r="S151" s="35">
        <v>2247144.58</v>
      </c>
      <c r="T151" s="35">
        <v>0</v>
      </c>
      <c r="U151" s="33">
        <f t="shared" si="69"/>
        <v>343680.93</v>
      </c>
      <c r="V151" s="35">
        <v>343680.93</v>
      </c>
      <c r="W151" s="101">
        <v>0</v>
      </c>
      <c r="X151" s="33">
        <f t="shared" si="70"/>
        <v>52873.99</v>
      </c>
      <c r="Y151" s="35">
        <v>52873.99</v>
      </c>
      <c r="Z151" s="102">
        <v>0</v>
      </c>
      <c r="AA151" s="42">
        <f t="shared" si="82"/>
        <v>0</v>
      </c>
      <c r="AB151" s="35">
        <v>0</v>
      </c>
      <c r="AC151" s="102">
        <v>0</v>
      </c>
      <c r="AD151" s="2">
        <f>R151+U151+X151</f>
        <v>2643699.5000000005</v>
      </c>
      <c r="AE151" s="6">
        <v>0</v>
      </c>
      <c r="AF151" s="2">
        <f t="shared" ref="AF151:AF160" si="86">AD151+AE151</f>
        <v>2643699.5000000005</v>
      </c>
      <c r="AG151" s="39" t="s">
        <v>69</v>
      </c>
      <c r="AH151" s="39"/>
      <c r="AI151" s="35">
        <v>116746.84</v>
      </c>
      <c r="AJ151" s="36">
        <f>11751.31+6104.09</f>
        <v>17855.400000000001</v>
      </c>
      <c r="AK151" s="28">
        <f t="shared" si="78"/>
        <v>2130397.7400000002</v>
      </c>
      <c r="AL151" s="28">
        <f t="shared" si="79"/>
        <v>325825.52999999997</v>
      </c>
      <c r="AM151" s="29">
        <f t="shared" si="80"/>
        <v>5.1953417256312008E-2</v>
      </c>
    </row>
    <row r="152" spans="1:39" ht="192" customHeight="1" x14ac:dyDescent="0.25">
      <c r="A152" s="10">
        <v>149</v>
      </c>
      <c r="B152" s="20">
        <v>119895</v>
      </c>
      <c r="C152" s="20">
        <v>458</v>
      </c>
      <c r="D152" s="20" t="s">
        <v>47</v>
      </c>
      <c r="E152" s="14" t="s">
        <v>567</v>
      </c>
      <c r="F152" s="63" t="s">
        <v>568</v>
      </c>
      <c r="G152" s="63" t="s">
        <v>569</v>
      </c>
      <c r="H152" s="20" t="s">
        <v>35</v>
      </c>
      <c r="I152" s="15" t="s">
        <v>570</v>
      </c>
      <c r="J152" s="30">
        <v>43312</v>
      </c>
      <c r="K152" s="30">
        <v>43861</v>
      </c>
      <c r="L152" s="31">
        <f t="shared" si="85"/>
        <v>79.999998251321642</v>
      </c>
      <c r="M152" s="20">
        <v>8</v>
      </c>
      <c r="N152" s="20" t="s">
        <v>571</v>
      </c>
      <c r="O152" s="20" t="s">
        <v>572</v>
      </c>
      <c r="P152" s="20" t="s">
        <v>39</v>
      </c>
      <c r="Q152" s="20" t="s">
        <v>40</v>
      </c>
      <c r="R152" s="2">
        <f t="shared" si="83"/>
        <v>457488.35</v>
      </c>
      <c r="S152" s="103">
        <v>0</v>
      </c>
      <c r="T152" s="64">
        <v>457488.35</v>
      </c>
      <c r="U152" s="33">
        <f t="shared" si="69"/>
        <v>102934.89</v>
      </c>
      <c r="V152" s="64">
        <v>0</v>
      </c>
      <c r="W152" s="52">
        <v>102934.89</v>
      </c>
      <c r="X152" s="33">
        <f t="shared" si="70"/>
        <v>11437.21</v>
      </c>
      <c r="Y152" s="64">
        <v>0</v>
      </c>
      <c r="Z152" s="104">
        <v>11437.21</v>
      </c>
      <c r="AA152" s="2">
        <f t="shared" si="82"/>
        <v>0</v>
      </c>
      <c r="AB152" s="64">
        <v>0</v>
      </c>
      <c r="AC152" s="104">
        <v>0</v>
      </c>
      <c r="AD152" s="2">
        <f t="shared" ref="AD152:AD160" si="87">R152+U152+X152+AA152</f>
        <v>571860.44999999995</v>
      </c>
      <c r="AE152" s="2">
        <v>0</v>
      </c>
      <c r="AF152" s="2">
        <f t="shared" si="86"/>
        <v>571860.44999999995</v>
      </c>
      <c r="AG152" s="39" t="s">
        <v>41</v>
      </c>
      <c r="AH152" s="39" t="s">
        <v>573</v>
      </c>
      <c r="AI152" s="35">
        <v>446392.8</v>
      </c>
      <c r="AJ152" s="36">
        <v>100438.38</v>
      </c>
      <c r="AK152" s="28">
        <f t="shared" si="78"/>
        <v>11095.549999999988</v>
      </c>
      <c r="AL152" s="28">
        <f t="shared" si="79"/>
        <v>2496.5099999999948</v>
      </c>
      <c r="AM152" s="29">
        <f t="shared" si="80"/>
        <v>0.97574681409920061</v>
      </c>
    </row>
    <row r="153" spans="1:39" ht="192" customHeight="1" x14ac:dyDescent="0.25">
      <c r="A153" s="10">
        <v>150</v>
      </c>
      <c r="B153" s="37">
        <v>126391</v>
      </c>
      <c r="C153" s="20">
        <v>508</v>
      </c>
      <c r="D153" s="20" t="s">
        <v>31</v>
      </c>
      <c r="E153" s="14" t="s">
        <v>241</v>
      </c>
      <c r="F153" s="15" t="s">
        <v>574</v>
      </c>
      <c r="G153" s="63" t="s">
        <v>569</v>
      </c>
      <c r="H153" s="20" t="s">
        <v>35</v>
      </c>
      <c r="I153" s="15" t="s">
        <v>575</v>
      </c>
      <c r="J153" s="30">
        <v>43452</v>
      </c>
      <c r="K153" s="30">
        <v>44365</v>
      </c>
      <c r="L153" s="31">
        <f t="shared" si="85"/>
        <v>80.000000098352359</v>
      </c>
      <c r="M153" s="20">
        <v>8</v>
      </c>
      <c r="N153" s="20" t="s">
        <v>571</v>
      </c>
      <c r="O153" s="20" t="s">
        <v>572</v>
      </c>
      <c r="P153" s="20" t="s">
        <v>39</v>
      </c>
      <c r="Q153" s="20" t="s">
        <v>40</v>
      </c>
      <c r="R153" s="2">
        <f t="shared" si="83"/>
        <v>1626803.97</v>
      </c>
      <c r="S153" s="101">
        <v>0</v>
      </c>
      <c r="T153" s="105">
        <v>1626803.97</v>
      </c>
      <c r="U153" s="33">
        <f t="shared" si="69"/>
        <v>366030.89</v>
      </c>
      <c r="V153" s="35">
        <v>0</v>
      </c>
      <c r="W153" s="35">
        <v>366030.89</v>
      </c>
      <c r="X153" s="33">
        <f t="shared" si="70"/>
        <v>40670.1</v>
      </c>
      <c r="Y153" s="35">
        <v>0</v>
      </c>
      <c r="Z153" s="35">
        <v>40670.1</v>
      </c>
      <c r="AA153" s="2">
        <f t="shared" si="82"/>
        <v>0</v>
      </c>
      <c r="AB153" s="35">
        <v>0</v>
      </c>
      <c r="AC153" s="35">
        <v>0</v>
      </c>
      <c r="AD153" s="2">
        <f t="shared" si="87"/>
        <v>2033504.96</v>
      </c>
      <c r="AE153" s="42">
        <v>485522.74</v>
      </c>
      <c r="AF153" s="2">
        <f t="shared" si="86"/>
        <v>2519027.7000000002</v>
      </c>
      <c r="AG153" s="39" t="s">
        <v>69</v>
      </c>
      <c r="AH153" s="39"/>
      <c r="AI153" s="35">
        <v>5712</v>
      </c>
      <c r="AJ153" s="36">
        <f>1285.2</f>
        <v>1285.2</v>
      </c>
      <c r="AK153" s="28">
        <f t="shared" si="78"/>
        <v>1621091.97</v>
      </c>
      <c r="AL153" s="28">
        <f t="shared" si="79"/>
        <v>364745.69</v>
      </c>
      <c r="AM153" s="29">
        <f t="shared" si="80"/>
        <v>3.5111790389840271E-3</v>
      </c>
    </row>
    <row r="154" spans="1:39" ht="192" customHeight="1" x14ac:dyDescent="0.25">
      <c r="A154" s="10">
        <v>151</v>
      </c>
      <c r="B154" s="37">
        <v>128946</v>
      </c>
      <c r="C154" s="20">
        <v>654</v>
      </c>
      <c r="D154" s="20" t="s">
        <v>31</v>
      </c>
      <c r="E154" s="14" t="s">
        <v>249</v>
      </c>
      <c r="F154" s="15" t="s">
        <v>576</v>
      </c>
      <c r="G154" s="63" t="s">
        <v>569</v>
      </c>
      <c r="H154" s="20" t="s">
        <v>35</v>
      </c>
      <c r="I154" s="15" t="s">
        <v>577</v>
      </c>
      <c r="J154" s="30">
        <v>43657</v>
      </c>
      <c r="K154" s="30">
        <v>44207</v>
      </c>
      <c r="L154" s="31">
        <f t="shared" si="85"/>
        <v>80</v>
      </c>
      <c r="M154" s="20">
        <v>8</v>
      </c>
      <c r="N154" s="20" t="s">
        <v>571</v>
      </c>
      <c r="O154" s="20" t="s">
        <v>572</v>
      </c>
      <c r="P154" s="20" t="s">
        <v>39</v>
      </c>
      <c r="Q154" s="20" t="s">
        <v>40</v>
      </c>
      <c r="R154" s="2">
        <f t="shared" si="83"/>
        <v>271938.8</v>
      </c>
      <c r="S154" s="35">
        <v>0</v>
      </c>
      <c r="T154" s="35">
        <v>271938.8</v>
      </c>
      <c r="U154" s="33">
        <f t="shared" si="69"/>
        <v>61186.239999999998</v>
      </c>
      <c r="V154" s="35">
        <v>0</v>
      </c>
      <c r="W154" s="35">
        <v>61186.239999999998</v>
      </c>
      <c r="X154" s="33">
        <f t="shared" si="70"/>
        <v>6798.46</v>
      </c>
      <c r="Y154" s="35">
        <v>0</v>
      </c>
      <c r="Z154" s="35">
        <v>6798.46</v>
      </c>
      <c r="AA154" s="2">
        <f t="shared" si="82"/>
        <v>0</v>
      </c>
      <c r="AB154" s="35">
        <v>0</v>
      </c>
      <c r="AC154" s="35">
        <v>0</v>
      </c>
      <c r="AD154" s="2">
        <f t="shared" si="87"/>
        <v>339923.5</v>
      </c>
      <c r="AE154" s="42">
        <v>0</v>
      </c>
      <c r="AF154" s="2">
        <f t="shared" si="86"/>
        <v>339923.5</v>
      </c>
      <c r="AG154" s="39" t="s">
        <v>69</v>
      </c>
      <c r="AH154" s="39"/>
      <c r="AI154" s="35">
        <v>15124.98</v>
      </c>
      <c r="AJ154" s="36">
        <f>3403.11</f>
        <v>3403.11</v>
      </c>
      <c r="AK154" s="28">
        <f t="shared" si="78"/>
        <v>256813.81999999998</v>
      </c>
      <c r="AL154" s="28">
        <f t="shared" si="79"/>
        <v>57783.13</v>
      </c>
      <c r="AM154" s="29">
        <f t="shared" si="80"/>
        <v>5.561905840578836E-2</v>
      </c>
    </row>
    <row r="155" spans="1:39" ht="192" customHeight="1" x14ac:dyDescent="0.25">
      <c r="A155" s="10">
        <v>152</v>
      </c>
      <c r="B155" s="37">
        <v>122738</v>
      </c>
      <c r="C155" s="20">
        <v>73</v>
      </c>
      <c r="D155" s="15" t="s">
        <v>31</v>
      </c>
      <c r="E155" s="14" t="s">
        <v>32</v>
      </c>
      <c r="F155" s="4" t="s">
        <v>578</v>
      </c>
      <c r="G155" s="15" t="s">
        <v>579</v>
      </c>
      <c r="H155" s="20" t="s">
        <v>35</v>
      </c>
      <c r="I155" s="15" t="s">
        <v>580</v>
      </c>
      <c r="J155" s="30">
        <v>43284</v>
      </c>
      <c r="K155" s="30">
        <v>43772</v>
      </c>
      <c r="L155" s="31">
        <f t="shared" si="85"/>
        <v>85.000002334434541</v>
      </c>
      <c r="M155" s="20">
        <v>6</v>
      </c>
      <c r="N155" s="20" t="s">
        <v>581</v>
      </c>
      <c r="O155" s="20" t="s">
        <v>582</v>
      </c>
      <c r="P155" s="32" t="s">
        <v>39</v>
      </c>
      <c r="Q155" s="20" t="s">
        <v>40</v>
      </c>
      <c r="R155" s="33">
        <f t="shared" si="83"/>
        <v>527965.13</v>
      </c>
      <c r="S155" s="64">
        <v>527965.13</v>
      </c>
      <c r="T155" s="2">
        <v>0</v>
      </c>
      <c r="U155" s="33">
        <f t="shared" si="69"/>
        <v>80747.570000000007</v>
      </c>
      <c r="V155" s="64">
        <v>80747.570000000007</v>
      </c>
      <c r="W155" s="2">
        <v>0</v>
      </c>
      <c r="X155" s="33">
        <f t="shared" si="70"/>
        <v>12422.73</v>
      </c>
      <c r="Y155" s="106">
        <v>12422.73</v>
      </c>
      <c r="Z155" s="2">
        <v>0</v>
      </c>
      <c r="AA155" s="2">
        <f t="shared" si="82"/>
        <v>0</v>
      </c>
      <c r="AB155" s="2">
        <v>0</v>
      </c>
      <c r="AC155" s="2">
        <v>0</v>
      </c>
      <c r="AD155" s="2">
        <f t="shared" si="87"/>
        <v>621135.42999999993</v>
      </c>
      <c r="AE155" s="2">
        <v>0</v>
      </c>
      <c r="AF155" s="2">
        <f t="shared" si="86"/>
        <v>621135.42999999993</v>
      </c>
      <c r="AG155" s="24" t="s">
        <v>41</v>
      </c>
      <c r="AH155" s="34"/>
      <c r="AI155" s="35">
        <v>494682.26</v>
      </c>
      <c r="AJ155" s="36">
        <v>75657.279999999999</v>
      </c>
      <c r="AK155" s="28">
        <f t="shared" si="78"/>
        <v>33282.869999999995</v>
      </c>
      <c r="AL155" s="28">
        <f t="shared" si="79"/>
        <v>5090.2900000000081</v>
      </c>
      <c r="AM155" s="29">
        <f t="shared" si="80"/>
        <v>0.9369600981034486</v>
      </c>
    </row>
    <row r="156" spans="1:39" ht="192" customHeight="1" x14ac:dyDescent="0.25">
      <c r="A156" s="10">
        <v>153</v>
      </c>
      <c r="B156" s="37">
        <v>126337</v>
      </c>
      <c r="C156" s="20">
        <v>556</v>
      </c>
      <c r="D156" s="20" t="s">
        <v>31</v>
      </c>
      <c r="E156" s="14" t="s">
        <v>65</v>
      </c>
      <c r="F156" s="15" t="s">
        <v>583</v>
      </c>
      <c r="G156" s="15" t="s">
        <v>579</v>
      </c>
      <c r="H156" s="20" t="s">
        <v>35</v>
      </c>
      <c r="I156" s="15" t="s">
        <v>584</v>
      </c>
      <c r="J156" s="30">
        <v>43577</v>
      </c>
      <c r="K156" s="30">
        <v>44491</v>
      </c>
      <c r="L156" s="31">
        <f t="shared" si="85"/>
        <v>85.000000442818262</v>
      </c>
      <c r="M156" s="20">
        <v>6</v>
      </c>
      <c r="N156" s="20" t="s">
        <v>581</v>
      </c>
      <c r="O156" s="20" t="s">
        <v>582</v>
      </c>
      <c r="P156" s="32" t="s">
        <v>39</v>
      </c>
      <c r="Q156" s="20" t="s">
        <v>40</v>
      </c>
      <c r="R156" s="2">
        <f t="shared" si="83"/>
        <v>3359165.89</v>
      </c>
      <c r="S156" s="64">
        <v>3359165.89</v>
      </c>
      <c r="T156" s="2">
        <v>0</v>
      </c>
      <c r="U156" s="33">
        <f t="shared" si="69"/>
        <v>513754.76</v>
      </c>
      <c r="V156" s="64">
        <v>513754.76</v>
      </c>
      <c r="W156" s="2">
        <v>0</v>
      </c>
      <c r="X156" s="33">
        <f t="shared" si="70"/>
        <v>79039.199999999997</v>
      </c>
      <c r="Y156" s="106">
        <v>79039.199999999997</v>
      </c>
      <c r="Z156" s="2">
        <v>0</v>
      </c>
      <c r="AA156" s="2">
        <f t="shared" si="82"/>
        <v>0</v>
      </c>
      <c r="AB156" s="2">
        <v>0</v>
      </c>
      <c r="AC156" s="2">
        <v>0</v>
      </c>
      <c r="AD156" s="2">
        <f t="shared" si="87"/>
        <v>3951959.8500000006</v>
      </c>
      <c r="AE156" s="2">
        <v>15981.7</v>
      </c>
      <c r="AF156" s="2">
        <f t="shared" si="86"/>
        <v>3967941.5500000007</v>
      </c>
      <c r="AG156" s="39" t="s">
        <v>69</v>
      </c>
      <c r="AH156" s="39"/>
      <c r="AI156" s="35">
        <v>124564.70999999999</v>
      </c>
      <c r="AJ156" s="36">
        <v>19051.05</v>
      </c>
      <c r="AK156" s="28">
        <f t="shared" si="78"/>
        <v>3234601.18</v>
      </c>
      <c r="AL156" s="28">
        <f t="shared" si="79"/>
        <v>494703.71</v>
      </c>
      <c r="AM156" s="29">
        <f t="shared" si="80"/>
        <v>3.7082035862182436E-2</v>
      </c>
    </row>
    <row r="157" spans="1:39" ht="192" customHeight="1" x14ac:dyDescent="0.25">
      <c r="A157" s="10">
        <v>154</v>
      </c>
      <c r="B157" s="37">
        <v>129243</v>
      </c>
      <c r="C157" s="20">
        <v>683</v>
      </c>
      <c r="D157" s="20" t="s">
        <v>31</v>
      </c>
      <c r="E157" s="14" t="s">
        <v>79</v>
      </c>
      <c r="F157" s="15" t="s">
        <v>585</v>
      </c>
      <c r="G157" s="15" t="s">
        <v>586</v>
      </c>
      <c r="H157" s="20" t="s">
        <v>587</v>
      </c>
      <c r="I157" s="15" t="s">
        <v>588</v>
      </c>
      <c r="J157" s="30">
        <v>43745</v>
      </c>
      <c r="K157" s="30">
        <v>44658</v>
      </c>
      <c r="L157" s="31">
        <f t="shared" si="85"/>
        <v>84.762119683347478</v>
      </c>
      <c r="M157" s="20">
        <v>7</v>
      </c>
      <c r="N157" s="20" t="s">
        <v>581</v>
      </c>
      <c r="O157" s="20" t="s">
        <v>582</v>
      </c>
      <c r="P157" s="32" t="s">
        <v>39</v>
      </c>
      <c r="Q157" s="20" t="s">
        <v>40</v>
      </c>
      <c r="R157" s="2">
        <f t="shared" si="83"/>
        <v>2892355.61</v>
      </c>
      <c r="S157" s="2">
        <v>2892355.61</v>
      </c>
      <c r="T157" s="2">
        <v>0</v>
      </c>
      <c r="U157" s="33">
        <f t="shared" si="69"/>
        <v>451718.97</v>
      </c>
      <c r="V157" s="2">
        <v>451718.97</v>
      </c>
      <c r="W157" s="2">
        <v>0</v>
      </c>
      <c r="X157" s="33">
        <f t="shared" si="70"/>
        <v>58696.72</v>
      </c>
      <c r="Y157" s="2">
        <v>58696.72</v>
      </c>
      <c r="Z157" s="2">
        <v>0</v>
      </c>
      <c r="AA157" s="2">
        <f t="shared" si="82"/>
        <v>9549.7000000000007</v>
      </c>
      <c r="AB157" s="2">
        <v>9549.7000000000007</v>
      </c>
      <c r="AC157" s="2">
        <v>0</v>
      </c>
      <c r="AD157" s="2">
        <f t="shared" si="87"/>
        <v>3412321.0000000005</v>
      </c>
      <c r="AE157" s="2">
        <v>0</v>
      </c>
      <c r="AF157" s="2">
        <f t="shared" si="86"/>
        <v>3412321.0000000005</v>
      </c>
      <c r="AG157" s="39" t="s">
        <v>69</v>
      </c>
      <c r="AH157" s="39"/>
      <c r="AI157" s="35">
        <v>368913.86</v>
      </c>
      <c r="AJ157" s="36">
        <v>21704.27</v>
      </c>
      <c r="AK157" s="28">
        <f t="shared" si="78"/>
        <v>2523441.75</v>
      </c>
      <c r="AL157" s="28">
        <f t="shared" si="79"/>
        <v>430014.69999999995</v>
      </c>
      <c r="AM157" s="29">
        <f t="shared" si="80"/>
        <v>0.12754789166467673</v>
      </c>
    </row>
    <row r="158" spans="1:39" ht="192" customHeight="1" x14ac:dyDescent="0.25">
      <c r="A158" s="10">
        <v>155</v>
      </c>
      <c r="B158" s="37">
        <v>110238</v>
      </c>
      <c r="C158" s="20">
        <v>120</v>
      </c>
      <c r="D158" s="15" t="s">
        <v>31</v>
      </c>
      <c r="E158" s="14" t="s">
        <v>32</v>
      </c>
      <c r="F158" s="4" t="s">
        <v>589</v>
      </c>
      <c r="G158" s="15" t="s">
        <v>428</v>
      </c>
      <c r="H158" s="20" t="s">
        <v>35</v>
      </c>
      <c r="I158" s="16" t="s">
        <v>590</v>
      </c>
      <c r="J158" s="30">
        <v>43166</v>
      </c>
      <c r="K158" s="30">
        <v>43837</v>
      </c>
      <c r="L158" s="31">
        <f t="shared" si="85"/>
        <v>85.000000235397167</v>
      </c>
      <c r="M158" s="20">
        <v>4</v>
      </c>
      <c r="N158" s="20" t="s">
        <v>591</v>
      </c>
      <c r="O158" s="20" t="s">
        <v>592</v>
      </c>
      <c r="P158" s="32" t="s">
        <v>39</v>
      </c>
      <c r="Q158" s="20" t="s">
        <v>40</v>
      </c>
      <c r="R158" s="33">
        <f t="shared" si="83"/>
        <v>361091.85</v>
      </c>
      <c r="S158" s="52">
        <v>361091.85</v>
      </c>
      <c r="T158" s="2">
        <v>0</v>
      </c>
      <c r="U158" s="33">
        <f>V158+W158</f>
        <v>55225.82</v>
      </c>
      <c r="V158" s="52">
        <v>55225.82</v>
      </c>
      <c r="W158" s="2">
        <v>0</v>
      </c>
      <c r="X158" s="33">
        <f>Y158+Z158</f>
        <v>8496.27</v>
      </c>
      <c r="Y158" s="107">
        <v>8496.27</v>
      </c>
      <c r="Z158" s="2">
        <v>0</v>
      </c>
      <c r="AA158" s="2">
        <f t="shared" si="82"/>
        <v>0</v>
      </c>
      <c r="AB158" s="2">
        <v>0</v>
      </c>
      <c r="AC158" s="2">
        <v>0</v>
      </c>
      <c r="AD158" s="2">
        <f t="shared" si="87"/>
        <v>424813.94</v>
      </c>
      <c r="AE158" s="2">
        <v>0</v>
      </c>
      <c r="AF158" s="2">
        <f t="shared" si="86"/>
        <v>424813.94</v>
      </c>
      <c r="AG158" s="39" t="s">
        <v>41</v>
      </c>
      <c r="AH158" s="34" t="s">
        <v>593</v>
      </c>
      <c r="AI158" s="35">
        <v>348222.91000000003</v>
      </c>
      <c r="AJ158" s="36">
        <v>53257.61</v>
      </c>
      <c r="AK158" s="28">
        <f t="shared" si="78"/>
        <v>12868.939999999944</v>
      </c>
      <c r="AL158" s="28">
        <f t="shared" si="79"/>
        <v>1968.2099999999991</v>
      </c>
      <c r="AM158" s="29">
        <f t="shared" si="80"/>
        <v>0.9643610344570227</v>
      </c>
    </row>
    <row r="159" spans="1:39" ht="192" customHeight="1" x14ac:dyDescent="0.25">
      <c r="A159" s="10">
        <v>156</v>
      </c>
      <c r="B159" s="37">
        <v>117741</v>
      </c>
      <c r="C159" s="20">
        <v>415</v>
      </c>
      <c r="D159" s="15" t="s">
        <v>54</v>
      </c>
      <c r="E159" s="14" t="s">
        <v>55</v>
      </c>
      <c r="F159" s="15" t="s">
        <v>594</v>
      </c>
      <c r="G159" s="15" t="s">
        <v>595</v>
      </c>
      <c r="H159" s="20" t="s">
        <v>596</v>
      </c>
      <c r="I159" s="15" t="s">
        <v>597</v>
      </c>
      <c r="J159" s="30">
        <v>43311</v>
      </c>
      <c r="K159" s="30">
        <v>43707</v>
      </c>
      <c r="L159" s="31">
        <f t="shared" si="85"/>
        <v>84.15024511492409</v>
      </c>
      <c r="M159" s="20">
        <v>4</v>
      </c>
      <c r="N159" s="20" t="s">
        <v>591</v>
      </c>
      <c r="O159" s="20" t="s">
        <v>592</v>
      </c>
      <c r="P159" s="20" t="s">
        <v>39</v>
      </c>
      <c r="Q159" s="20" t="s">
        <v>40</v>
      </c>
      <c r="R159" s="33">
        <f t="shared" si="83"/>
        <v>242958.31</v>
      </c>
      <c r="S159" s="35">
        <v>242958.31</v>
      </c>
      <c r="T159" s="2">
        <v>0</v>
      </c>
      <c r="U159" s="33">
        <f>V159+W159</f>
        <v>39986.97</v>
      </c>
      <c r="V159" s="35">
        <v>39986.97</v>
      </c>
      <c r="W159" s="2">
        <v>0</v>
      </c>
      <c r="X159" s="33">
        <f>Y159+Z159</f>
        <v>2888.03</v>
      </c>
      <c r="Y159" s="35">
        <v>2888.03</v>
      </c>
      <c r="Z159" s="35">
        <v>0</v>
      </c>
      <c r="AA159" s="2">
        <f t="shared" si="82"/>
        <v>2886.36</v>
      </c>
      <c r="AB159" s="35">
        <v>2886.36</v>
      </c>
      <c r="AC159" s="41">
        <v>0</v>
      </c>
      <c r="AD159" s="2">
        <f t="shared" si="87"/>
        <v>288719.67000000004</v>
      </c>
      <c r="AE159" s="39"/>
      <c r="AF159" s="2">
        <f t="shared" si="86"/>
        <v>288719.67000000004</v>
      </c>
      <c r="AG159" s="24" t="s">
        <v>41</v>
      </c>
      <c r="AH159" s="39" t="s">
        <v>598</v>
      </c>
      <c r="AI159" s="35">
        <v>154052.83000000002</v>
      </c>
      <c r="AJ159" s="36">
        <v>25737.5</v>
      </c>
      <c r="AK159" s="28">
        <f t="shared" si="78"/>
        <v>88905.479999999981</v>
      </c>
      <c r="AL159" s="28">
        <f t="shared" si="79"/>
        <v>14249.470000000001</v>
      </c>
      <c r="AM159" s="29">
        <f t="shared" si="80"/>
        <v>0.63407104700390782</v>
      </c>
    </row>
    <row r="160" spans="1:39" ht="192" customHeight="1" x14ac:dyDescent="0.25">
      <c r="A160" s="10">
        <v>157</v>
      </c>
      <c r="B160" s="37">
        <v>126246</v>
      </c>
      <c r="C160" s="20">
        <v>537</v>
      </c>
      <c r="D160" s="20" t="s">
        <v>31</v>
      </c>
      <c r="E160" s="14" t="s">
        <v>65</v>
      </c>
      <c r="F160" s="15" t="s">
        <v>599</v>
      </c>
      <c r="G160" s="15" t="s">
        <v>595</v>
      </c>
      <c r="H160" s="20" t="s">
        <v>600</v>
      </c>
      <c r="I160" s="16" t="s">
        <v>601</v>
      </c>
      <c r="J160" s="30">
        <v>43532</v>
      </c>
      <c r="K160" s="30">
        <v>44447</v>
      </c>
      <c r="L160" s="31">
        <f t="shared" si="85"/>
        <v>84.376572868603944</v>
      </c>
      <c r="M160" s="20">
        <v>4</v>
      </c>
      <c r="N160" s="20" t="s">
        <v>591</v>
      </c>
      <c r="O160" s="20" t="s">
        <v>592</v>
      </c>
      <c r="P160" s="20" t="s">
        <v>39</v>
      </c>
      <c r="Q160" s="20" t="s">
        <v>40</v>
      </c>
      <c r="R160" s="33">
        <f t="shared" si="83"/>
        <v>3134478.71</v>
      </c>
      <c r="S160" s="35">
        <v>3134478.71</v>
      </c>
      <c r="T160" s="2">
        <v>0</v>
      </c>
      <c r="U160" s="33">
        <f>V160+W160</f>
        <v>506092.39</v>
      </c>
      <c r="V160" s="35">
        <v>506092.39</v>
      </c>
      <c r="W160" s="2">
        <v>0</v>
      </c>
      <c r="X160" s="33">
        <f>Y160+Z160</f>
        <v>47050.879999999997</v>
      </c>
      <c r="Y160" s="35">
        <v>47050.879999999997</v>
      </c>
      <c r="Z160" s="35">
        <v>0</v>
      </c>
      <c r="AA160" s="2">
        <f t="shared" si="82"/>
        <v>27246.5</v>
      </c>
      <c r="AB160" s="35">
        <v>27246.5</v>
      </c>
      <c r="AC160" s="41">
        <v>0</v>
      </c>
      <c r="AD160" s="2">
        <f t="shared" si="87"/>
        <v>3714868.48</v>
      </c>
      <c r="AE160" s="39">
        <v>0</v>
      </c>
      <c r="AF160" s="2">
        <f t="shared" si="86"/>
        <v>3714868.48</v>
      </c>
      <c r="AG160" s="39" t="s">
        <v>69</v>
      </c>
      <c r="AH160" s="39"/>
      <c r="AI160" s="35">
        <v>561658.41999999993</v>
      </c>
      <c r="AJ160" s="36">
        <v>78790.010000000009</v>
      </c>
      <c r="AK160" s="28">
        <f t="shared" si="78"/>
        <v>2572820.29</v>
      </c>
      <c r="AL160" s="28">
        <f t="shared" si="79"/>
        <v>427302.38</v>
      </c>
      <c r="AM160" s="29">
        <f t="shared" si="80"/>
        <v>0.17918718612065479</v>
      </c>
    </row>
    <row r="161" spans="1:39" ht="192" customHeight="1" x14ac:dyDescent="0.25">
      <c r="A161" s="10">
        <v>158</v>
      </c>
      <c r="B161" s="37">
        <v>120531</v>
      </c>
      <c r="C161" s="20">
        <v>76</v>
      </c>
      <c r="D161" s="15" t="s">
        <v>31</v>
      </c>
      <c r="E161" s="14" t="s">
        <v>32</v>
      </c>
      <c r="F161" s="62" t="s">
        <v>602</v>
      </c>
      <c r="G161" s="62" t="s">
        <v>603</v>
      </c>
      <c r="H161" s="20" t="s">
        <v>35</v>
      </c>
      <c r="I161" s="15" t="s">
        <v>604</v>
      </c>
      <c r="J161" s="30">
        <v>43129</v>
      </c>
      <c r="K161" s="30">
        <v>43798</v>
      </c>
      <c r="L161" s="31">
        <f t="shared" ref="L161:L166" si="88">R161/AD161*100</f>
        <v>85.000000405063261</v>
      </c>
      <c r="M161" s="20">
        <v>3</v>
      </c>
      <c r="N161" s="20" t="s">
        <v>605</v>
      </c>
      <c r="O161" s="20" t="s">
        <v>606</v>
      </c>
      <c r="P161" s="32" t="s">
        <v>39</v>
      </c>
      <c r="Q161" s="20" t="s">
        <v>40</v>
      </c>
      <c r="R161" s="2">
        <f t="shared" ref="R161:R166" si="89">S161+T161</f>
        <v>524609.42000000004</v>
      </c>
      <c r="S161" s="64">
        <v>524609.42000000004</v>
      </c>
      <c r="T161" s="2">
        <v>0</v>
      </c>
      <c r="U161" s="33">
        <f t="shared" ref="U161:U166" si="90">V161+W161</f>
        <v>80234.38</v>
      </c>
      <c r="V161" s="64">
        <v>80234.38</v>
      </c>
      <c r="W161" s="2">
        <v>0</v>
      </c>
      <c r="X161" s="33">
        <f t="shared" ref="X161:X166" si="91">Y161+Z161</f>
        <v>12343.75</v>
      </c>
      <c r="Y161" s="64">
        <v>12343.75</v>
      </c>
      <c r="Z161" s="2">
        <v>0</v>
      </c>
      <c r="AA161" s="2">
        <f t="shared" ref="AA161:AA166" si="92">AB161+AC161</f>
        <v>0</v>
      </c>
      <c r="AB161" s="2">
        <v>0</v>
      </c>
      <c r="AC161" s="2">
        <v>0</v>
      </c>
      <c r="AD161" s="2">
        <f t="shared" ref="AD161:AD166" si="93">R161+U161+X161+AA161</f>
        <v>617187.55000000005</v>
      </c>
      <c r="AE161" s="2">
        <v>0</v>
      </c>
      <c r="AF161" s="2">
        <f t="shared" ref="AF161:AF166" si="94">AD161+AE161</f>
        <v>617187.55000000005</v>
      </c>
      <c r="AG161" s="24" t="s">
        <v>41</v>
      </c>
      <c r="AH161" s="34" t="s">
        <v>35</v>
      </c>
      <c r="AI161" s="35">
        <v>398279.01</v>
      </c>
      <c r="AJ161" s="36">
        <v>60913.25</v>
      </c>
      <c r="AK161" s="28">
        <f t="shared" si="78"/>
        <v>126330.41000000003</v>
      </c>
      <c r="AL161" s="28">
        <f t="shared" si="79"/>
        <v>19321.130000000005</v>
      </c>
      <c r="AM161" s="29">
        <f t="shared" si="80"/>
        <v>0.75919149526518215</v>
      </c>
    </row>
    <row r="162" spans="1:39" ht="192" customHeight="1" x14ac:dyDescent="0.25">
      <c r="A162" s="10">
        <v>159</v>
      </c>
      <c r="B162" s="37">
        <v>119702</v>
      </c>
      <c r="C162" s="20">
        <v>462</v>
      </c>
      <c r="D162" s="20" t="s">
        <v>47</v>
      </c>
      <c r="E162" s="14" t="s">
        <v>48</v>
      </c>
      <c r="F162" s="15" t="s">
        <v>607</v>
      </c>
      <c r="G162" s="15" t="s">
        <v>603</v>
      </c>
      <c r="H162" s="20" t="s">
        <v>35</v>
      </c>
      <c r="I162" s="15" t="s">
        <v>608</v>
      </c>
      <c r="J162" s="30">
        <v>43269</v>
      </c>
      <c r="K162" s="30">
        <v>43756</v>
      </c>
      <c r="L162" s="31">
        <f t="shared" si="88"/>
        <v>85.000000000000014</v>
      </c>
      <c r="M162" s="20">
        <v>3</v>
      </c>
      <c r="N162" s="20" t="s">
        <v>605</v>
      </c>
      <c r="O162" s="20" t="s">
        <v>606</v>
      </c>
      <c r="P162" s="20" t="s">
        <v>39</v>
      </c>
      <c r="Q162" s="20" t="s">
        <v>293</v>
      </c>
      <c r="R162" s="2">
        <f t="shared" si="89"/>
        <v>289363.96999999997</v>
      </c>
      <c r="S162" s="35">
        <v>289363.96999999997</v>
      </c>
      <c r="T162" s="2">
        <v>0</v>
      </c>
      <c r="U162" s="33">
        <f t="shared" si="90"/>
        <v>44255.67</v>
      </c>
      <c r="V162" s="35">
        <v>44255.67</v>
      </c>
      <c r="W162" s="2">
        <v>0</v>
      </c>
      <c r="X162" s="33">
        <f t="shared" si="91"/>
        <v>6808.5599999999995</v>
      </c>
      <c r="Y162" s="35">
        <v>6808.5599999999995</v>
      </c>
      <c r="Z162" s="2">
        <v>0</v>
      </c>
      <c r="AA162" s="2">
        <f t="shared" si="92"/>
        <v>0</v>
      </c>
      <c r="AB162" s="2">
        <v>0</v>
      </c>
      <c r="AC162" s="2">
        <v>0</v>
      </c>
      <c r="AD162" s="2">
        <f t="shared" si="93"/>
        <v>340428.19999999995</v>
      </c>
      <c r="AE162" s="2">
        <v>0</v>
      </c>
      <c r="AF162" s="2">
        <f t="shared" si="94"/>
        <v>340428.19999999995</v>
      </c>
      <c r="AG162" s="24" t="s">
        <v>41</v>
      </c>
      <c r="AH162" s="70" t="s">
        <v>284</v>
      </c>
      <c r="AI162" s="35">
        <v>261948.47000000003</v>
      </c>
      <c r="AJ162" s="36">
        <v>40062.699999999997</v>
      </c>
      <c r="AK162" s="28">
        <f t="shared" si="78"/>
        <v>27415.499999999942</v>
      </c>
      <c r="AL162" s="28">
        <f t="shared" si="79"/>
        <v>4192.9700000000012</v>
      </c>
      <c r="AM162" s="29">
        <f t="shared" si="80"/>
        <v>0.90525599990904204</v>
      </c>
    </row>
    <row r="163" spans="1:39" ht="192" customHeight="1" x14ac:dyDescent="0.25">
      <c r="A163" s="10">
        <v>160</v>
      </c>
      <c r="B163" s="37">
        <v>117960</v>
      </c>
      <c r="C163" s="20">
        <v>418</v>
      </c>
      <c r="D163" s="15" t="s">
        <v>54</v>
      </c>
      <c r="E163" s="14" t="s">
        <v>55</v>
      </c>
      <c r="F163" s="15" t="s">
        <v>609</v>
      </c>
      <c r="G163" s="15" t="s">
        <v>603</v>
      </c>
      <c r="H163" s="20" t="s">
        <v>35</v>
      </c>
      <c r="I163" s="15" t="s">
        <v>610</v>
      </c>
      <c r="J163" s="30">
        <v>43318</v>
      </c>
      <c r="K163" s="30">
        <v>43805</v>
      </c>
      <c r="L163" s="31">
        <f t="shared" si="88"/>
        <v>85</v>
      </c>
      <c r="M163" s="20">
        <v>3</v>
      </c>
      <c r="N163" s="20" t="s">
        <v>605</v>
      </c>
      <c r="O163" s="20" t="s">
        <v>606</v>
      </c>
      <c r="P163" s="20" t="s">
        <v>39</v>
      </c>
      <c r="Q163" s="20" t="s">
        <v>293</v>
      </c>
      <c r="R163" s="2">
        <f t="shared" si="89"/>
        <v>339865.02</v>
      </c>
      <c r="S163" s="35">
        <v>339865.02</v>
      </c>
      <c r="T163" s="38">
        <v>0</v>
      </c>
      <c r="U163" s="33">
        <f t="shared" si="90"/>
        <v>51979.35</v>
      </c>
      <c r="V163" s="35">
        <v>51979.35</v>
      </c>
      <c r="W163" s="38">
        <v>0</v>
      </c>
      <c r="X163" s="33">
        <f t="shared" si="91"/>
        <v>7996.83</v>
      </c>
      <c r="Y163" s="35">
        <v>7996.83</v>
      </c>
      <c r="Z163" s="35">
        <v>0</v>
      </c>
      <c r="AA163" s="2">
        <f t="shared" si="92"/>
        <v>0</v>
      </c>
      <c r="AB163" s="38">
        <v>0</v>
      </c>
      <c r="AC163" s="38">
        <v>0</v>
      </c>
      <c r="AD163" s="2">
        <f t="shared" si="93"/>
        <v>399841.2</v>
      </c>
      <c r="AE163" s="35">
        <v>0</v>
      </c>
      <c r="AF163" s="2">
        <f t="shared" si="94"/>
        <v>399841.2</v>
      </c>
      <c r="AG163" s="24" t="s">
        <v>41</v>
      </c>
      <c r="AH163" s="39"/>
      <c r="AI163" s="35">
        <v>229276.43000000002</v>
      </c>
      <c r="AJ163" s="36">
        <v>35065.81</v>
      </c>
      <c r="AK163" s="28">
        <f t="shared" si="78"/>
        <v>110588.59</v>
      </c>
      <c r="AL163" s="28">
        <f t="shared" si="79"/>
        <v>16913.54</v>
      </c>
      <c r="AM163" s="29">
        <f t="shared" si="80"/>
        <v>0.67461026145026637</v>
      </c>
    </row>
    <row r="164" spans="1:39" ht="192" customHeight="1" x14ac:dyDescent="0.25">
      <c r="A164" s="10">
        <v>161</v>
      </c>
      <c r="B164" s="37">
        <v>126286</v>
      </c>
      <c r="C164" s="20">
        <v>513</v>
      </c>
      <c r="D164" s="15" t="s">
        <v>31</v>
      </c>
      <c r="E164" s="14" t="s">
        <v>65</v>
      </c>
      <c r="F164" s="15" t="s">
        <v>611</v>
      </c>
      <c r="G164" s="15" t="s">
        <v>612</v>
      </c>
      <c r="H164" s="20" t="s">
        <v>35</v>
      </c>
      <c r="I164" s="15" t="s">
        <v>613</v>
      </c>
      <c r="J164" s="30">
        <v>43451</v>
      </c>
      <c r="K164" s="30">
        <v>44182</v>
      </c>
      <c r="L164" s="31">
        <f t="shared" si="88"/>
        <v>85.000000627550136</v>
      </c>
      <c r="M164" s="20">
        <v>3</v>
      </c>
      <c r="N164" s="20" t="s">
        <v>614</v>
      </c>
      <c r="O164" s="20" t="s">
        <v>615</v>
      </c>
      <c r="P164" s="20" t="s">
        <v>39</v>
      </c>
      <c r="Q164" s="20" t="s">
        <v>293</v>
      </c>
      <c r="R164" s="2">
        <f t="shared" si="89"/>
        <v>2370328.59</v>
      </c>
      <c r="S164" s="35">
        <v>2370328.59</v>
      </c>
      <c r="T164" s="38">
        <v>0</v>
      </c>
      <c r="U164" s="33">
        <f t="shared" si="90"/>
        <v>362520.82</v>
      </c>
      <c r="V164" s="35">
        <v>362520.82</v>
      </c>
      <c r="W164" s="38">
        <v>0</v>
      </c>
      <c r="X164" s="33">
        <f t="shared" si="91"/>
        <v>55772.44</v>
      </c>
      <c r="Y164" s="35">
        <v>55772.44</v>
      </c>
      <c r="Z164" s="35">
        <v>0</v>
      </c>
      <c r="AA164" s="2">
        <f t="shared" si="92"/>
        <v>0</v>
      </c>
      <c r="AB164" s="38">
        <v>0</v>
      </c>
      <c r="AC164" s="38">
        <v>0</v>
      </c>
      <c r="AD164" s="2">
        <f t="shared" si="93"/>
        <v>2788621.8499999996</v>
      </c>
      <c r="AE164" s="35">
        <v>0</v>
      </c>
      <c r="AF164" s="2">
        <f t="shared" si="94"/>
        <v>2788621.8499999996</v>
      </c>
      <c r="AG164" s="39" t="s">
        <v>69</v>
      </c>
      <c r="AH164" s="39" t="s">
        <v>35</v>
      </c>
      <c r="AI164" s="35">
        <v>632375.72000000009</v>
      </c>
      <c r="AJ164" s="36">
        <v>58480.960000000036</v>
      </c>
      <c r="AK164" s="28">
        <f t="shared" si="78"/>
        <v>1737952.8699999996</v>
      </c>
      <c r="AL164" s="28">
        <f t="shared" si="79"/>
        <v>304039.86</v>
      </c>
      <c r="AM164" s="29">
        <f t="shared" si="80"/>
        <v>0.26678820930898872</v>
      </c>
    </row>
    <row r="165" spans="1:39" ht="192" customHeight="1" x14ac:dyDescent="0.25">
      <c r="A165" s="10">
        <v>162</v>
      </c>
      <c r="B165" s="37">
        <v>129573</v>
      </c>
      <c r="C165" s="20">
        <v>665</v>
      </c>
      <c r="D165" s="15" t="s">
        <v>31</v>
      </c>
      <c r="E165" s="14" t="s">
        <v>79</v>
      </c>
      <c r="F165" s="15" t="s">
        <v>616</v>
      </c>
      <c r="G165" s="15" t="s">
        <v>614</v>
      </c>
      <c r="H165" s="20" t="s">
        <v>35</v>
      </c>
      <c r="I165" s="15" t="s">
        <v>617</v>
      </c>
      <c r="J165" s="30">
        <v>43654</v>
      </c>
      <c r="K165" s="30">
        <v>44569</v>
      </c>
      <c r="L165" s="31">
        <f t="shared" si="88"/>
        <v>85.000000000000014</v>
      </c>
      <c r="M165" s="20">
        <v>3</v>
      </c>
      <c r="N165" s="20" t="s">
        <v>614</v>
      </c>
      <c r="O165" s="20" t="s">
        <v>606</v>
      </c>
      <c r="P165" s="20" t="s">
        <v>39</v>
      </c>
      <c r="Q165" s="20" t="s">
        <v>293</v>
      </c>
      <c r="R165" s="2">
        <f t="shared" si="89"/>
        <v>2547988.73</v>
      </c>
      <c r="S165" s="35">
        <v>2547988.73</v>
      </c>
      <c r="T165" s="38">
        <v>0</v>
      </c>
      <c r="U165" s="33">
        <f t="shared" si="90"/>
        <v>389692.4</v>
      </c>
      <c r="V165" s="35">
        <v>389692.4</v>
      </c>
      <c r="W165" s="38">
        <v>0</v>
      </c>
      <c r="X165" s="33">
        <f t="shared" si="91"/>
        <v>59952.67</v>
      </c>
      <c r="Y165" s="35">
        <v>59952.67</v>
      </c>
      <c r="Z165" s="35">
        <v>0</v>
      </c>
      <c r="AA165" s="2">
        <f t="shared" si="92"/>
        <v>0</v>
      </c>
      <c r="AB165" s="38">
        <v>0</v>
      </c>
      <c r="AC165" s="38">
        <v>0</v>
      </c>
      <c r="AD165" s="2">
        <f t="shared" si="93"/>
        <v>2997633.8</v>
      </c>
      <c r="AE165" s="35">
        <v>21896</v>
      </c>
      <c r="AF165" s="2">
        <f t="shared" si="94"/>
        <v>3019529.8</v>
      </c>
      <c r="AG165" s="39" t="s">
        <v>69</v>
      </c>
      <c r="AH165" s="39" t="s">
        <v>35</v>
      </c>
      <c r="AI165" s="35">
        <v>72625.7</v>
      </c>
      <c r="AJ165" s="36">
        <v>11107.46</v>
      </c>
      <c r="AK165" s="28">
        <f t="shared" si="78"/>
        <v>2475363.0299999998</v>
      </c>
      <c r="AL165" s="28">
        <f t="shared" si="79"/>
        <v>378584.94</v>
      </c>
      <c r="AM165" s="29">
        <f t="shared" si="80"/>
        <v>2.8503148049638351E-2</v>
      </c>
    </row>
    <row r="166" spans="1:39" ht="192" customHeight="1" x14ac:dyDescent="0.25">
      <c r="A166" s="10">
        <v>163</v>
      </c>
      <c r="B166" s="37">
        <v>129682</v>
      </c>
      <c r="C166" s="20">
        <v>666</v>
      </c>
      <c r="D166" s="15" t="s">
        <v>31</v>
      </c>
      <c r="E166" s="14" t="s">
        <v>79</v>
      </c>
      <c r="F166" s="15" t="s">
        <v>618</v>
      </c>
      <c r="G166" s="15" t="s">
        <v>619</v>
      </c>
      <c r="H166" s="20" t="s">
        <v>35</v>
      </c>
      <c r="I166" s="15" t="s">
        <v>620</v>
      </c>
      <c r="J166" s="30">
        <v>43677</v>
      </c>
      <c r="K166" s="30">
        <v>44592</v>
      </c>
      <c r="L166" s="31">
        <f t="shared" si="88"/>
        <v>84.999999798883323</v>
      </c>
      <c r="M166" s="20">
        <v>3</v>
      </c>
      <c r="N166" s="20" t="s">
        <v>621</v>
      </c>
      <c r="O166" s="20" t="s">
        <v>622</v>
      </c>
      <c r="P166" s="20" t="s">
        <v>39</v>
      </c>
      <c r="Q166" s="20" t="s">
        <v>293</v>
      </c>
      <c r="R166" s="2">
        <f t="shared" si="89"/>
        <v>3381122.07</v>
      </c>
      <c r="S166" s="35">
        <v>3381122.07</v>
      </c>
      <c r="T166" s="38">
        <v>0</v>
      </c>
      <c r="U166" s="33">
        <f t="shared" si="90"/>
        <v>517112.16</v>
      </c>
      <c r="V166" s="35">
        <v>517112.16</v>
      </c>
      <c r="W166" s="38">
        <v>0</v>
      </c>
      <c r="X166" s="33">
        <f t="shared" si="91"/>
        <v>79556.45</v>
      </c>
      <c r="Y166" s="35">
        <v>79556.45</v>
      </c>
      <c r="Z166" s="38">
        <v>0</v>
      </c>
      <c r="AA166" s="2">
        <f t="shared" si="92"/>
        <v>0</v>
      </c>
      <c r="AB166" s="2">
        <v>0</v>
      </c>
      <c r="AC166" s="2">
        <v>0</v>
      </c>
      <c r="AD166" s="2">
        <f t="shared" si="93"/>
        <v>3977790.68</v>
      </c>
      <c r="AE166" s="35"/>
      <c r="AF166" s="2">
        <f t="shared" si="94"/>
        <v>3977790.68</v>
      </c>
      <c r="AG166" s="39" t="s">
        <v>69</v>
      </c>
      <c r="AH166" s="39" t="s">
        <v>35</v>
      </c>
      <c r="AI166" s="35">
        <v>232011.58</v>
      </c>
      <c r="AJ166" s="36">
        <v>35483.980000000003</v>
      </c>
      <c r="AK166" s="28">
        <f t="shared" si="78"/>
        <v>3149110.4899999998</v>
      </c>
      <c r="AL166" s="28">
        <f t="shared" si="79"/>
        <v>481628.18</v>
      </c>
      <c r="AM166" s="29">
        <f t="shared" si="80"/>
        <v>6.8619699376899462E-2</v>
      </c>
    </row>
    <row r="167" spans="1:39" ht="192" customHeight="1" x14ac:dyDescent="0.25">
      <c r="A167" s="10">
        <v>164</v>
      </c>
      <c r="B167" s="37">
        <v>119208</v>
      </c>
      <c r="C167" s="20">
        <v>489</v>
      </c>
      <c r="D167" s="15" t="s">
        <v>47</v>
      </c>
      <c r="E167" s="14" t="s">
        <v>48</v>
      </c>
      <c r="F167" s="20" t="s">
        <v>623</v>
      </c>
      <c r="G167" s="20" t="s">
        <v>624</v>
      </c>
      <c r="H167" s="20" t="s">
        <v>132</v>
      </c>
      <c r="I167" s="16" t="s">
        <v>625</v>
      </c>
      <c r="J167" s="30">
        <v>43396</v>
      </c>
      <c r="K167" s="30">
        <v>43884</v>
      </c>
      <c r="L167" s="31">
        <f t="shared" ref="L167:L174" si="95">R167/AD167*100</f>
        <v>85</v>
      </c>
      <c r="M167" s="20">
        <v>1</v>
      </c>
      <c r="N167" s="20" t="s">
        <v>626</v>
      </c>
      <c r="O167" s="20" t="s">
        <v>627</v>
      </c>
      <c r="P167" s="32" t="s">
        <v>39</v>
      </c>
      <c r="Q167" s="20" t="s">
        <v>40</v>
      </c>
      <c r="R167" s="2">
        <f t="shared" ref="R167:R174" si="96">S167+T167</f>
        <v>529360.44999999995</v>
      </c>
      <c r="S167" s="2">
        <v>529360.44999999995</v>
      </c>
      <c r="T167" s="2">
        <v>0</v>
      </c>
      <c r="U167" s="33">
        <f t="shared" ref="U167:U174" si="97">V167+W167</f>
        <v>80961.009999999995</v>
      </c>
      <c r="V167" s="2">
        <v>80961.009999999995</v>
      </c>
      <c r="W167" s="2">
        <v>0</v>
      </c>
      <c r="X167" s="33">
        <f t="shared" ref="X167:X174" si="98">Y167+Z167</f>
        <v>12455.54</v>
      </c>
      <c r="Y167" s="2">
        <v>12455.54</v>
      </c>
      <c r="Z167" s="2">
        <v>0</v>
      </c>
      <c r="AA167" s="2">
        <f t="shared" ref="AA167:AA174" si="99">AB167+AC167</f>
        <v>0</v>
      </c>
      <c r="AB167" s="2">
        <v>0</v>
      </c>
      <c r="AC167" s="2">
        <v>0</v>
      </c>
      <c r="AD167" s="2">
        <f t="shared" ref="AD167:AD174" si="100">R167+U167+X167+AA167</f>
        <v>622777</v>
      </c>
      <c r="AE167" s="2"/>
      <c r="AF167" s="2">
        <f t="shared" ref="AF167:AF174" si="101">AD167+AE167</f>
        <v>622777</v>
      </c>
      <c r="AG167" s="39" t="s">
        <v>628</v>
      </c>
      <c r="AH167" s="34"/>
      <c r="AI167" s="35">
        <v>483717.67</v>
      </c>
      <c r="AJ167" s="36">
        <v>73980.329999999987</v>
      </c>
      <c r="AK167" s="28">
        <f t="shared" si="78"/>
        <v>45642.77999999997</v>
      </c>
      <c r="AL167" s="28">
        <f t="shared" si="79"/>
        <v>6980.6800000000076</v>
      </c>
      <c r="AM167" s="29">
        <f t="shared" si="80"/>
        <v>0.91377750264493696</v>
      </c>
    </row>
    <row r="168" spans="1:39" ht="192" customHeight="1" x14ac:dyDescent="0.25">
      <c r="A168" s="10">
        <v>165</v>
      </c>
      <c r="B168" s="37">
        <v>122867</v>
      </c>
      <c r="C168" s="37">
        <v>105</v>
      </c>
      <c r="D168" s="15" t="s">
        <v>31</v>
      </c>
      <c r="E168" s="14" t="s">
        <v>32</v>
      </c>
      <c r="F168" s="15" t="s">
        <v>629</v>
      </c>
      <c r="G168" s="15" t="s">
        <v>630</v>
      </c>
      <c r="H168" s="20" t="s">
        <v>631</v>
      </c>
      <c r="I168" s="16" t="s">
        <v>632</v>
      </c>
      <c r="J168" s="30">
        <v>43342</v>
      </c>
      <c r="K168" s="30">
        <v>43707</v>
      </c>
      <c r="L168" s="31">
        <f t="shared" si="95"/>
        <v>84.194914940710191</v>
      </c>
      <c r="M168" s="20">
        <v>1</v>
      </c>
      <c r="N168" s="20" t="s">
        <v>633</v>
      </c>
      <c r="O168" s="20" t="s">
        <v>634</v>
      </c>
      <c r="P168" s="32" t="s">
        <v>39</v>
      </c>
      <c r="Q168" s="20" t="s">
        <v>40</v>
      </c>
      <c r="R168" s="2">
        <f t="shared" si="96"/>
        <v>351606.78</v>
      </c>
      <c r="S168" s="2">
        <v>351606.78</v>
      </c>
      <c r="T168" s="2">
        <v>0</v>
      </c>
      <c r="U168" s="33">
        <f t="shared" si="97"/>
        <v>57651.47</v>
      </c>
      <c r="V168" s="2">
        <v>57651.47</v>
      </c>
      <c r="W168" s="2">
        <v>0</v>
      </c>
      <c r="X168" s="33">
        <f t="shared" si="98"/>
        <v>8352.2199999999993</v>
      </c>
      <c r="Y168" s="2">
        <v>8352.2199999999993</v>
      </c>
      <c r="Z168" s="2">
        <v>0</v>
      </c>
      <c r="AA168" s="2">
        <f t="shared" si="99"/>
        <v>0</v>
      </c>
      <c r="AB168" s="2">
        <v>0</v>
      </c>
      <c r="AC168" s="2">
        <v>0</v>
      </c>
      <c r="AD168" s="2">
        <f t="shared" si="100"/>
        <v>417610.47</v>
      </c>
      <c r="AE168" s="2"/>
      <c r="AF168" s="2">
        <f t="shared" si="101"/>
        <v>417610.47</v>
      </c>
      <c r="AG168" s="24" t="s">
        <v>41</v>
      </c>
      <c r="AH168" s="34" t="s">
        <v>46</v>
      </c>
      <c r="AI168" s="35">
        <v>320784.53000000003</v>
      </c>
      <c r="AJ168" s="36">
        <v>52280.650000000009</v>
      </c>
      <c r="AK168" s="28">
        <f t="shared" si="78"/>
        <v>30822.25</v>
      </c>
      <c r="AL168" s="28">
        <f t="shared" si="79"/>
        <v>5370.8199999999924</v>
      </c>
      <c r="AM168" s="29">
        <f t="shared" si="80"/>
        <v>0.91233886331770964</v>
      </c>
    </row>
    <row r="169" spans="1:39" ht="192" customHeight="1" x14ac:dyDescent="0.25">
      <c r="A169" s="10">
        <v>166</v>
      </c>
      <c r="B169" s="37">
        <v>126260</v>
      </c>
      <c r="C169" s="20">
        <v>526</v>
      </c>
      <c r="D169" s="15" t="s">
        <v>31</v>
      </c>
      <c r="E169" s="14" t="s">
        <v>65</v>
      </c>
      <c r="F169" s="15" t="s">
        <v>635</v>
      </c>
      <c r="G169" s="15" t="s">
        <v>636</v>
      </c>
      <c r="H169" s="20" t="s">
        <v>35</v>
      </c>
      <c r="I169" s="16" t="s">
        <v>637</v>
      </c>
      <c r="J169" s="30">
        <v>43433</v>
      </c>
      <c r="K169" s="30">
        <v>44164</v>
      </c>
      <c r="L169" s="31">
        <f t="shared" si="95"/>
        <v>84.999999887651384</v>
      </c>
      <c r="M169" s="20">
        <v>1</v>
      </c>
      <c r="N169" s="20" t="s">
        <v>633</v>
      </c>
      <c r="O169" s="20" t="s">
        <v>634</v>
      </c>
      <c r="P169" s="32" t="s">
        <v>39</v>
      </c>
      <c r="Q169" s="20" t="s">
        <v>40</v>
      </c>
      <c r="R169" s="2">
        <f t="shared" si="96"/>
        <v>2269720.81</v>
      </c>
      <c r="S169" s="2">
        <v>2269720.81</v>
      </c>
      <c r="T169" s="2">
        <v>0</v>
      </c>
      <c r="U169" s="33">
        <f t="shared" si="97"/>
        <v>347133.77</v>
      </c>
      <c r="V169" s="2">
        <v>347133.77</v>
      </c>
      <c r="W169" s="2">
        <v>0</v>
      </c>
      <c r="X169" s="33">
        <f t="shared" si="98"/>
        <v>53405.2</v>
      </c>
      <c r="Y169" s="2">
        <v>53405.2</v>
      </c>
      <c r="Z169" s="2">
        <v>0</v>
      </c>
      <c r="AA169" s="2">
        <f t="shared" si="99"/>
        <v>0</v>
      </c>
      <c r="AB169" s="2">
        <v>0</v>
      </c>
      <c r="AC169" s="2">
        <v>0</v>
      </c>
      <c r="AD169" s="2">
        <f t="shared" si="100"/>
        <v>2670259.7800000003</v>
      </c>
      <c r="AE169" s="2">
        <v>57120</v>
      </c>
      <c r="AF169" s="2">
        <f t="shared" si="101"/>
        <v>2727379.7800000003</v>
      </c>
      <c r="AG169" s="39" t="s">
        <v>69</v>
      </c>
      <c r="AH169" s="34"/>
      <c r="AI169" s="35">
        <v>176317.2</v>
      </c>
      <c r="AJ169" s="36">
        <v>26966.16</v>
      </c>
      <c r="AK169" s="28">
        <f t="shared" si="78"/>
        <v>2093403.61</v>
      </c>
      <c r="AL169" s="28">
        <f t="shared" si="79"/>
        <v>320167.61000000004</v>
      </c>
      <c r="AM169" s="29">
        <f t="shared" si="80"/>
        <v>7.7682329572508091E-2</v>
      </c>
    </row>
    <row r="170" spans="1:39" ht="192" customHeight="1" x14ac:dyDescent="0.25">
      <c r="A170" s="10">
        <v>167</v>
      </c>
      <c r="B170" s="37">
        <v>120572</v>
      </c>
      <c r="C170" s="20">
        <v>82</v>
      </c>
      <c r="D170" s="15" t="s">
        <v>31</v>
      </c>
      <c r="E170" s="14" t="s">
        <v>32</v>
      </c>
      <c r="F170" s="15" t="s">
        <v>638</v>
      </c>
      <c r="G170" s="15" t="s">
        <v>639</v>
      </c>
      <c r="H170" s="20" t="s">
        <v>35</v>
      </c>
      <c r="I170" s="16" t="s">
        <v>640</v>
      </c>
      <c r="J170" s="30">
        <v>43171</v>
      </c>
      <c r="K170" s="30">
        <v>43658</v>
      </c>
      <c r="L170" s="31">
        <f t="shared" si="95"/>
        <v>85.000000359311386</v>
      </c>
      <c r="M170" s="20">
        <v>4</v>
      </c>
      <c r="N170" s="20" t="s">
        <v>641</v>
      </c>
      <c r="O170" s="20" t="s">
        <v>642</v>
      </c>
      <c r="P170" s="32" t="s">
        <v>39</v>
      </c>
      <c r="Q170" s="20" t="s">
        <v>40</v>
      </c>
      <c r="R170" s="33">
        <f t="shared" si="96"/>
        <v>354845.43</v>
      </c>
      <c r="S170" s="2">
        <v>354845.43</v>
      </c>
      <c r="T170" s="2">
        <v>0</v>
      </c>
      <c r="U170" s="33">
        <f t="shared" si="97"/>
        <v>54270.48</v>
      </c>
      <c r="V170" s="2">
        <v>54270.48</v>
      </c>
      <c r="W170" s="2">
        <v>0</v>
      </c>
      <c r="X170" s="33">
        <f t="shared" si="98"/>
        <v>8349.2999999999993</v>
      </c>
      <c r="Y170" s="2">
        <v>8349.2999999999993</v>
      </c>
      <c r="Z170" s="2">
        <v>0</v>
      </c>
      <c r="AA170" s="2">
        <f t="shared" si="99"/>
        <v>0</v>
      </c>
      <c r="AB170" s="2">
        <v>0</v>
      </c>
      <c r="AC170" s="2">
        <v>0</v>
      </c>
      <c r="AD170" s="2">
        <f t="shared" si="100"/>
        <v>417465.20999999996</v>
      </c>
      <c r="AE170" s="2">
        <v>0</v>
      </c>
      <c r="AF170" s="2">
        <f t="shared" si="101"/>
        <v>417465.20999999996</v>
      </c>
      <c r="AG170" s="24" t="s">
        <v>41</v>
      </c>
      <c r="AH170" s="34" t="s">
        <v>35</v>
      </c>
      <c r="AI170" s="35">
        <v>326317.06</v>
      </c>
      <c r="AJ170" s="36">
        <v>49907.31</v>
      </c>
      <c r="AK170" s="28">
        <f t="shared" si="78"/>
        <v>28528.369999999995</v>
      </c>
      <c r="AL170" s="28">
        <f t="shared" si="79"/>
        <v>4363.1700000000055</v>
      </c>
      <c r="AM170" s="29">
        <f t="shared" si="80"/>
        <v>0.91960338900236083</v>
      </c>
    </row>
    <row r="171" spans="1:39" ht="192" customHeight="1" x14ac:dyDescent="0.25">
      <c r="A171" s="10">
        <v>168</v>
      </c>
      <c r="B171" s="37">
        <v>118183</v>
      </c>
      <c r="C171" s="20">
        <v>422</v>
      </c>
      <c r="D171" s="15" t="s">
        <v>54</v>
      </c>
      <c r="E171" s="14" t="s">
        <v>55</v>
      </c>
      <c r="F171" s="15" t="s">
        <v>643</v>
      </c>
      <c r="G171" s="15" t="s">
        <v>639</v>
      </c>
      <c r="H171" s="20" t="s">
        <v>35</v>
      </c>
      <c r="I171" s="15" t="s">
        <v>644</v>
      </c>
      <c r="J171" s="30">
        <v>43290</v>
      </c>
      <c r="K171" s="30">
        <v>43778</v>
      </c>
      <c r="L171" s="31">
        <f t="shared" si="95"/>
        <v>85.000012009815109</v>
      </c>
      <c r="M171" s="20">
        <v>4</v>
      </c>
      <c r="N171" s="20" t="s">
        <v>641</v>
      </c>
      <c r="O171" s="20" t="s">
        <v>642</v>
      </c>
      <c r="P171" s="32" t="s">
        <v>39</v>
      </c>
      <c r="Q171" s="20" t="s">
        <v>645</v>
      </c>
      <c r="R171" s="33">
        <f t="shared" si="96"/>
        <v>247714.09</v>
      </c>
      <c r="S171" s="2">
        <v>247714.09</v>
      </c>
      <c r="T171" s="2">
        <v>0</v>
      </c>
      <c r="U171" s="33">
        <f t="shared" si="97"/>
        <v>37885.64</v>
      </c>
      <c r="V171" s="35">
        <v>37885.64</v>
      </c>
      <c r="W171" s="2">
        <v>0</v>
      </c>
      <c r="X171" s="33">
        <f t="shared" si="98"/>
        <v>5828.57</v>
      </c>
      <c r="Y171" s="35">
        <v>5828.57</v>
      </c>
      <c r="Z171" s="2">
        <v>0</v>
      </c>
      <c r="AA171" s="2">
        <f t="shared" si="99"/>
        <v>0</v>
      </c>
      <c r="AB171" s="2">
        <v>0</v>
      </c>
      <c r="AC171" s="2">
        <v>0</v>
      </c>
      <c r="AD171" s="2">
        <f t="shared" si="100"/>
        <v>291428.3</v>
      </c>
      <c r="AE171" s="2">
        <v>0</v>
      </c>
      <c r="AF171" s="2">
        <f t="shared" si="101"/>
        <v>291428.3</v>
      </c>
      <c r="AG171" s="24" t="s">
        <v>41</v>
      </c>
      <c r="AH171" s="34" t="s">
        <v>646</v>
      </c>
      <c r="AI171" s="35">
        <v>240263.28999999998</v>
      </c>
      <c r="AJ171" s="36">
        <v>36977.890000000021</v>
      </c>
      <c r="AK171" s="28">
        <f t="shared" si="78"/>
        <v>7450.8000000000175</v>
      </c>
      <c r="AL171" s="28">
        <f t="shared" si="79"/>
        <v>907.74999999997817</v>
      </c>
      <c r="AM171" s="29">
        <f t="shared" si="80"/>
        <v>0.9699217755437326</v>
      </c>
    </row>
    <row r="172" spans="1:39" ht="192" customHeight="1" x14ac:dyDescent="0.25">
      <c r="A172" s="10">
        <v>169</v>
      </c>
      <c r="B172" s="37">
        <v>126174</v>
      </c>
      <c r="C172" s="20">
        <v>534</v>
      </c>
      <c r="D172" s="15" t="s">
        <v>31</v>
      </c>
      <c r="E172" s="14" t="s">
        <v>65</v>
      </c>
      <c r="F172" s="15" t="s">
        <v>647</v>
      </c>
      <c r="G172" s="15" t="s">
        <v>648</v>
      </c>
      <c r="H172" s="20" t="s">
        <v>35</v>
      </c>
      <c r="I172" s="16" t="s">
        <v>649</v>
      </c>
      <c r="J172" s="30">
        <v>43447</v>
      </c>
      <c r="K172" s="30">
        <v>44268</v>
      </c>
      <c r="L172" s="31">
        <f t="shared" si="95"/>
        <v>85.000000333995757</v>
      </c>
      <c r="M172" s="20">
        <v>4</v>
      </c>
      <c r="N172" s="20" t="s">
        <v>641</v>
      </c>
      <c r="O172" s="20" t="s">
        <v>642</v>
      </c>
      <c r="P172" s="32" t="s">
        <v>39</v>
      </c>
      <c r="Q172" s="20" t="s">
        <v>40</v>
      </c>
      <c r="R172" s="33">
        <f t="shared" si="96"/>
        <v>2544942.5099999998</v>
      </c>
      <c r="S172" s="2">
        <v>2544942.5099999998</v>
      </c>
      <c r="T172" s="2">
        <v>0</v>
      </c>
      <c r="U172" s="33">
        <f t="shared" si="97"/>
        <v>389226.49</v>
      </c>
      <c r="V172" s="35">
        <v>389226.49</v>
      </c>
      <c r="W172" s="2">
        <v>0</v>
      </c>
      <c r="X172" s="33">
        <f t="shared" si="98"/>
        <v>59881</v>
      </c>
      <c r="Y172" s="35">
        <v>59881</v>
      </c>
      <c r="Z172" s="2">
        <v>0</v>
      </c>
      <c r="AA172" s="2">
        <f t="shared" si="99"/>
        <v>0</v>
      </c>
      <c r="AB172" s="2">
        <v>0</v>
      </c>
      <c r="AC172" s="2">
        <v>0</v>
      </c>
      <c r="AD172" s="2">
        <f t="shared" si="100"/>
        <v>2994050</v>
      </c>
      <c r="AE172" s="2">
        <v>0</v>
      </c>
      <c r="AF172" s="2">
        <f t="shared" si="101"/>
        <v>2994050</v>
      </c>
      <c r="AG172" s="39" t="s">
        <v>69</v>
      </c>
      <c r="AH172" s="39" t="s">
        <v>650</v>
      </c>
      <c r="AI172" s="35">
        <v>34289.85</v>
      </c>
      <c r="AJ172" s="36">
        <v>5244.33</v>
      </c>
      <c r="AK172" s="28">
        <f t="shared" si="78"/>
        <v>2510652.6599999997</v>
      </c>
      <c r="AL172" s="28">
        <f t="shared" si="79"/>
        <v>383982.16</v>
      </c>
      <c r="AM172" s="29">
        <f t="shared" si="80"/>
        <v>1.3473722830776245E-2</v>
      </c>
    </row>
    <row r="173" spans="1:39" ht="192" customHeight="1" x14ac:dyDescent="0.25">
      <c r="A173" s="10">
        <v>170</v>
      </c>
      <c r="B173" s="37">
        <v>129739</v>
      </c>
      <c r="C173" s="20">
        <v>688</v>
      </c>
      <c r="D173" s="15" t="s">
        <v>31</v>
      </c>
      <c r="E173" s="14" t="s">
        <v>79</v>
      </c>
      <c r="F173" s="15" t="s">
        <v>651</v>
      </c>
      <c r="G173" s="15" t="s">
        <v>639</v>
      </c>
      <c r="H173" s="20" t="s">
        <v>35</v>
      </c>
      <c r="I173" s="16" t="s">
        <v>652</v>
      </c>
      <c r="J173" s="30">
        <v>43712</v>
      </c>
      <c r="K173" s="30">
        <v>44443</v>
      </c>
      <c r="L173" s="31">
        <f t="shared" si="95"/>
        <v>85.000000000000014</v>
      </c>
      <c r="M173" s="20">
        <v>4</v>
      </c>
      <c r="N173" s="20" t="s">
        <v>641</v>
      </c>
      <c r="O173" s="20" t="s">
        <v>642</v>
      </c>
      <c r="P173" s="32" t="s">
        <v>39</v>
      </c>
      <c r="Q173" s="20" t="s">
        <v>40</v>
      </c>
      <c r="R173" s="33">
        <f t="shared" si="96"/>
        <v>3309254.34</v>
      </c>
      <c r="S173" s="2">
        <v>3309254.34</v>
      </c>
      <c r="T173" s="2">
        <v>0</v>
      </c>
      <c r="U173" s="33">
        <f t="shared" si="97"/>
        <v>506121.26</v>
      </c>
      <c r="V173" s="35">
        <v>506121.26</v>
      </c>
      <c r="W173" s="2">
        <v>0</v>
      </c>
      <c r="X173" s="33">
        <f t="shared" si="98"/>
        <v>77864.800000000003</v>
      </c>
      <c r="Y173" s="35">
        <v>77864.800000000003</v>
      </c>
      <c r="Z173" s="2">
        <v>0</v>
      </c>
      <c r="AA173" s="2">
        <f t="shared" si="99"/>
        <v>0</v>
      </c>
      <c r="AB173" s="2">
        <v>0</v>
      </c>
      <c r="AC173" s="2">
        <v>0</v>
      </c>
      <c r="AD173" s="2">
        <f t="shared" si="100"/>
        <v>3893240.3999999994</v>
      </c>
      <c r="AE173" s="2">
        <v>0</v>
      </c>
      <c r="AF173" s="2">
        <f t="shared" si="101"/>
        <v>3893240.3999999994</v>
      </c>
      <c r="AG173" s="39" t="s">
        <v>69</v>
      </c>
      <c r="AH173" s="34" t="s">
        <v>35</v>
      </c>
      <c r="AI173" s="35">
        <v>74556.479999999996</v>
      </c>
      <c r="AJ173" s="36">
        <f>8357.89+3044.86</f>
        <v>11402.75</v>
      </c>
      <c r="AK173" s="28">
        <f t="shared" si="78"/>
        <v>3234697.86</v>
      </c>
      <c r="AL173" s="28">
        <f t="shared" si="79"/>
        <v>494718.51</v>
      </c>
      <c r="AM173" s="29">
        <f t="shared" si="80"/>
        <v>2.2529691688792951E-2</v>
      </c>
    </row>
    <row r="174" spans="1:39" ht="192" customHeight="1" x14ac:dyDescent="0.25">
      <c r="A174" s="10">
        <v>171</v>
      </c>
      <c r="B174" s="37">
        <v>129726</v>
      </c>
      <c r="C174" s="20">
        <v>682</v>
      </c>
      <c r="D174" s="15" t="s">
        <v>31</v>
      </c>
      <c r="E174" s="14" t="s">
        <v>79</v>
      </c>
      <c r="F174" s="15" t="s">
        <v>653</v>
      </c>
      <c r="G174" s="15" t="s">
        <v>654</v>
      </c>
      <c r="H174" s="20" t="s">
        <v>420</v>
      </c>
      <c r="I174" s="16" t="s">
        <v>655</v>
      </c>
      <c r="J174" s="30">
        <v>43767</v>
      </c>
      <c r="K174" s="30">
        <v>44680</v>
      </c>
      <c r="L174" s="31">
        <f t="shared" si="95"/>
        <v>84.185745988543189</v>
      </c>
      <c r="M174" s="20">
        <v>4</v>
      </c>
      <c r="N174" s="20" t="s">
        <v>641</v>
      </c>
      <c r="O174" s="20" t="s">
        <v>642</v>
      </c>
      <c r="P174" s="32" t="s">
        <v>39</v>
      </c>
      <c r="Q174" s="20" t="s">
        <v>40</v>
      </c>
      <c r="R174" s="33">
        <f t="shared" si="96"/>
        <v>2817971.65</v>
      </c>
      <c r="S174" s="2">
        <v>2817971.65</v>
      </c>
      <c r="T174" s="2">
        <v>0</v>
      </c>
      <c r="U174" s="33">
        <f t="shared" si="97"/>
        <v>462408.16</v>
      </c>
      <c r="V174" s="35">
        <v>462408.16</v>
      </c>
      <c r="W174" s="2">
        <v>0</v>
      </c>
      <c r="X174" s="33">
        <f t="shared" si="98"/>
        <v>34880.949999999997</v>
      </c>
      <c r="Y174" s="35">
        <v>34880.949999999997</v>
      </c>
      <c r="Z174" s="2">
        <v>0</v>
      </c>
      <c r="AA174" s="2">
        <f t="shared" si="99"/>
        <v>32065.58</v>
      </c>
      <c r="AB174" s="2">
        <v>32065.58</v>
      </c>
      <c r="AC174" s="2">
        <v>0</v>
      </c>
      <c r="AD174" s="2">
        <f t="shared" si="100"/>
        <v>3347326.3400000003</v>
      </c>
      <c r="AE174" s="2">
        <v>0</v>
      </c>
      <c r="AF174" s="2">
        <f t="shared" si="101"/>
        <v>3347326.3400000003</v>
      </c>
      <c r="AG174" s="39" t="s">
        <v>69</v>
      </c>
      <c r="AH174" s="34"/>
      <c r="AI174" s="35">
        <v>199177.47</v>
      </c>
      <c r="AJ174" s="36">
        <f>2899.87</f>
        <v>2899.87</v>
      </c>
      <c r="AK174" s="28">
        <f t="shared" si="78"/>
        <v>2618794.1799999997</v>
      </c>
      <c r="AL174" s="28">
        <f t="shared" si="79"/>
        <v>459508.29</v>
      </c>
      <c r="AM174" s="29">
        <f t="shared" si="80"/>
        <v>7.0681147555192766E-2</v>
      </c>
    </row>
    <row r="175" spans="1:39" ht="192" customHeight="1" x14ac:dyDescent="0.25">
      <c r="A175" s="10">
        <v>172</v>
      </c>
      <c r="B175" s="37">
        <v>120801</v>
      </c>
      <c r="C175" s="20">
        <v>87</v>
      </c>
      <c r="D175" s="15" t="s">
        <v>31</v>
      </c>
      <c r="E175" s="14" t="s">
        <v>32</v>
      </c>
      <c r="F175" s="15" t="s">
        <v>656</v>
      </c>
      <c r="G175" s="15" t="s">
        <v>657</v>
      </c>
      <c r="H175" s="20" t="s">
        <v>658</v>
      </c>
      <c r="I175" s="16" t="s">
        <v>659</v>
      </c>
      <c r="J175" s="30">
        <v>43166</v>
      </c>
      <c r="K175" s="30">
        <v>43653</v>
      </c>
      <c r="L175" s="31">
        <f t="shared" ref="L175:L187" si="102">R175/AD175*100</f>
        <v>84.168038598864953</v>
      </c>
      <c r="M175" s="20">
        <v>3</v>
      </c>
      <c r="N175" s="20" t="s">
        <v>660</v>
      </c>
      <c r="O175" s="20" t="s">
        <v>661</v>
      </c>
      <c r="P175" s="32" t="s">
        <v>39</v>
      </c>
      <c r="Q175" s="20" t="s">
        <v>40</v>
      </c>
      <c r="R175" s="33">
        <f t="shared" ref="R175:R187" si="103">S175+T175</f>
        <v>357481.33</v>
      </c>
      <c r="S175" s="2">
        <v>357481.33</v>
      </c>
      <c r="T175" s="2">
        <v>0</v>
      </c>
      <c r="U175" s="33">
        <f t="shared" ref="U175:U187" si="104">V175+W175</f>
        <v>58747.57</v>
      </c>
      <c r="V175" s="2">
        <v>58747.57</v>
      </c>
      <c r="W175" s="2">
        <v>0</v>
      </c>
      <c r="X175" s="33">
        <f t="shared" ref="X175:X187" si="105">Y175+Z175</f>
        <v>8494.4699999999993</v>
      </c>
      <c r="Y175" s="2">
        <v>8494.4699999999993</v>
      </c>
      <c r="Z175" s="2">
        <v>0</v>
      </c>
      <c r="AA175" s="2">
        <f t="shared" ref="AA175:AA187" si="106">AB175+AC175</f>
        <v>0</v>
      </c>
      <c r="AB175" s="2">
        <v>0</v>
      </c>
      <c r="AC175" s="2">
        <v>0</v>
      </c>
      <c r="AD175" s="2">
        <f t="shared" ref="AD175:AD187" si="107">R175+U175+X175+AA175</f>
        <v>424723.37</v>
      </c>
      <c r="AE175" s="2">
        <v>0</v>
      </c>
      <c r="AF175" s="2">
        <f t="shared" ref="AF175:AF187" si="108">AD175+AE175</f>
        <v>424723.37</v>
      </c>
      <c r="AG175" s="24" t="s">
        <v>41</v>
      </c>
      <c r="AH175" s="34" t="s">
        <v>35</v>
      </c>
      <c r="AI175" s="35">
        <v>301291.38999999996</v>
      </c>
      <c r="AJ175" s="36">
        <v>49583.64</v>
      </c>
      <c r="AK175" s="28">
        <f t="shared" si="78"/>
        <v>56189.940000000061</v>
      </c>
      <c r="AL175" s="28">
        <f t="shared" si="79"/>
        <v>9163.93</v>
      </c>
      <c r="AM175" s="29">
        <f t="shared" si="80"/>
        <v>0.84281713397452096</v>
      </c>
    </row>
    <row r="176" spans="1:39" ht="192" customHeight="1" x14ac:dyDescent="0.25">
      <c r="A176" s="10">
        <v>173</v>
      </c>
      <c r="B176" s="37">
        <v>119511</v>
      </c>
      <c r="C176" s="20">
        <v>464</v>
      </c>
      <c r="D176" s="20" t="s">
        <v>47</v>
      </c>
      <c r="E176" s="14" t="s">
        <v>48</v>
      </c>
      <c r="F176" s="15" t="s">
        <v>662</v>
      </c>
      <c r="G176" s="15" t="s">
        <v>663</v>
      </c>
      <c r="H176" s="20" t="s">
        <v>46</v>
      </c>
      <c r="I176" s="15" t="s">
        <v>664</v>
      </c>
      <c r="J176" s="30">
        <v>43257</v>
      </c>
      <c r="K176" s="30">
        <v>43744</v>
      </c>
      <c r="L176" s="31">
        <f t="shared" si="102"/>
        <v>85.000000259943448</v>
      </c>
      <c r="M176" s="20">
        <v>3</v>
      </c>
      <c r="N176" s="20" t="s">
        <v>665</v>
      </c>
      <c r="O176" s="20" t="s">
        <v>661</v>
      </c>
      <c r="P176" s="20" t="s">
        <v>39</v>
      </c>
      <c r="Q176" s="20" t="s">
        <v>293</v>
      </c>
      <c r="R176" s="33">
        <f t="shared" si="103"/>
        <v>490491.32</v>
      </c>
      <c r="S176" s="2">
        <v>490491.32</v>
      </c>
      <c r="T176" s="2">
        <v>0</v>
      </c>
      <c r="U176" s="33">
        <f t="shared" si="104"/>
        <v>75016.320000000007</v>
      </c>
      <c r="V176" s="2">
        <v>75016.320000000007</v>
      </c>
      <c r="W176" s="2">
        <v>0</v>
      </c>
      <c r="X176" s="33">
        <f t="shared" si="105"/>
        <v>11540.97</v>
      </c>
      <c r="Y176" s="35">
        <v>11540.97</v>
      </c>
      <c r="Z176" s="35">
        <v>0</v>
      </c>
      <c r="AA176" s="2">
        <f t="shared" si="106"/>
        <v>0</v>
      </c>
      <c r="AB176" s="2">
        <v>0</v>
      </c>
      <c r="AC176" s="2">
        <v>0</v>
      </c>
      <c r="AD176" s="2">
        <f t="shared" si="107"/>
        <v>577048.61</v>
      </c>
      <c r="AE176" s="39">
        <v>0</v>
      </c>
      <c r="AF176" s="2">
        <f t="shared" si="108"/>
        <v>577048.61</v>
      </c>
      <c r="AG176" s="24" t="s">
        <v>41</v>
      </c>
      <c r="AH176" s="39" t="s">
        <v>666</v>
      </c>
      <c r="AI176" s="35">
        <v>469162.02000000008</v>
      </c>
      <c r="AJ176" s="36">
        <v>71754.200000000012</v>
      </c>
      <c r="AK176" s="28">
        <f t="shared" si="78"/>
        <v>21329.29999999993</v>
      </c>
      <c r="AL176" s="28">
        <f t="shared" si="79"/>
        <v>3262.1199999999953</v>
      </c>
      <c r="AM176" s="29">
        <f t="shared" si="80"/>
        <v>0.95651441905230872</v>
      </c>
    </row>
    <row r="177" spans="1:39" ht="192" customHeight="1" x14ac:dyDescent="0.25">
      <c r="A177" s="10">
        <v>174</v>
      </c>
      <c r="B177" s="37">
        <v>118799</v>
      </c>
      <c r="C177" s="20">
        <v>447</v>
      </c>
      <c r="D177" s="15" t="s">
        <v>54</v>
      </c>
      <c r="E177" s="14" t="s">
        <v>55</v>
      </c>
      <c r="F177" s="15" t="s">
        <v>667</v>
      </c>
      <c r="G177" s="15" t="s">
        <v>657</v>
      </c>
      <c r="H177" s="20" t="s">
        <v>668</v>
      </c>
      <c r="I177" s="15" t="s">
        <v>669</v>
      </c>
      <c r="J177" s="30">
        <v>43425</v>
      </c>
      <c r="K177" s="30">
        <v>43911</v>
      </c>
      <c r="L177" s="31">
        <f t="shared" si="102"/>
        <v>84.156466663338946</v>
      </c>
      <c r="M177" s="20">
        <v>3</v>
      </c>
      <c r="N177" s="20" t="s">
        <v>660</v>
      </c>
      <c r="O177" s="20" t="s">
        <v>661</v>
      </c>
      <c r="P177" s="32" t="s">
        <v>39</v>
      </c>
      <c r="Q177" s="20" t="s">
        <v>40</v>
      </c>
      <c r="R177" s="33">
        <f t="shared" si="103"/>
        <v>242273.6</v>
      </c>
      <c r="S177" s="2">
        <v>242273.6</v>
      </c>
      <c r="T177" s="2">
        <v>0</v>
      </c>
      <c r="U177" s="33">
        <f t="shared" si="104"/>
        <v>39853.410000000003</v>
      </c>
      <c r="V177" s="2">
        <v>39853.410000000003</v>
      </c>
      <c r="W177" s="2">
        <v>0</v>
      </c>
      <c r="X177" s="33">
        <f t="shared" si="105"/>
        <v>2900.76</v>
      </c>
      <c r="Y177" s="35">
        <v>2900.76</v>
      </c>
      <c r="Z177" s="35">
        <v>0</v>
      </c>
      <c r="AA177" s="2">
        <f t="shared" si="106"/>
        <v>2856.94</v>
      </c>
      <c r="AB177" s="2">
        <v>2856.94</v>
      </c>
      <c r="AC177" s="2">
        <v>0</v>
      </c>
      <c r="AD177" s="2">
        <f t="shared" si="107"/>
        <v>287884.71000000002</v>
      </c>
      <c r="AE177" s="39">
        <v>0</v>
      </c>
      <c r="AF177" s="2">
        <f t="shared" si="108"/>
        <v>287884.71000000002</v>
      </c>
      <c r="AG177" s="39" t="s">
        <v>41</v>
      </c>
      <c r="AH177" s="39" t="s">
        <v>670</v>
      </c>
      <c r="AI177" s="35">
        <v>230490.21</v>
      </c>
      <c r="AJ177" s="36">
        <v>37359.03</v>
      </c>
      <c r="AK177" s="28">
        <f t="shared" si="78"/>
        <v>11783.390000000014</v>
      </c>
      <c r="AL177" s="28">
        <f t="shared" si="79"/>
        <v>2494.3800000000047</v>
      </c>
      <c r="AM177" s="29">
        <f t="shared" si="80"/>
        <v>0.95136329340051906</v>
      </c>
    </row>
    <row r="178" spans="1:39" ht="192" customHeight="1" x14ac:dyDescent="0.25">
      <c r="A178" s="10">
        <v>175</v>
      </c>
      <c r="B178" s="37">
        <v>126115</v>
      </c>
      <c r="C178" s="20">
        <v>542</v>
      </c>
      <c r="D178" s="15" t="s">
        <v>31</v>
      </c>
      <c r="E178" s="14" t="s">
        <v>65</v>
      </c>
      <c r="F178" s="15" t="s">
        <v>671</v>
      </c>
      <c r="G178" s="15" t="s">
        <v>663</v>
      </c>
      <c r="H178" s="20" t="s">
        <v>132</v>
      </c>
      <c r="I178" s="43" t="s">
        <v>672</v>
      </c>
      <c r="J178" s="30">
        <v>43564</v>
      </c>
      <c r="K178" s="30">
        <v>44174</v>
      </c>
      <c r="L178" s="31">
        <f t="shared" si="102"/>
        <v>85.000000984188233</v>
      </c>
      <c r="M178" s="20">
        <v>3</v>
      </c>
      <c r="N178" s="20" t="s">
        <v>660</v>
      </c>
      <c r="O178" s="20" t="s">
        <v>663</v>
      </c>
      <c r="P178" s="32" t="s">
        <v>39</v>
      </c>
      <c r="Q178" s="20" t="s">
        <v>40</v>
      </c>
      <c r="R178" s="33">
        <f t="shared" si="103"/>
        <v>431827.97</v>
      </c>
      <c r="S178" s="2">
        <v>431827.97</v>
      </c>
      <c r="T178" s="2">
        <v>0</v>
      </c>
      <c r="U178" s="33">
        <f t="shared" si="104"/>
        <v>66044.27</v>
      </c>
      <c r="V178" s="2">
        <v>66044.27</v>
      </c>
      <c r="W178" s="2">
        <v>0</v>
      </c>
      <c r="X178" s="33">
        <f t="shared" si="105"/>
        <v>10160.66</v>
      </c>
      <c r="Y178" s="35">
        <v>10160.66</v>
      </c>
      <c r="Z178" s="35">
        <v>0</v>
      </c>
      <c r="AA178" s="2">
        <f t="shared" si="106"/>
        <v>0</v>
      </c>
      <c r="AB178" s="108">
        <v>0</v>
      </c>
      <c r="AC178" s="108">
        <v>0</v>
      </c>
      <c r="AD178" s="2">
        <f t="shared" si="107"/>
        <v>508032.89999999997</v>
      </c>
      <c r="AE178" s="35">
        <v>0</v>
      </c>
      <c r="AF178" s="2">
        <f t="shared" si="108"/>
        <v>508032.89999999997</v>
      </c>
      <c r="AG178" s="39" t="s">
        <v>69</v>
      </c>
      <c r="AH178" s="39"/>
      <c r="AI178" s="35">
        <v>126250.70999999999</v>
      </c>
      <c r="AJ178" s="36">
        <v>19308.93</v>
      </c>
      <c r="AK178" s="28">
        <f t="shared" si="78"/>
        <v>305577.26</v>
      </c>
      <c r="AL178" s="28">
        <f t="shared" si="79"/>
        <v>46735.340000000004</v>
      </c>
      <c r="AM178" s="29">
        <f t="shared" si="80"/>
        <v>0.29236343815339244</v>
      </c>
    </row>
    <row r="179" spans="1:39" ht="192" customHeight="1" x14ac:dyDescent="0.25">
      <c r="A179" s="10">
        <v>176</v>
      </c>
      <c r="B179" s="37">
        <v>129261</v>
      </c>
      <c r="C179" s="20">
        <v>648</v>
      </c>
      <c r="D179" s="15" t="s">
        <v>31</v>
      </c>
      <c r="E179" s="14" t="s">
        <v>79</v>
      </c>
      <c r="F179" s="40" t="s">
        <v>673</v>
      </c>
      <c r="G179" s="15" t="s">
        <v>674</v>
      </c>
      <c r="H179" s="20" t="s">
        <v>35</v>
      </c>
      <c r="I179" s="15" t="s">
        <v>675</v>
      </c>
      <c r="J179" s="30">
        <v>43643</v>
      </c>
      <c r="K179" s="30">
        <v>44192</v>
      </c>
      <c r="L179" s="31">
        <f t="shared" si="102"/>
        <v>84.999999897463027</v>
      </c>
      <c r="M179" s="20">
        <v>3</v>
      </c>
      <c r="N179" s="20" t="s">
        <v>660</v>
      </c>
      <c r="O179" s="20" t="s">
        <v>663</v>
      </c>
      <c r="P179" s="32" t="s">
        <v>39</v>
      </c>
      <c r="Q179" s="20" t="s">
        <v>40</v>
      </c>
      <c r="R179" s="33">
        <f t="shared" si="103"/>
        <v>2486907.71</v>
      </c>
      <c r="S179" s="2">
        <v>2486907.71</v>
      </c>
      <c r="T179" s="2">
        <v>0</v>
      </c>
      <c r="U179" s="33">
        <f t="shared" si="104"/>
        <v>380350.59</v>
      </c>
      <c r="V179" s="2">
        <v>380350.59</v>
      </c>
      <c r="W179" s="2">
        <v>0</v>
      </c>
      <c r="X179" s="33">
        <f t="shared" si="105"/>
        <v>58515.48</v>
      </c>
      <c r="Y179" s="35">
        <v>58515.48</v>
      </c>
      <c r="Z179" s="35">
        <v>0</v>
      </c>
      <c r="AA179" s="2">
        <f t="shared" si="106"/>
        <v>0</v>
      </c>
      <c r="AB179" s="109">
        <v>0</v>
      </c>
      <c r="AC179" s="109">
        <v>0</v>
      </c>
      <c r="AD179" s="2">
        <f t="shared" si="107"/>
        <v>2925773.78</v>
      </c>
      <c r="AE179" s="35">
        <v>0</v>
      </c>
      <c r="AF179" s="2">
        <f t="shared" si="108"/>
        <v>2925773.78</v>
      </c>
      <c r="AG179" s="39" t="s">
        <v>69</v>
      </c>
      <c r="AH179" s="39"/>
      <c r="AI179" s="35">
        <v>189771.86</v>
      </c>
      <c r="AJ179" s="36">
        <v>29023.93</v>
      </c>
      <c r="AK179" s="28">
        <f t="shared" si="78"/>
        <v>2297135.85</v>
      </c>
      <c r="AL179" s="28">
        <f t="shared" si="79"/>
        <v>351326.66000000003</v>
      </c>
      <c r="AM179" s="29">
        <f t="shared" si="80"/>
        <v>7.6308364494957467E-2</v>
      </c>
    </row>
    <row r="180" spans="1:39" ht="192" customHeight="1" x14ac:dyDescent="0.25">
      <c r="A180" s="10">
        <v>177</v>
      </c>
      <c r="B180" s="37">
        <v>129205</v>
      </c>
      <c r="C180" s="20">
        <v>684</v>
      </c>
      <c r="D180" s="15" t="s">
        <v>31</v>
      </c>
      <c r="E180" s="14" t="s">
        <v>79</v>
      </c>
      <c r="F180" s="40" t="s">
        <v>676</v>
      </c>
      <c r="G180" s="15" t="s">
        <v>663</v>
      </c>
      <c r="H180" s="20" t="s">
        <v>35</v>
      </c>
      <c r="I180" s="15" t="s">
        <v>677</v>
      </c>
      <c r="J180" s="30">
        <v>43654</v>
      </c>
      <c r="K180" s="30">
        <v>44569</v>
      </c>
      <c r="L180" s="31">
        <f t="shared" si="102"/>
        <v>84.99999990778575</v>
      </c>
      <c r="M180" s="20">
        <v>3</v>
      </c>
      <c r="N180" s="20" t="s">
        <v>660</v>
      </c>
      <c r="O180" s="20" t="s">
        <v>663</v>
      </c>
      <c r="P180" s="32" t="s">
        <v>39</v>
      </c>
      <c r="Q180" s="20" t="s">
        <v>40</v>
      </c>
      <c r="R180" s="33">
        <f t="shared" si="103"/>
        <v>2304415.83</v>
      </c>
      <c r="S180" s="2">
        <v>2304415.83</v>
      </c>
      <c r="T180" s="2">
        <v>0</v>
      </c>
      <c r="U180" s="33">
        <f t="shared" si="104"/>
        <v>352440.07</v>
      </c>
      <c r="V180" s="2">
        <v>352440.07</v>
      </c>
      <c r="W180" s="2">
        <v>0</v>
      </c>
      <c r="X180" s="33">
        <f t="shared" si="105"/>
        <v>54221.55</v>
      </c>
      <c r="Y180" s="35">
        <v>54221.55</v>
      </c>
      <c r="Z180" s="35">
        <v>0</v>
      </c>
      <c r="AA180" s="2">
        <f t="shared" si="106"/>
        <v>0</v>
      </c>
      <c r="AB180" s="109">
        <v>0</v>
      </c>
      <c r="AC180" s="109">
        <v>0</v>
      </c>
      <c r="AD180" s="2">
        <f t="shared" si="107"/>
        <v>2711077.4499999997</v>
      </c>
      <c r="AE180" s="35"/>
      <c r="AF180" s="2">
        <f t="shared" si="108"/>
        <v>2711077.4499999997</v>
      </c>
      <c r="AG180" s="39" t="s">
        <v>69</v>
      </c>
      <c r="AH180" s="39"/>
      <c r="AI180" s="35">
        <v>104640.72</v>
      </c>
      <c r="AJ180" s="36">
        <f>13068.78+1196.32+1738.75</f>
        <v>16003.85</v>
      </c>
      <c r="AK180" s="28">
        <f t="shared" si="78"/>
        <v>2199775.11</v>
      </c>
      <c r="AL180" s="28">
        <f t="shared" si="79"/>
        <v>336436.22000000003</v>
      </c>
      <c r="AM180" s="29">
        <f t="shared" si="80"/>
        <v>4.540878370897148E-2</v>
      </c>
    </row>
    <row r="181" spans="1:39" ht="192" customHeight="1" x14ac:dyDescent="0.25">
      <c r="A181" s="10">
        <v>178</v>
      </c>
      <c r="B181" s="37">
        <v>129737</v>
      </c>
      <c r="C181" s="20">
        <v>689</v>
      </c>
      <c r="D181" s="15" t="str">
        <f>D180</f>
        <v>AP 2/11i/2.1</v>
      </c>
      <c r="E181" s="14" t="str">
        <f>E180</f>
        <v>CP 12 less/2018</v>
      </c>
      <c r="F181" s="40" t="s">
        <v>678</v>
      </c>
      <c r="G181" s="15" t="s">
        <v>679</v>
      </c>
      <c r="H181" s="20" t="s">
        <v>35</v>
      </c>
      <c r="I181" s="15" t="s">
        <v>680</v>
      </c>
      <c r="J181" s="30">
        <v>43725</v>
      </c>
      <c r="K181" s="30">
        <v>44272</v>
      </c>
      <c r="L181" s="31">
        <f t="shared" si="102"/>
        <v>85.000000229159838</v>
      </c>
      <c r="M181" s="20">
        <v>3</v>
      </c>
      <c r="N181" s="20" t="s">
        <v>660</v>
      </c>
      <c r="O181" s="20" t="s">
        <v>663</v>
      </c>
      <c r="P181" s="32" t="s">
        <v>39</v>
      </c>
      <c r="Q181" s="20" t="s">
        <v>40</v>
      </c>
      <c r="R181" s="33">
        <f t="shared" si="103"/>
        <v>3152821.19</v>
      </c>
      <c r="S181" s="2">
        <v>3152821.19</v>
      </c>
      <c r="T181" s="2">
        <v>0</v>
      </c>
      <c r="U181" s="33">
        <f t="shared" si="104"/>
        <v>482196.17</v>
      </c>
      <c r="V181" s="2">
        <v>482196.17</v>
      </c>
      <c r="W181" s="2">
        <v>0</v>
      </c>
      <c r="X181" s="33">
        <f t="shared" si="105"/>
        <v>74184.03</v>
      </c>
      <c r="Y181" s="35">
        <v>74184.03</v>
      </c>
      <c r="Z181" s="35">
        <v>0</v>
      </c>
      <c r="AA181" s="2">
        <f t="shared" si="106"/>
        <v>0</v>
      </c>
      <c r="AB181" s="108">
        <v>0</v>
      </c>
      <c r="AC181" s="108">
        <v>0</v>
      </c>
      <c r="AD181" s="2">
        <f t="shared" si="107"/>
        <v>3709201.3899999997</v>
      </c>
      <c r="AE181" s="35"/>
      <c r="AF181" s="2">
        <f t="shared" si="108"/>
        <v>3709201.3899999997</v>
      </c>
      <c r="AG181" s="39" t="s">
        <v>69</v>
      </c>
      <c r="AH181" s="39" t="str">
        <f>AH182</f>
        <v>AA1/19.11.2019</v>
      </c>
      <c r="AI181" s="110">
        <v>25211.85</v>
      </c>
      <c r="AJ181" s="111">
        <f>1956.11+1899.82</f>
        <v>3855.93</v>
      </c>
      <c r="AK181" s="28">
        <f t="shared" si="78"/>
        <v>3127609.34</v>
      </c>
      <c r="AL181" s="28">
        <f t="shared" si="79"/>
        <v>478340.24</v>
      </c>
      <c r="AM181" s="29">
        <f t="shared" si="80"/>
        <v>7.9966000228512794E-3</v>
      </c>
    </row>
    <row r="182" spans="1:39" ht="192" customHeight="1" x14ac:dyDescent="0.25">
      <c r="A182" s="10">
        <v>179</v>
      </c>
      <c r="B182" s="37">
        <v>118062</v>
      </c>
      <c r="C182" s="20">
        <v>421</v>
      </c>
      <c r="D182" s="15" t="s">
        <v>54</v>
      </c>
      <c r="E182" s="14" t="s">
        <v>55</v>
      </c>
      <c r="F182" s="32" t="s">
        <v>681</v>
      </c>
      <c r="G182" s="7" t="s">
        <v>682</v>
      </c>
      <c r="H182" s="20" t="s">
        <v>683</v>
      </c>
      <c r="I182" s="15" t="s">
        <v>684</v>
      </c>
      <c r="J182" s="30">
        <v>43412</v>
      </c>
      <c r="K182" s="30">
        <v>43898</v>
      </c>
      <c r="L182" s="31">
        <f t="shared" si="102"/>
        <v>85.000007860659679</v>
      </c>
      <c r="M182" s="20">
        <v>6</v>
      </c>
      <c r="N182" s="20" t="s">
        <v>685</v>
      </c>
      <c r="O182" s="20" t="s">
        <v>686</v>
      </c>
      <c r="P182" s="32" t="s">
        <v>39</v>
      </c>
      <c r="Q182" s="32" t="s">
        <v>40</v>
      </c>
      <c r="R182" s="33">
        <f t="shared" si="103"/>
        <v>308180.27</v>
      </c>
      <c r="S182" s="41">
        <v>308180.27</v>
      </c>
      <c r="T182" s="41">
        <v>0</v>
      </c>
      <c r="U182" s="33">
        <f t="shared" si="104"/>
        <v>47133.4</v>
      </c>
      <c r="V182" s="41">
        <v>47133.4</v>
      </c>
      <c r="W182" s="41">
        <v>0</v>
      </c>
      <c r="X182" s="35">
        <f t="shared" si="105"/>
        <v>7251.32</v>
      </c>
      <c r="Y182" s="35">
        <v>7251.32</v>
      </c>
      <c r="Z182" s="35">
        <v>0</v>
      </c>
      <c r="AA182" s="2">
        <f t="shared" si="106"/>
        <v>0</v>
      </c>
      <c r="AB182" s="108">
        <v>0</v>
      </c>
      <c r="AC182" s="108">
        <v>0</v>
      </c>
      <c r="AD182" s="2">
        <f t="shared" si="107"/>
        <v>362564.99000000005</v>
      </c>
      <c r="AE182" s="108">
        <v>0</v>
      </c>
      <c r="AF182" s="2">
        <f t="shared" si="108"/>
        <v>362564.99000000005</v>
      </c>
      <c r="AG182" s="39" t="s">
        <v>41</v>
      </c>
      <c r="AH182" s="39" t="s">
        <v>687</v>
      </c>
      <c r="AI182" s="110">
        <v>249239.43</v>
      </c>
      <c r="AJ182" s="36">
        <v>38118.980000000003</v>
      </c>
      <c r="AK182" s="28">
        <f t="shared" si="78"/>
        <v>58940.840000000026</v>
      </c>
      <c r="AL182" s="28">
        <f t="shared" si="79"/>
        <v>9014.4199999999983</v>
      </c>
      <c r="AM182" s="29">
        <f t="shared" si="80"/>
        <v>0.80874557608765796</v>
      </c>
    </row>
    <row r="183" spans="1:39" ht="192" customHeight="1" x14ac:dyDescent="0.25">
      <c r="A183" s="10">
        <v>180</v>
      </c>
      <c r="B183" s="20">
        <v>126302</v>
      </c>
      <c r="C183" s="20">
        <v>521</v>
      </c>
      <c r="D183" s="15" t="s">
        <v>31</v>
      </c>
      <c r="E183" s="14" t="s">
        <v>65</v>
      </c>
      <c r="F183" s="63" t="s">
        <v>688</v>
      </c>
      <c r="G183" s="63" t="s">
        <v>689</v>
      </c>
      <c r="H183" s="20" t="s">
        <v>35</v>
      </c>
      <c r="I183" s="16" t="s">
        <v>690</v>
      </c>
      <c r="J183" s="30">
        <v>43447</v>
      </c>
      <c r="K183" s="30">
        <v>44360</v>
      </c>
      <c r="L183" s="31">
        <f t="shared" si="102"/>
        <v>85.000000283587156</v>
      </c>
      <c r="M183" s="20">
        <v>6</v>
      </c>
      <c r="N183" s="20" t="s">
        <v>685</v>
      </c>
      <c r="O183" s="20" t="s">
        <v>686</v>
      </c>
      <c r="P183" s="32" t="s">
        <v>39</v>
      </c>
      <c r="Q183" s="20" t="s">
        <v>40</v>
      </c>
      <c r="R183" s="33">
        <f t="shared" si="103"/>
        <v>2697583.52</v>
      </c>
      <c r="S183" s="2">
        <v>2697583.52</v>
      </c>
      <c r="T183" s="2">
        <v>0</v>
      </c>
      <c r="U183" s="33">
        <f t="shared" si="104"/>
        <v>412571.59</v>
      </c>
      <c r="V183" s="2">
        <v>412571.59</v>
      </c>
      <c r="W183" s="2">
        <v>0</v>
      </c>
      <c r="X183" s="33">
        <f t="shared" si="105"/>
        <v>63472.55</v>
      </c>
      <c r="Y183" s="2">
        <v>63472.55</v>
      </c>
      <c r="Z183" s="35">
        <v>0</v>
      </c>
      <c r="AA183" s="2">
        <f t="shared" si="106"/>
        <v>0</v>
      </c>
      <c r="AB183" s="2">
        <v>0</v>
      </c>
      <c r="AC183" s="2">
        <v>0</v>
      </c>
      <c r="AD183" s="2">
        <f t="shared" si="107"/>
        <v>3173627.6599999997</v>
      </c>
      <c r="AE183" s="2">
        <v>44744</v>
      </c>
      <c r="AF183" s="2">
        <f t="shared" si="108"/>
        <v>3218371.6599999997</v>
      </c>
      <c r="AG183" s="39" t="s">
        <v>69</v>
      </c>
      <c r="AH183" s="39"/>
      <c r="AI183" s="110">
        <v>868935.84999999986</v>
      </c>
      <c r="AJ183" s="36">
        <v>84361.34</v>
      </c>
      <c r="AK183" s="28">
        <f t="shared" si="78"/>
        <v>1828647.6700000002</v>
      </c>
      <c r="AL183" s="28">
        <f t="shared" si="79"/>
        <v>328210.25</v>
      </c>
      <c r="AM183" s="29">
        <f t="shared" si="80"/>
        <v>0.3221163843705569</v>
      </c>
    </row>
    <row r="184" spans="1:39" ht="192" customHeight="1" x14ac:dyDescent="0.25">
      <c r="A184" s="10">
        <v>181</v>
      </c>
      <c r="B184" s="37">
        <v>126243</v>
      </c>
      <c r="C184" s="20">
        <v>549</v>
      </c>
      <c r="D184" s="20" t="s">
        <v>31</v>
      </c>
      <c r="E184" s="14" t="s">
        <v>65</v>
      </c>
      <c r="F184" s="63" t="s">
        <v>691</v>
      </c>
      <c r="G184" s="63" t="s">
        <v>682</v>
      </c>
      <c r="H184" s="20" t="s">
        <v>132</v>
      </c>
      <c r="I184" s="63" t="s">
        <v>692</v>
      </c>
      <c r="J184" s="30">
        <v>43556</v>
      </c>
      <c r="K184" s="30">
        <v>44317</v>
      </c>
      <c r="L184" s="31">
        <f t="shared" si="102"/>
        <v>84.9999995883324</v>
      </c>
      <c r="M184" s="20">
        <v>6</v>
      </c>
      <c r="N184" s="20" t="s">
        <v>685</v>
      </c>
      <c r="O184" s="20" t="s">
        <v>693</v>
      </c>
      <c r="P184" s="20" t="s">
        <v>39</v>
      </c>
      <c r="Q184" s="20" t="s">
        <v>40</v>
      </c>
      <c r="R184" s="33">
        <f t="shared" si="103"/>
        <v>2477727.14</v>
      </c>
      <c r="S184" s="2">
        <v>2477727.14</v>
      </c>
      <c r="T184" s="2">
        <v>0</v>
      </c>
      <c r="U184" s="33">
        <f t="shared" si="104"/>
        <v>378946.5</v>
      </c>
      <c r="V184" s="2">
        <v>378946.5</v>
      </c>
      <c r="W184" s="2">
        <v>0</v>
      </c>
      <c r="X184" s="33">
        <f t="shared" si="105"/>
        <v>58299.48</v>
      </c>
      <c r="Y184" s="2">
        <v>58299.48</v>
      </c>
      <c r="Z184" s="2">
        <v>0</v>
      </c>
      <c r="AA184" s="2">
        <f t="shared" si="106"/>
        <v>0</v>
      </c>
      <c r="AB184" s="2">
        <v>0</v>
      </c>
      <c r="AC184" s="2">
        <v>0</v>
      </c>
      <c r="AD184" s="2">
        <f t="shared" si="107"/>
        <v>2914973.12</v>
      </c>
      <c r="AE184" s="2">
        <v>16660</v>
      </c>
      <c r="AF184" s="2">
        <f t="shared" si="108"/>
        <v>2931633.12</v>
      </c>
      <c r="AG184" s="39" t="s">
        <v>69</v>
      </c>
      <c r="AH184" s="39"/>
      <c r="AI184" s="35">
        <v>117498.14</v>
      </c>
      <c r="AJ184" s="36">
        <v>17970.3</v>
      </c>
      <c r="AK184" s="28">
        <f t="shared" si="78"/>
        <v>2360229</v>
      </c>
      <c r="AL184" s="28">
        <f t="shared" si="79"/>
        <v>360976.2</v>
      </c>
      <c r="AM184" s="29">
        <f t="shared" si="80"/>
        <v>4.7421743138350576E-2</v>
      </c>
    </row>
    <row r="185" spans="1:39" ht="192" customHeight="1" x14ac:dyDescent="0.25">
      <c r="A185" s="10">
        <v>182</v>
      </c>
      <c r="B185" s="37">
        <v>119429</v>
      </c>
      <c r="C185" s="37">
        <v>472</v>
      </c>
      <c r="D185" s="20" t="s">
        <v>47</v>
      </c>
      <c r="E185" s="14" t="s">
        <v>48</v>
      </c>
      <c r="F185" s="15" t="s">
        <v>694</v>
      </c>
      <c r="G185" s="15" t="s">
        <v>695</v>
      </c>
      <c r="H185" s="20" t="s">
        <v>132</v>
      </c>
      <c r="I185" s="112" t="s">
        <v>696</v>
      </c>
      <c r="J185" s="30">
        <v>43304</v>
      </c>
      <c r="K185" s="30">
        <v>43669</v>
      </c>
      <c r="L185" s="31">
        <f t="shared" si="102"/>
        <v>85.000001381242228</v>
      </c>
      <c r="M185" s="20">
        <v>6</v>
      </c>
      <c r="N185" s="20" t="s">
        <v>697</v>
      </c>
      <c r="O185" s="20" t="s">
        <v>698</v>
      </c>
      <c r="P185" s="32" t="s">
        <v>39</v>
      </c>
      <c r="Q185" s="20" t="s">
        <v>293</v>
      </c>
      <c r="R185" s="2">
        <f t="shared" si="103"/>
        <v>215385.83</v>
      </c>
      <c r="S185" s="2">
        <v>215385.83</v>
      </c>
      <c r="T185" s="2">
        <v>0</v>
      </c>
      <c r="U185" s="2">
        <f t="shared" si="104"/>
        <v>32941.35</v>
      </c>
      <c r="V185" s="2">
        <v>32941.35</v>
      </c>
      <c r="W185" s="2">
        <v>0</v>
      </c>
      <c r="X185" s="2">
        <f t="shared" si="105"/>
        <v>5067.91</v>
      </c>
      <c r="Y185" s="2">
        <v>5067.91</v>
      </c>
      <c r="Z185" s="2">
        <v>0</v>
      </c>
      <c r="AA185" s="2">
        <f t="shared" si="106"/>
        <v>0</v>
      </c>
      <c r="AB185" s="2">
        <v>0</v>
      </c>
      <c r="AC185" s="2">
        <v>0</v>
      </c>
      <c r="AD185" s="2">
        <f t="shared" si="107"/>
        <v>253395.09</v>
      </c>
      <c r="AE185" s="2"/>
      <c r="AF185" s="2">
        <f t="shared" si="108"/>
        <v>253395.09</v>
      </c>
      <c r="AG185" s="24" t="s">
        <v>41</v>
      </c>
      <c r="AH185" s="34"/>
      <c r="AI185" s="35">
        <v>158423.03</v>
      </c>
      <c r="AJ185" s="36">
        <v>24229.39</v>
      </c>
      <c r="AK185" s="28">
        <f t="shared" si="78"/>
        <v>56962.799999999988</v>
      </c>
      <c r="AL185" s="28">
        <f t="shared" si="79"/>
        <v>8711.9599999999991</v>
      </c>
      <c r="AM185" s="29">
        <f t="shared" si="80"/>
        <v>0.73553134855714519</v>
      </c>
    </row>
    <row r="186" spans="1:39" ht="192" customHeight="1" x14ac:dyDescent="0.25">
      <c r="A186" s="10">
        <v>183</v>
      </c>
      <c r="B186" s="37">
        <v>121622</v>
      </c>
      <c r="C186" s="20">
        <v>99</v>
      </c>
      <c r="D186" s="15" t="s">
        <v>31</v>
      </c>
      <c r="E186" s="14" t="s">
        <v>32</v>
      </c>
      <c r="F186" s="15" t="s">
        <v>699</v>
      </c>
      <c r="G186" s="15" t="s">
        <v>700</v>
      </c>
      <c r="H186" s="20" t="s">
        <v>46</v>
      </c>
      <c r="I186" s="61" t="s">
        <v>701</v>
      </c>
      <c r="J186" s="30">
        <v>43188</v>
      </c>
      <c r="K186" s="30">
        <v>43737</v>
      </c>
      <c r="L186" s="31">
        <f t="shared" si="102"/>
        <v>84.999999426373932</v>
      </c>
      <c r="M186" s="20" t="s">
        <v>259</v>
      </c>
      <c r="N186" s="20" t="s">
        <v>693</v>
      </c>
      <c r="O186" s="20" t="s">
        <v>693</v>
      </c>
      <c r="P186" s="32" t="s">
        <v>39</v>
      </c>
      <c r="Q186" s="20" t="s">
        <v>40</v>
      </c>
      <c r="R186" s="2">
        <f t="shared" si="103"/>
        <v>444540.46</v>
      </c>
      <c r="S186" s="2">
        <v>444540.46</v>
      </c>
      <c r="T186" s="2">
        <v>0</v>
      </c>
      <c r="U186" s="2">
        <f t="shared" si="104"/>
        <v>67988.539999999994</v>
      </c>
      <c r="V186" s="2">
        <v>67988.539999999994</v>
      </c>
      <c r="W186" s="2">
        <v>0</v>
      </c>
      <c r="X186" s="2">
        <f t="shared" si="105"/>
        <v>10459.780000000001</v>
      </c>
      <c r="Y186" s="33">
        <v>10459.780000000001</v>
      </c>
      <c r="Z186" s="2">
        <v>0</v>
      </c>
      <c r="AA186" s="2">
        <f t="shared" si="106"/>
        <v>0</v>
      </c>
      <c r="AB186" s="2">
        <v>0</v>
      </c>
      <c r="AC186" s="2">
        <v>0</v>
      </c>
      <c r="AD186" s="2">
        <f t="shared" si="107"/>
        <v>522988.78</v>
      </c>
      <c r="AE186" s="2">
        <v>0</v>
      </c>
      <c r="AF186" s="2">
        <f t="shared" si="108"/>
        <v>522988.78</v>
      </c>
      <c r="AG186" s="24" t="s">
        <v>41</v>
      </c>
      <c r="AH186" s="34" t="s">
        <v>702</v>
      </c>
      <c r="AI186" s="35">
        <v>306121.42</v>
      </c>
      <c r="AJ186" s="36">
        <v>46818.559999999998</v>
      </c>
      <c r="AK186" s="28">
        <f t="shared" si="78"/>
        <v>138419.04000000004</v>
      </c>
      <c r="AL186" s="28">
        <f t="shared" si="79"/>
        <v>21169.979999999996</v>
      </c>
      <c r="AM186" s="29">
        <f t="shared" si="80"/>
        <v>0.68862442802169221</v>
      </c>
    </row>
    <row r="187" spans="1:39" ht="192" customHeight="1" x14ac:dyDescent="0.25">
      <c r="A187" s="10">
        <v>184</v>
      </c>
      <c r="B187" s="37">
        <v>121536</v>
      </c>
      <c r="C187" s="20">
        <v>102</v>
      </c>
      <c r="D187" s="15" t="s">
        <v>31</v>
      </c>
      <c r="E187" s="14" t="s">
        <v>32</v>
      </c>
      <c r="F187" s="15" t="s">
        <v>1858</v>
      </c>
      <c r="G187" s="15" t="s">
        <v>689</v>
      </c>
      <c r="H187" s="20" t="s">
        <v>46</v>
      </c>
      <c r="I187" s="61" t="s">
        <v>703</v>
      </c>
      <c r="J187" s="30">
        <v>43186</v>
      </c>
      <c r="K187" s="30">
        <v>43643</v>
      </c>
      <c r="L187" s="31">
        <f t="shared" si="102"/>
        <v>85.000000246407055</v>
      </c>
      <c r="M187" s="20" t="s">
        <v>259</v>
      </c>
      <c r="N187" s="20" t="s">
        <v>686</v>
      </c>
      <c r="O187" s="20" t="s">
        <v>693</v>
      </c>
      <c r="P187" s="32" t="s">
        <v>39</v>
      </c>
      <c r="Q187" s="20" t="s">
        <v>40</v>
      </c>
      <c r="R187" s="2">
        <f t="shared" si="103"/>
        <v>344957.66</v>
      </c>
      <c r="S187" s="2">
        <v>344957.66</v>
      </c>
      <c r="T187" s="2">
        <v>0</v>
      </c>
      <c r="U187" s="2">
        <f t="shared" si="104"/>
        <v>52758.23</v>
      </c>
      <c r="V187" s="2">
        <v>52758.23</v>
      </c>
      <c r="W187" s="2">
        <v>0</v>
      </c>
      <c r="X187" s="2">
        <f t="shared" si="105"/>
        <v>8116.65</v>
      </c>
      <c r="Y187" s="2">
        <v>8116.65</v>
      </c>
      <c r="Z187" s="2">
        <v>0</v>
      </c>
      <c r="AA187" s="2">
        <f t="shared" si="106"/>
        <v>0</v>
      </c>
      <c r="AB187" s="2">
        <v>0</v>
      </c>
      <c r="AC187" s="2">
        <v>0</v>
      </c>
      <c r="AD187" s="2">
        <f t="shared" si="107"/>
        <v>405832.54</v>
      </c>
      <c r="AE187" s="2">
        <v>0</v>
      </c>
      <c r="AF187" s="2">
        <f t="shared" si="108"/>
        <v>405832.54</v>
      </c>
      <c r="AG187" s="24" t="s">
        <v>41</v>
      </c>
      <c r="AH187" s="34" t="s">
        <v>35</v>
      </c>
      <c r="AI187" s="35">
        <v>219496.65000000002</v>
      </c>
      <c r="AJ187" s="36">
        <v>33570.07</v>
      </c>
      <c r="AK187" s="28">
        <f t="shared" si="78"/>
        <v>125461.00999999995</v>
      </c>
      <c r="AL187" s="28">
        <f t="shared" si="79"/>
        <v>19188.160000000003</v>
      </c>
      <c r="AM187" s="29">
        <f t="shared" si="80"/>
        <v>0.63630026363235426</v>
      </c>
    </row>
    <row r="188" spans="1:39" ht="192" customHeight="1" x14ac:dyDescent="0.25">
      <c r="A188" s="10">
        <v>185</v>
      </c>
      <c r="B188" s="37">
        <v>119377</v>
      </c>
      <c r="C188" s="20">
        <v>463</v>
      </c>
      <c r="D188" s="20" t="s">
        <v>47</v>
      </c>
      <c r="E188" s="14" t="s">
        <v>48</v>
      </c>
      <c r="F188" s="32" t="s">
        <v>704</v>
      </c>
      <c r="G188" s="20" t="s">
        <v>705</v>
      </c>
      <c r="H188" s="20" t="s">
        <v>683</v>
      </c>
      <c r="I188" s="15" t="s">
        <v>706</v>
      </c>
      <c r="J188" s="30">
        <v>43332</v>
      </c>
      <c r="K188" s="30">
        <v>43819</v>
      </c>
      <c r="L188" s="31">
        <f>R188/AD188*100</f>
        <v>85.000001900439869</v>
      </c>
      <c r="M188" s="20">
        <v>6</v>
      </c>
      <c r="N188" s="20" t="s">
        <v>707</v>
      </c>
      <c r="O188" s="20" t="s">
        <v>708</v>
      </c>
      <c r="P188" s="20" t="s">
        <v>39</v>
      </c>
      <c r="Q188" s="32" t="s">
        <v>40</v>
      </c>
      <c r="R188" s="33">
        <f>S188+T188</f>
        <v>313085.42</v>
      </c>
      <c r="S188" s="2">
        <v>313085.42</v>
      </c>
      <c r="T188" s="2">
        <v>0</v>
      </c>
      <c r="U188" s="33">
        <f>V188+W188</f>
        <v>47883.64</v>
      </c>
      <c r="V188" s="2">
        <v>47883.64</v>
      </c>
      <c r="W188" s="2">
        <v>0</v>
      </c>
      <c r="X188" s="35">
        <f>Y188+Z188</f>
        <v>7366.72</v>
      </c>
      <c r="Y188" s="35">
        <v>7366.72</v>
      </c>
      <c r="Z188" s="35">
        <v>0</v>
      </c>
      <c r="AA188" s="2">
        <f>AB188+AC188</f>
        <v>0</v>
      </c>
      <c r="AB188" s="42">
        <v>0</v>
      </c>
      <c r="AC188" s="42">
        <v>0</v>
      </c>
      <c r="AD188" s="2">
        <f>R188+U188+X188+AA188</f>
        <v>368335.77999999997</v>
      </c>
      <c r="AE188" s="35">
        <v>4938.5</v>
      </c>
      <c r="AF188" s="2">
        <f>AD188+AE188</f>
        <v>373274.27999999997</v>
      </c>
      <c r="AG188" s="39" t="s">
        <v>41</v>
      </c>
      <c r="AH188" s="39" t="s">
        <v>35</v>
      </c>
      <c r="AI188" s="35">
        <v>133874.00999999998</v>
      </c>
      <c r="AJ188" s="36">
        <v>20474.830000000002</v>
      </c>
      <c r="AK188" s="28">
        <f t="shared" si="78"/>
        <v>179211.41</v>
      </c>
      <c r="AL188" s="28">
        <f t="shared" si="79"/>
        <v>27408.809999999998</v>
      </c>
      <c r="AM188" s="29">
        <f t="shared" si="80"/>
        <v>0.42759579797743374</v>
      </c>
    </row>
    <row r="189" spans="1:39" ht="192" customHeight="1" x14ac:dyDescent="0.25">
      <c r="A189" s="10">
        <v>186</v>
      </c>
      <c r="B189" s="37">
        <v>126124</v>
      </c>
      <c r="C189" s="20">
        <v>532</v>
      </c>
      <c r="D189" s="20" t="s">
        <v>31</v>
      </c>
      <c r="E189" s="14" t="s">
        <v>65</v>
      </c>
      <c r="F189" s="32" t="s">
        <v>709</v>
      </c>
      <c r="G189" s="20" t="s">
        <v>705</v>
      </c>
      <c r="H189" s="20" t="s">
        <v>683</v>
      </c>
      <c r="I189" s="15" t="s">
        <v>710</v>
      </c>
      <c r="J189" s="30">
        <v>43462</v>
      </c>
      <c r="K189" s="30">
        <v>44375</v>
      </c>
      <c r="L189" s="31">
        <f>R189/AD189*100</f>
        <v>84.999999694403598</v>
      </c>
      <c r="M189" s="20">
        <v>6</v>
      </c>
      <c r="N189" s="20" t="s">
        <v>707</v>
      </c>
      <c r="O189" s="20" t="s">
        <v>708</v>
      </c>
      <c r="P189" s="20" t="s">
        <v>39</v>
      </c>
      <c r="Q189" s="32" t="s">
        <v>40</v>
      </c>
      <c r="R189" s="33">
        <f>S189+T189</f>
        <v>2086084.74</v>
      </c>
      <c r="S189" s="2">
        <v>2086084.74</v>
      </c>
      <c r="T189" s="2">
        <v>0</v>
      </c>
      <c r="U189" s="33">
        <f>V189+W189</f>
        <v>319048.28000000003</v>
      </c>
      <c r="V189" s="2">
        <v>319048.28000000003</v>
      </c>
      <c r="W189" s="2">
        <v>0</v>
      </c>
      <c r="X189" s="35">
        <f>Y189+Z189</f>
        <v>49084.33</v>
      </c>
      <c r="Y189" s="35">
        <v>49084.33</v>
      </c>
      <c r="Z189" s="35">
        <v>0</v>
      </c>
      <c r="AA189" s="2">
        <f>AB189+AC189</f>
        <v>0</v>
      </c>
      <c r="AB189" s="42">
        <v>0</v>
      </c>
      <c r="AC189" s="42">
        <v>0</v>
      </c>
      <c r="AD189" s="2">
        <f>R189+U189+X189+AA189</f>
        <v>2454217.35</v>
      </c>
      <c r="AE189" s="35">
        <v>0</v>
      </c>
      <c r="AF189" s="2">
        <f>AD189+AE189</f>
        <v>2454217.35</v>
      </c>
      <c r="AG189" s="39" t="s">
        <v>69</v>
      </c>
      <c r="AH189" s="39" t="s">
        <v>35</v>
      </c>
      <c r="AI189" s="35">
        <v>108981.20000000001</v>
      </c>
      <c r="AJ189" s="36">
        <v>16667.72</v>
      </c>
      <c r="AK189" s="28">
        <f t="shared" si="78"/>
        <v>1977103.54</v>
      </c>
      <c r="AL189" s="28">
        <f t="shared" si="79"/>
        <v>302380.56000000006</v>
      </c>
      <c r="AM189" s="29">
        <f t="shared" si="80"/>
        <v>5.224198131088386E-2</v>
      </c>
    </row>
    <row r="190" spans="1:39" ht="192" customHeight="1" x14ac:dyDescent="0.25">
      <c r="A190" s="10">
        <v>187</v>
      </c>
      <c r="B190" s="20">
        <v>129237</v>
      </c>
      <c r="C190" s="20">
        <v>670</v>
      </c>
      <c r="D190" s="15" t="s">
        <v>31</v>
      </c>
      <c r="E190" s="14" t="s">
        <v>79</v>
      </c>
      <c r="F190" s="15" t="s">
        <v>711</v>
      </c>
      <c r="G190" s="15" t="s">
        <v>712</v>
      </c>
      <c r="H190" s="20" t="s">
        <v>683</v>
      </c>
      <c r="I190" s="16" t="s">
        <v>713</v>
      </c>
      <c r="J190" s="30">
        <v>43697</v>
      </c>
      <c r="K190" s="30">
        <v>44793</v>
      </c>
      <c r="L190" s="31">
        <f>R190/AD190*100</f>
        <v>85</v>
      </c>
      <c r="M190" s="20">
        <v>6</v>
      </c>
      <c r="N190" s="20" t="s">
        <v>708</v>
      </c>
      <c r="O190" s="20" t="s">
        <v>714</v>
      </c>
      <c r="P190" s="32" t="s">
        <v>39</v>
      </c>
      <c r="Q190" s="20" t="s">
        <v>40</v>
      </c>
      <c r="R190" s="33">
        <f>S190+T190</f>
        <v>2465000</v>
      </c>
      <c r="S190" s="2">
        <v>2465000</v>
      </c>
      <c r="T190" s="2">
        <v>0</v>
      </c>
      <c r="U190" s="33">
        <f>V190+W190</f>
        <v>377000</v>
      </c>
      <c r="V190" s="2">
        <v>377000</v>
      </c>
      <c r="W190" s="2">
        <v>0</v>
      </c>
      <c r="X190" s="33">
        <f>Y190+Z190</f>
        <v>58000</v>
      </c>
      <c r="Y190" s="2">
        <v>58000</v>
      </c>
      <c r="Z190" s="2">
        <v>0</v>
      </c>
      <c r="AA190" s="2">
        <f>AB190+AC190</f>
        <v>0</v>
      </c>
      <c r="AB190" s="2">
        <v>0</v>
      </c>
      <c r="AC190" s="2">
        <v>0</v>
      </c>
      <c r="AD190" s="2">
        <f>R190+U190+X190+AA190</f>
        <v>2900000</v>
      </c>
      <c r="AE190" s="2">
        <v>0</v>
      </c>
      <c r="AF190" s="2">
        <f>AD190+AE190</f>
        <v>2900000</v>
      </c>
      <c r="AG190" s="39" t="s">
        <v>69</v>
      </c>
      <c r="AH190" s="34" t="s">
        <v>35</v>
      </c>
      <c r="AI190" s="35">
        <v>378814.52</v>
      </c>
      <c r="AJ190" s="36">
        <v>36524.57</v>
      </c>
      <c r="AK190" s="28">
        <f t="shared" si="78"/>
        <v>2086185.48</v>
      </c>
      <c r="AL190" s="28">
        <f t="shared" si="79"/>
        <v>340475.43</v>
      </c>
      <c r="AM190" s="29">
        <f t="shared" si="80"/>
        <v>0.15367729006085193</v>
      </c>
    </row>
    <row r="191" spans="1:39" ht="192" customHeight="1" x14ac:dyDescent="0.25">
      <c r="A191" s="10">
        <v>188</v>
      </c>
      <c r="B191" s="20">
        <v>118759</v>
      </c>
      <c r="C191" s="20">
        <v>439</v>
      </c>
      <c r="D191" s="15" t="s">
        <v>54</v>
      </c>
      <c r="E191" s="14" t="s">
        <v>55</v>
      </c>
      <c r="F191" s="32" t="s">
        <v>715</v>
      </c>
      <c r="G191" s="15" t="s">
        <v>716</v>
      </c>
      <c r="H191" s="20" t="s">
        <v>287</v>
      </c>
      <c r="I191" s="15" t="s">
        <v>717</v>
      </c>
      <c r="J191" s="30">
        <v>43304</v>
      </c>
      <c r="K191" s="30">
        <v>44005</v>
      </c>
      <c r="L191" s="31">
        <f t="shared" ref="L191:L196" si="109">R191/AD191*100</f>
        <v>84.213980856539493</v>
      </c>
      <c r="M191" s="32">
        <v>7</v>
      </c>
      <c r="N191" s="32" t="s">
        <v>718</v>
      </c>
      <c r="O191" s="32" t="s">
        <v>718</v>
      </c>
      <c r="P191" s="32" t="s">
        <v>39</v>
      </c>
      <c r="Q191" s="32" t="s">
        <v>40</v>
      </c>
      <c r="R191" s="33">
        <f t="shared" ref="R191:R196" si="110">S191+T191</f>
        <v>288260.65000000002</v>
      </c>
      <c r="S191" s="113">
        <v>288260.65000000002</v>
      </c>
      <c r="T191" s="64">
        <v>0</v>
      </c>
      <c r="U191" s="33">
        <v>47188.93</v>
      </c>
      <c r="V191" s="64">
        <v>47188.93</v>
      </c>
      <c r="W191" s="64" t="s">
        <v>719</v>
      </c>
      <c r="X191" s="33">
        <v>6845.9</v>
      </c>
      <c r="Y191" s="64">
        <v>6845.9</v>
      </c>
      <c r="Z191" s="64" t="s">
        <v>719</v>
      </c>
      <c r="AA191" s="2">
        <f t="shared" ref="AA191:AA196" si="111">AB191+AC191</f>
        <v>0</v>
      </c>
      <c r="AB191" s="2">
        <v>0</v>
      </c>
      <c r="AC191" s="2">
        <v>0</v>
      </c>
      <c r="AD191" s="2">
        <f t="shared" ref="AD191:AD196" si="112">R191+U191+X191+AA191</f>
        <v>342295.48000000004</v>
      </c>
      <c r="AE191" s="39"/>
      <c r="AF191" s="2">
        <f t="shared" ref="AF191:AF196" si="113">AD191+AE191</f>
        <v>342295.48000000004</v>
      </c>
      <c r="AG191" s="39" t="s">
        <v>69</v>
      </c>
      <c r="AH191" s="34" t="s">
        <v>720</v>
      </c>
      <c r="AI191" s="35">
        <v>167700.72999999995</v>
      </c>
      <c r="AJ191" s="36">
        <v>26943.680000000004</v>
      </c>
      <c r="AK191" s="28">
        <f t="shared" si="78"/>
        <v>120559.92000000007</v>
      </c>
      <c r="AL191" s="28">
        <f t="shared" si="79"/>
        <v>20245.249999999996</v>
      </c>
      <c r="AM191" s="29">
        <f t="shared" si="80"/>
        <v>0.58176768143692159</v>
      </c>
    </row>
    <row r="192" spans="1:39" ht="192" customHeight="1" x14ac:dyDescent="0.25">
      <c r="A192" s="10">
        <v>189</v>
      </c>
      <c r="B192" s="37">
        <v>119841</v>
      </c>
      <c r="C192" s="20">
        <v>477</v>
      </c>
      <c r="D192" s="20" t="s">
        <v>47</v>
      </c>
      <c r="E192" s="14" t="s">
        <v>48</v>
      </c>
      <c r="F192" s="15" t="s">
        <v>721</v>
      </c>
      <c r="G192" s="15" t="s">
        <v>716</v>
      </c>
      <c r="H192" s="20" t="s">
        <v>287</v>
      </c>
      <c r="I192" s="15" t="s">
        <v>722</v>
      </c>
      <c r="J192" s="30">
        <v>43304</v>
      </c>
      <c r="K192" s="30">
        <v>44035</v>
      </c>
      <c r="L192" s="31">
        <f t="shared" si="109"/>
        <v>84.228550955221309</v>
      </c>
      <c r="M192" s="32">
        <v>7</v>
      </c>
      <c r="N192" s="32" t="s">
        <v>718</v>
      </c>
      <c r="O192" s="32" t="s">
        <v>718</v>
      </c>
      <c r="P192" s="32" t="s">
        <v>39</v>
      </c>
      <c r="Q192" s="20" t="s">
        <v>40</v>
      </c>
      <c r="R192" s="33">
        <f t="shared" si="110"/>
        <v>481603.39</v>
      </c>
      <c r="S192" s="35">
        <v>481603.39</v>
      </c>
      <c r="T192" s="64">
        <v>0</v>
      </c>
      <c r="U192" s="33">
        <f t="shared" ref="U192:U213" si="114">V192+W192</f>
        <v>78742.570000000007</v>
      </c>
      <c r="V192" s="35">
        <v>78742.570000000007</v>
      </c>
      <c r="W192" s="64">
        <v>0</v>
      </c>
      <c r="X192" s="33">
        <f t="shared" ref="X192:X213" si="115">Y192+Z192</f>
        <v>6246.23</v>
      </c>
      <c r="Y192" s="35">
        <v>6246.23</v>
      </c>
      <c r="Z192" s="64">
        <v>0</v>
      </c>
      <c r="AA192" s="2">
        <f t="shared" si="111"/>
        <v>5189.45</v>
      </c>
      <c r="AB192" s="42">
        <v>5189.45</v>
      </c>
      <c r="AC192" s="42">
        <v>0</v>
      </c>
      <c r="AD192" s="2">
        <f t="shared" si="112"/>
        <v>571781.6399999999</v>
      </c>
      <c r="AE192" s="39"/>
      <c r="AF192" s="2">
        <f t="shared" si="113"/>
        <v>571781.6399999999</v>
      </c>
      <c r="AG192" s="39" t="s">
        <v>161</v>
      </c>
      <c r="AH192" s="34" t="s">
        <v>1843</v>
      </c>
      <c r="AI192" s="35">
        <v>364128.16</v>
      </c>
      <c r="AJ192" s="36">
        <v>57655.866300000023</v>
      </c>
      <c r="AK192" s="28">
        <f t="shared" si="78"/>
        <v>117475.23000000004</v>
      </c>
      <c r="AL192" s="28">
        <f t="shared" si="79"/>
        <v>21086.703699999984</v>
      </c>
      <c r="AM192" s="29">
        <f t="shared" si="80"/>
        <v>0.75607474440742617</v>
      </c>
    </row>
    <row r="193" spans="1:39" ht="192" customHeight="1" x14ac:dyDescent="0.25">
      <c r="A193" s="10">
        <v>190</v>
      </c>
      <c r="B193" s="37">
        <v>126267</v>
      </c>
      <c r="C193" s="20">
        <v>540</v>
      </c>
      <c r="D193" s="20" t="s">
        <v>31</v>
      </c>
      <c r="E193" s="14" t="s">
        <v>65</v>
      </c>
      <c r="F193" s="15" t="s">
        <v>723</v>
      </c>
      <c r="G193" s="15" t="s">
        <v>724</v>
      </c>
      <c r="H193" s="20" t="s">
        <v>35</v>
      </c>
      <c r="I193" s="15" t="s">
        <v>725</v>
      </c>
      <c r="J193" s="30">
        <v>43544</v>
      </c>
      <c r="K193" s="30">
        <v>44459</v>
      </c>
      <c r="L193" s="31">
        <f t="shared" si="109"/>
        <v>85.000000823943722</v>
      </c>
      <c r="M193" s="32">
        <v>7</v>
      </c>
      <c r="N193" s="32" t="s">
        <v>718</v>
      </c>
      <c r="O193" s="32" t="s">
        <v>718</v>
      </c>
      <c r="P193" s="32" t="s">
        <v>39</v>
      </c>
      <c r="Q193" s="20" t="s">
        <v>40</v>
      </c>
      <c r="R193" s="33">
        <f t="shared" si="110"/>
        <v>2630640.86</v>
      </c>
      <c r="S193" s="35">
        <v>2630640.86</v>
      </c>
      <c r="T193" s="64">
        <v>0</v>
      </c>
      <c r="U193" s="33">
        <f t="shared" si="114"/>
        <v>402333.28</v>
      </c>
      <c r="V193" s="35">
        <v>402333.28</v>
      </c>
      <c r="W193" s="64">
        <v>0</v>
      </c>
      <c r="X193" s="33">
        <f t="shared" si="115"/>
        <v>61897.43</v>
      </c>
      <c r="Y193" s="35">
        <v>61897.43</v>
      </c>
      <c r="Z193" s="64">
        <v>0</v>
      </c>
      <c r="AA193" s="2">
        <f t="shared" si="111"/>
        <v>0</v>
      </c>
      <c r="AB193" s="42">
        <v>0</v>
      </c>
      <c r="AC193" s="42">
        <v>0</v>
      </c>
      <c r="AD193" s="2">
        <f t="shared" si="112"/>
        <v>3094871.57</v>
      </c>
      <c r="AE193" s="2">
        <v>7140</v>
      </c>
      <c r="AF193" s="2">
        <f t="shared" si="113"/>
        <v>3102011.57</v>
      </c>
      <c r="AG193" s="39" t="s">
        <v>69</v>
      </c>
      <c r="AH193" s="34" t="s">
        <v>35</v>
      </c>
      <c r="AI193" s="110">
        <v>370146.44999999995</v>
      </c>
      <c r="AJ193" s="36">
        <v>56610.590000000011</v>
      </c>
      <c r="AK193" s="28">
        <f t="shared" si="78"/>
        <v>2260494.41</v>
      </c>
      <c r="AL193" s="28">
        <f t="shared" si="79"/>
        <v>345722.69</v>
      </c>
      <c r="AM193" s="29">
        <f t="shared" si="80"/>
        <v>0.14070580884993933</v>
      </c>
    </row>
    <row r="194" spans="1:39" ht="192" customHeight="1" x14ac:dyDescent="0.25">
      <c r="A194" s="10">
        <v>191</v>
      </c>
      <c r="B194" s="37">
        <v>126475</v>
      </c>
      <c r="C194" s="20">
        <v>563</v>
      </c>
      <c r="D194" s="20" t="s">
        <v>31</v>
      </c>
      <c r="E194" s="14" t="s">
        <v>65</v>
      </c>
      <c r="F194" s="15" t="s">
        <v>726</v>
      </c>
      <c r="G194" s="15" t="s">
        <v>727</v>
      </c>
      <c r="H194" s="20" t="s">
        <v>287</v>
      </c>
      <c r="I194" s="15" t="s">
        <v>728</v>
      </c>
      <c r="J194" s="30">
        <v>43546</v>
      </c>
      <c r="K194" s="30">
        <v>44277</v>
      </c>
      <c r="L194" s="31">
        <f t="shared" si="109"/>
        <v>84.852694687750144</v>
      </c>
      <c r="M194" s="32">
        <v>7</v>
      </c>
      <c r="N194" s="32" t="s">
        <v>718</v>
      </c>
      <c r="O194" s="32" t="s">
        <v>718</v>
      </c>
      <c r="P194" s="32" t="s">
        <v>39</v>
      </c>
      <c r="Q194" s="20" t="s">
        <v>40</v>
      </c>
      <c r="R194" s="33">
        <f t="shared" si="110"/>
        <v>3141080.48</v>
      </c>
      <c r="S194" s="35">
        <v>3141080.48</v>
      </c>
      <c r="T194" s="64">
        <v>0</v>
      </c>
      <c r="U194" s="33">
        <f t="shared" si="114"/>
        <v>486687.45</v>
      </c>
      <c r="V194" s="39">
        <v>486687.45</v>
      </c>
      <c r="W194" s="64">
        <v>0</v>
      </c>
      <c r="X194" s="33">
        <f t="shared" si="115"/>
        <v>67620.820000000007</v>
      </c>
      <c r="Y194" s="35">
        <v>67620.820000000007</v>
      </c>
      <c r="Z194" s="64">
        <v>0</v>
      </c>
      <c r="AA194" s="2">
        <f t="shared" si="111"/>
        <v>6415.29</v>
      </c>
      <c r="AB194" s="42">
        <v>6415.29</v>
      </c>
      <c r="AC194" s="42">
        <v>0</v>
      </c>
      <c r="AD194" s="2">
        <f t="shared" si="112"/>
        <v>3701804.04</v>
      </c>
      <c r="AE194" s="39">
        <v>0</v>
      </c>
      <c r="AF194" s="2">
        <f t="shared" si="113"/>
        <v>3701804.04</v>
      </c>
      <c r="AG194" s="39" t="s">
        <v>69</v>
      </c>
      <c r="AH194" s="34" t="s">
        <v>35</v>
      </c>
      <c r="AI194" s="110">
        <v>240991.18999999997</v>
      </c>
      <c r="AJ194" s="36">
        <v>33853.439999999995</v>
      </c>
      <c r="AK194" s="28">
        <f t="shared" si="78"/>
        <v>2900089.29</v>
      </c>
      <c r="AL194" s="28">
        <f t="shared" si="79"/>
        <v>452834.01</v>
      </c>
      <c r="AM194" s="29">
        <f t="shared" si="80"/>
        <v>7.6722386304473159E-2</v>
      </c>
    </row>
    <row r="195" spans="1:39" ht="192" customHeight="1" x14ac:dyDescent="0.25">
      <c r="A195" s="10">
        <v>192</v>
      </c>
      <c r="B195" s="37">
        <v>129622</v>
      </c>
      <c r="C195" s="20">
        <v>660</v>
      </c>
      <c r="D195" s="20" t="s">
        <v>31</v>
      </c>
      <c r="E195" s="14" t="s">
        <v>79</v>
      </c>
      <c r="F195" s="15" t="s">
        <v>729</v>
      </c>
      <c r="G195" s="15" t="s">
        <v>730</v>
      </c>
      <c r="H195" s="20" t="s">
        <v>35</v>
      </c>
      <c r="I195" s="15" t="s">
        <v>731</v>
      </c>
      <c r="J195" s="30">
        <v>43658</v>
      </c>
      <c r="K195" s="30">
        <v>44542</v>
      </c>
      <c r="L195" s="31">
        <f t="shared" si="109"/>
        <v>85.000000125030468</v>
      </c>
      <c r="M195" s="32">
        <v>7</v>
      </c>
      <c r="N195" s="32" t="s">
        <v>718</v>
      </c>
      <c r="O195" s="32" t="s">
        <v>730</v>
      </c>
      <c r="P195" s="32" t="s">
        <v>39</v>
      </c>
      <c r="Q195" s="20" t="s">
        <v>40</v>
      </c>
      <c r="R195" s="33">
        <f t="shared" si="110"/>
        <v>3399171.34</v>
      </c>
      <c r="S195" s="35">
        <v>3399171.34</v>
      </c>
      <c r="T195" s="64">
        <v>0</v>
      </c>
      <c r="U195" s="33">
        <f t="shared" si="114"/>
        <v>519873.26</v>
      </c>
      <c r="V195" s="35">
        <v>519873.26</v>
      </c>
      <c r="W195" s="64">
        <v>0</v>
      </c>
      <c r="X195" s="33">
        <f t="shared" si="115"/>
        <v>79980.5</v>
      </c>
      <c r="Y195" s="35">
        <v>79980.5</v>
      </c>
      <c r="Z195" s="64">
        <v>0</v>
      </c>
      <c r="AA195" s="2">
        <f t="shared" si="111"/>
        <v>0</v>
      </c>
      <c r="AB195" s="42">
        <v>0</v>
      </c>
      <c r="AC195" s="42">
        <v>0</v>
      </c>
      <c r="AD195" s="2">
        <f t="shared" si="112"/>
        <v>3999025.0999999996</v>
      </c>
      <c r="AE195" s="38">
        <v>0</v>
      </c>
      <c r="AF195" s="2">
        <f t="shared" si="113"/>
        <v>3999025.0999999996</v>
      </c>
      <c r="AG195" s="39" t="s">
        <v>69</v>
      </c>
      <c r="AH195" s="34" t="s">
        <v>35</v>
      </c>
      <c r="AI195" s="110">
        <v>343094.2</v>
      </c>
      <c r="AJ195" s="36">
        <f>4707.04+14150.24+4556.89+6032.52</f>
        <v>29446.69</v>
      </c>
      <c r="AK195" s="28">
        <f t="shared" si="78"/>
        <v>3056077.1399999997</v>
      </c>
      <c r="AL195" s="28">
        <f t="shared" si="79"/>
        <v>490426.57</v>
      </c>
      <c r="AM195" s="29">
        <f t="shared" si="80"/>
        <v>0.10093465897485475</v>
      </c>
    </row>
    <row r="196" spans="1:39" ht="192" customHeight="1" x14ac:dyDescent="0.25">
      <c r="A196" s="10">
        <v>193</v>
      </c>
      <c r="B196" s="37">
        <v>135967</v>
      </c>
      <c r="C196" s="20">
        <v>770</v>
      </c>
      <c r="D196" s="46" t="s">
        <v>31</v>
      </c>
      <c r="E196" s="14" t="s">
        <v>1826</v>
      </c>
      <c r="F196" s="15" t="s">
        <v>1844</v>
      </c>
      <c r="G196" s="15" t="s">
        <v>724</v>
      </c>
      <c r="H196" s="20" t="s">
        <v>35</v>
      </c>
      <c r="I196" s="16" t="s">
        <v>1845</v>
      </c>
      <c r="J196" s="30">
        <v>43949</v>
      </c>
      <c r="K196" s="30">
        <v>44589</v>
      </c>
      <c r="L196" s="31">
        <f t="shared" si="109"/>
        <v>85</v>
      </c>
      <c r="M196" s="32">
        <v>7</v>
      </c>
      <c r="N196" s="32" t="s">
        <v>718</v>
      </c>
      <c r="O196" s="32" t="s">
        <v>724</v>
      </c>
      <c r="P196" s="32" t="s">
        <v>39</v>
      </c>
      <c r="Q196" s="20" t="s">
        <v>40</v>
      </c>
      <c r="R196" s="33">
        <f t="shared" si="110"/>
        <v>848725</v>
      </c>
      <c r="S196" s="35">
        <v>848725</v>
      </c>
      <c r="T196" s="64">
        <v>0</v>
      </c>
      <c r="U196" s="33">
        <f t="shared" si="114"/>
        <v>129805</v>
      </c>
      <c r="V196" s="35">
        <v>129805</v>
      </c>
      <c r="W196" s="64">
        <v>0</v>
      </c>
      <c r="X196" s="33">
        <f t="shared" si="115"/>
        <v>19970</v>
      </c>
      <c r="Y196" s="35">
        <v>19970</v>
      </c>
      <c r="Z196" s="64">
        <v>0</v>
      </c>
      <c r="AA196" s="2">
        <f t="shared" si="111"/>
        <v>0</v>
      </c>
      <c r="AB196" s="42">
        <v>0</v>
      </c>
      <c r="AC196" s="42">
        <v>0</v>
      </c>
      <c r="AD196" s="2">
        <f t="shared" si="112"/>
        <v>998500</v>
      </c>
      <c r="AE196" s="38">
        <v>0</v>
      </c>
      <c r="AF196" s="2">
        <f t="shared" si="113"/>
        <v>998500</v>
      </c>
      <c r="AG196" s="39" t="s">
        <v>69</v>
      </c>
      <c r="AH196" s="34" t="s">
        <v>35</v>
      </c>
      <c r="AI196" s="110">
        <v>0</v>
      </c>
      <c r="AJ196" s="36">
        <v>0</v>
      </c>
      <c r="AK196" s="28">
        <f t="shared" si="78"/>
        <v>848725</v>
      </c>
      <c r="AL196" s="28">
        <f t="shared" si="79"/>
        <v>129805</v>
      </c>
      <c r="AM196" s="29">
        <f t="shared" si="80"/>
        <v>0</v>
      </c>
    </row>
    <row r="197" spans="1:39" ht="192" customHeight="1" x14ac:dyDescent="0.25">
      <c r="A197" s="10">
        <v>194</v>
      </c>
      <c r="B197" s="37">
        <v>117764</v>
      </c>
      <c r="C197" s="20">
        <v>416</v>
      </c>
      <c r="D197" s="15" t="s">
        <v>54</v>
      </c>
      <c r="E197" s="14" t="s">
        <v>55</v>
      </c>
      <c r="F197" s="15" t="s">
        <v>732</v>
      </c>
      <c r="G197" s="20" t="s">
        <v>733</v>
      </c>
      <c r="H197" s="20" t="s">
        <v>35</v>
      </c>
      <c r="I197" s="114" t="s">
        <v>734</v>
      </c>
      <c r="J197" s="30">
        <v>43326</v>
      </c>
      <c r="K197" s="30">
        <v>43813</v>
      </c>
      <c r="L197" s="31">
        <f t="shared" ref="L197:L213" si="116">R197/AD197*100</f>
        <v>85.000000298812211</v>
      </c>
      <c r="M197" s="20">
        <v>1</v>
      </c>
      <c r="N197" s="20" t="s">
        <v>735</v>
      </c>
      <c r="O197" s="20" t="s">
        <v>735</v>
      </c>
      <c r="P197" s="20" t="s">
        <v>39</v>
      </c>
      <c r="Q197" s="32" t="s">
        <v>40</v>
      </c>
      <c r="R197" s="33">
        <f t="shared" ref="R197:R213" si="117">S197+T197</f>
        <v>284459.59000000003</v>
      </c>
      <c r="S197" s="35">
        <v>284459.59000000003</v>
      </c>
      <c r="T197" s="64">
        <v>0</v>
      </c>
      <c r="U197" s="33">
        <f t="shared" si="114"/>
        <v>43505.58</v>
      </c>
      <c r="V197" s="35">
        <v>43505.58</v>
      </c>
      <c r="W197" s="64">
        <v>0</v>
      </c>
      <c r="X197" s="35">
        <f t="shared" si="115"/>
        <v>6693.17</v>
      </c>
      <c r="Y197" s="35">
        <v>6693.17</v>
      </c>
      <c r="Z197" s="64">
        <v>0</v>
      </c>
      <c r="AA197" s="2">
        <f t="shared" ref="AA197:AA205" si="118">AB197+AC197</f>
        <v>0</v>
      </c>
      <c r="AB197" s="41">
        <v>0</v>
      </c>
      <c r="AC197" s="41">
        <v>0</v>
      </c>
      <c r="AD197" s="2">
        <f t="shared" ref="AD197:AD213" si="119">R197+U197+X197+AA197</f>
        <v>334658.34000000003</v>
      </c>
      <c r="AE197" s="39">
        <v>0</v>
      </c>
      <c r="AF197" s="2">
        <f t="shared" ref="AF197:AF213" si="120">AD197+AE197</f>
        <v>334658.34000000003</v>
      </c>
      <c r="AG197" s="24" t="s">
        <v>41</v>
      </c>
      <c r="AH197" s="39" t="s">
        <v>35</v>
      </c>
      <c r="AI197" s="2">
        <v>113379.81</v>
      </c>
      <c r="AJ197" s="85">
        <v>17340.43</v>
      </c>
      <c r="AK197" s="28">
        <f t="shared" ref="AK197:AK260" si="121">R197-AI197</f>
        <v>171079.78000000003</v>
      </c>
      <c r="AL197" s="28">
        <f t="shared" ref="AL197:AL260" si="122">U197-AJ197</f>
        <v>26165.15</v>
      </c>
      <c r="AM197" s="29">
        <f t="shared" ref="AM197:AM260" si="123">AI197/R197</f>
        <v>0.39857967172068265</v>
      </c>
    </row>
    <row r="198" spans="1:39" ht="192" customHeight="1" x14ac:dyDescent="0.25">
      <c r="A198" s="10">
        <v>195</v>
      </c>
      <c r="B198" s="37">
        <v>128093</v>
      </c>
      <c r="C198" s="20">
        <v>626</v>
      </c>
      <c r="D198" s="15" t="s">
        <v>736</v>
      </c>
      <c r="E198" s="14" t="s">
        <v>79</v>
      </c>
      <c r="F198" s="15" t="s">
        <v>737</v>
      </c>
      <c r="G198" s="20" t="s">
        <v>738</v>
      </c>
      <c r="H198" s="20" t="s">
        <v>35</v>
      </c>
      <c r="I198" s="15" t="s">
        <v>739</v>
      </c>
      <c r="J198" s="30">
        <v>43670</v>
      </c>
      <c r="K198" s="30">
        <v>44401</v>
      </c>
      <c r="L198" s="31">
        <f t="shared" si="116"/>
        <v>85.000000000000014</v>
      </c>
      <c r="M198" s="20">
        <v>1</v>
      </c>
      <c r="N198" s="20" t="s">
        <v>735</v>
      </c>
      <c r="O198" s="20" t="s">
        <v>735</v>
      </c>
      <c r="P198" s="20" t="s">
        <v>39</v>
      </c>
      <c r="Q198" s="32" t="s">
        <v>40</v>
      </c>
      <c r="R198" s="33">
        <f t="shared" si="117"/>
        <v>2360805.2999999998</v>
      </c>
      <c r="S198" s="35">
        <v>2360805.2999999998</v>
      </c>
      <c r="T198" s="64">
        <v>0</v>
      </c>
      <c r="U198" s="33">
        <f t="shared" si="114"/>
        <v>361064.38</v>
      </c>
      <c r="V198" s="35">
        <v>361064.38</v>
      </c>
      <c r="W198" s="64">
        <v>0</v>
      </c>
      <c r="X198" s="35">
        <f t="shared" si="115"/>
        <v>55548.32</v>
      </c>
      <c r="Y198" s="35">
        <v>55548.32</v>
      </c>
      <c r="Z198" s="64">
        <v>0</v>
      </c>
      <c r="AA198" s="2">
        <f t="shared" si="118"/>
        <v>0</v>
      </c>
      <c r="AB198" s="64">
        <v>0</v>
      </c>
      <c r="AC198" s="64">
        <v>0</v>
      </c>
      <c r="AD198" s="2">
        <f t="shared" si="119"/>
        <v>2777417.9999999995</v>
      </c>
      <c r="AE198" s="39">
        <v>0</v>
      </c>
      <c r="AF198" s="2">
        <f t="shared" si="120"/>
        <v>2777417.9999999995</v>
      </c>
      <c r="AG198" s="39" t="s">
        <v>69</v>
      </c>
      <c r="AH198" s="39"/>
      <c r="AI198" s="2">
        <v>322900.09999999998</v>
      </c>
      <c r="AJ198" s="85">
        <v>49384.72</v>
      </c>
      <c r="AK198" s="28">
        <f t="shared" si="121"/>
        <v>2037905.1999999997</v>
      </c>
      <c r="AL198" s="28">
        <f t="shared" si="122"/>
        <v>311679.66000000003</v>
      </c>
      <c r="AM198" s="29">
        <f t="shared" si="123"/>
        <v>0.13677540456216361</v>
      </c>
    </row>
    <row r="199" spans="1:39" ht="192" customHeight="1" x14ac:dyDescent="0.25">
      <c r="A199" s="10">
        <v>196</v>
      </c>
      <c r="B199" s="37">
        <v>110909</v>
      </c>
      <c r="C199" s="20">
        <v>115</v>
      </c>
      <c r="D199" s="15" t="s">
        <v>31</v>
      </c>
      <c r="E199" s="14" t="s">
        <v>32</v>
      </c>
      <c r="F199" s="32" t="s">
        <v>740</v>
      </c>
      <c r="G199" s="15" t="s">
        <v>741</v>
      </c>
      <c r="H199" s="20" t="s">
        <v>35</v>
      </c>
      <c r="I199" s="16" t="s">
        <v>742</v>
      </c>
      <c r="J199" s="30">
        <v>43214</v>
      </c>
      <c r="K199" s="30">
        <v>43762</v>
      </c>
      <c r="L199" s="31">
        <f t="shared" si="116"/>
        <v>85.000000000000014</v>
      </c>
      <c r="M199" s="20">
        <v>3</v>
      </c>
      <c r="N199" s="20" t="s">
        <v>743</v>
      </c>
      <c r="O199" s="20" t="s">
        <v>744</v>
      </c>
      <c r="P199" s="32" t="s">
        <v>39</v>
      </c>
      <c r="Q199" s="20" t="s">
        <v>40</v>
      </c>
      <c r="R199" s="33">
        <f t="shared" si="117"/>
        <v>349633.9</v>
      </c>
      <c r="S199" s="64">
        <v>349633.9</v>
      </c>
      <c r="T199" s="64">
        <v>0</v>
      </c>
      <c r="U199" s="33">
        <f t="shared" si="114"/>
        <v>53473.42</v>
      </c>
      <c r="V199" s="64">
        <v>53473.42</v>
      </c>
      <c r="W199" s="64">
        <v>0</v>
      </c>
      <c r="X199" s="33">
        <f t="shared" si="115"/>
        <v>8226.68</v>
      </c>
      <c r="Y199" s="64">
        <v>8226.68</v>
      </c>
      <c r="Z199" s="64">
        <v>0</v>
      </c>
      <c r="AA199" s="2">
        <f t="shared" si="118"/>
        <v>0</v>
      </c>
      <c r="AB199" s="115">
        <v>0</v>
      </c>
      <c r="AC199" s="115">
        <v>0</v>
      </c>
      <c r="AD199" s="2">
        <f t="shared" si="119"/>
        <v>411334</v>
      </c>
      <c r="AE199" s="2">
        <v>0</v>
      </c>
      <c r="AF199" s="2">
        <f t="shared" si="120"/>
        <v>411334</v>
      </c>
      <c r="AG199" s="24" t="s">
        <v>41</v>
      </c>
      <c r="AH199" s="34" t="s">
        <v>745</v>
      </c>
      <c r="AI199" s="35">
        <v>288582.45</v>
      </c>
      <c r="AJ199" s="36">
        <v>44136.13</v>
      </c>
      <c r="AK199" s="28">
        <f t="shared" si="121"/>
        <v>61051.450000000012</v>
      </c>
      <c r="AL199" s="28">
        <f t="shared" si="122"/>
        <v>9337.2900000000009</v>
      </c>
      <c r="AM199" s="29">
        <f t="shared" si="123"/>
        <v>0.82538463804568152</v>
      </c>
    </row>
    <row r="200" spans="1:39" ht="192" customHeight="1" x14ac:dyDescent="0.25">
      <c r="A200" s="10">
        <v>197</v>
      </c>
      <c r="B200" s="37">
        <v>126118</v>
      </c>
      <c r="C200" s="20">
        <v>530</v>
      </c>
      <c r="D200" s="15" t="s">
        <v>736</v>
      </c>
      <c r="E200" s="14" t="s">
        <v>65</v>
      </c>
      <c r="F200" s="32" t="s">
        <v>746</v>
      </c>
      <c r="G200" s="32" t="s">
        <v>747</v>
      </c>
      <c r="H200" s="20" t="s">
        <v>132</v>
      </c>
      <c r="I200" s="16" t="s">
        <v>748</v>
      </c>
      <c r="J200" s="30">
        <v>43447</v>
      </c>
      <c r="K200" s="30">
        <v>44117</v>
      </c>
      <c r="L200" s="31">
        <f t="shared" si="116"/>
        <v>85.000000836129914</v>
      </c>
      <c r="M200" s="20">
        <v>3</v>
      </c>
      <c r="N200" s="20" t="s">
        <v>743</v>
      </c>
      <c r="O200" s="20" t="s">
        <v>743</v>
      </c>
      <c r="P200" s="32" t="s">
        <v>39</v>
      </c>
      <c r="Q200" s="20" t="s">
        <v>40</v>
      </c>
      <c r="R200" s="33">
        <f t="shared" si="117"/>
        <v>813270.76</v>
      </c>
      <c r="S200" s="64">
        <v>813270.76</v>
      </c>
      <c r="T200" s="64">
        <v>0</v>
      </c>
      <c r="U200" s="33">
        <f t="shared" si="114"/>
        <v>124382.58</v>
      </c>
      <c r="V200" s="64">
        <v>124382.58</v>
      </c>
      <c r="W200" s="64">
        <v>0</v>
      </c>
      <c r="X200" s="33">
        <f t="shared" si="115"/>
        <v>19135.78</v>
      </c>
      <c r="Y200" s="64">
        <v>19135.78</v>
      </c>
      <c r="Z200" s="64">
        <v>0</v>
      </c>
      <c r="AA200" s="2">
        <f t="shared" si="118"/>
        <v>0</v>
      </c>
      <c r="AB200" s="2">
        <v>0</v>
      </c>
      <c r="AC200" s="2">
        <v>0</v>
      </c>
      <c r="AD200" s="2">
        <f t="shared" si="119"/>
        <v>956789.12</v>
      </c>
      <c r="AE200" s="39"/>
      <c r="AF200" s="2">
        <f t="shared" si="120"/>
        <v>956789.12</v>
      </c>
      <c r="AG200" s="39" t="s">
        <v>69</v>
      </c>
      <c r="AH200" s="39"/>
      <c r="AI200" s="35">
        <v>92794.07</v>
      </c>
      <c r="AJ200" s="36">
        <v>14192.040000000005</v>
      </c>
      <c r="AK200" s="28">
        <f t="shared" si="121"/>
        <v>720476.69</v>
      </c>
      <c r="AL200" s="28">
        <f t="shared" si="122"/>
        <v>110190.54</v>
      </c>
      <c r="AM200" s="29">
        <f t="shared" si="123"/>
        <v>0.11409984787846056</v>
      </c>
    </row>
    <row r="201" spans="1:39" ht="192" customHeight="1" x14ac:dyDescent="0.25">
      <c r="A201" s="10">
        <v>198</v>
      </c>
      <c r="B201" s="37">
        <v>129759</v>
      </c>
      <c r="C201" s="20">
        <v>675</v>
      </c>
      <c r="D201" s="15" t="s">
        <v>736</v>
      </c>
      <c r="E201" s="14" t="s">
        <v>79</v>
      </c>
      <c r="F201" s="32" t="s">
        <v>749</v>
      </c>
      <c r="G201" s="32" t="s">
        <v>750</v>
      </c>
      <c r="H201" s="20" t="s">
        <v>132</v>
      </c>
      <c r="I201" s="16" t="s">
        <v>751</v>
      </c>
      <c r="J201" s="30">
        <v>43622</v>
      </c>
      <c r="K201" s="30">
        <v>44261</v>
      </c>
      <c r="L201" s="31">
        <f t="shared" si="116"/>
        <v>85.000000231937065</v>
      </c>
      <c r="M201" s="20">
        <v>3</v>
      </c>
      <c r="N201" s="20" t="s">
        <v>743</v>
      </c>
      <c r="O201" s="20" t="s">
        <v>743</v>
      </c>
      <c r="P201" s="32" t="s">
        <v>39</v>
      </c>
      <c r="Q201" s="20" t="s">
        <v>40</v>
      </c>
      <c r="R201" s="33">
        <f t="shared" si="117"/>
        <v>3298308.61</v>
      </c>
      <c r="S201" s="64">
        <v>3298308.61</v>
      </c>
      <c r="T201" s="64">
        <v>0</v>
      </c>
      <c r="U201" s="116">
        <f t="shared" si="114"/>
        <v>504447.19</v>
      </c>
      <c r="V201" s="64">
        <v>504447.19</v>
      </c>
      <c r="W201" s="64">
        <v>0</v>
      </c>
      <c r="X201" s="33">
        <f t="shared" si="115"/>
        <v>77607.259999999995</v>
      </c>
      <c r="Y201" s="64">
        <v>77607.259999999995</v>
      </c>
      <c r="Z201" s="64">
        <v>0</v>
      </c>
      <c r="AA201" s="2">
        <f t="shared" si="118"/>
        <v>0</v>
      </c>
      <c r="AB201" s="2">
        <v>0</v>
      </c>
      <c r="AC201" s="2">
        <v>0</v>
      </c>
      <c r="AD201" s="2">
        <f t="shared" si="119"/>
        <v>3880363.0599999996</v>
      </c>
      <c r="AE201" s="39"/>
      <c r="AF201" s="2">
        <f t="shared" si="120"/>
        <v>3880363.0599999996</v>
      </c>
      <c r="AG201" s="39" t="s">
        <v>69</v>
      </c>
      <c r="AH201" s="39"/>
      <c r="AI201" s="35">
        <v>350262.31</v>
      </c>
      <c r="AJ201" s="36">
        <f>13345.6+16884.01+7544.38</f>
        <v>37773.99</v>
      </c>
      <c r="AK201" s="28">
        <f t="shared" si="121"/>
        <v>2948046.3</v>
      </c>
      <c r="AL201" s="28">
        <f t="shared" si="122"/>
        <v>466673.2</v>
      </c>
      <c r="AM201" s="29">
        <f t="shared" si="123"/>
        <v>0.10619452313772422</v>
      </c>
    </row>
    <row r="202" spans="1:39" ht="192" customHeight="1" x14ac:dyDescent="0.25">
      <c r="A202" s="10">
        <v>199</v>
      </c>
      <c r="B202" s="37">
        <v>129754</v>
      </c>
      <c r="C202" s="20">
        <v>674</v>
      </c>
      <c r="D202" s="15" t="s">
        <v>736</v>
      </c>
      <c r="E202" s="14" t="s">
        <v>79</v>
      </c>
      <c r="F202" s="32" t="s">
        <v>752</v>
      </c>
      <c r="G202" s="32" t="s">
        <v>747</v>
      </c>
      <c r="H202" s="20" t="s">
        <v>132</v>
      </c>
      <c r="I202" s="16" t="s">
        <v>753</v>
      </c>
      <c r="J202" s="30">
        <v>43634</v>
      </c>
      <c r="K202" s="30">
        <v>44245</v>
      </c>
      <c r="L202" s="31">
        <f t="shared" si="116"/>
        <v>85.000000138264667</v>
      </c>
      <c r="M202" s="20">
        <v>3</v>
      </c>
      <c r="N202" s="20" t="s">
        <v>743</v>
      </c>
      <c r="O202" s="20" t="s">
        <v>743</v>
      </c>
      <c r="P202" s="32" t="s">
        <v>39</v>
      </c>
      <c r="Q202" s="20" t="s">
        <v>40</v>
      </c>
      <c r="R202" s="116">
        <f t="shared" si="117"/>
        <v>2459052.1800000002</v>
      </c>
      <c r="S202" s="52">
        <v>2459052.1800000002</v>
      </c>
      <c r="T202" s="117">
        <v>0</v>
      </c>
      <c r="U202" s="33">
        <f t="shared" si="114"/>
        <v>376090.33</v>
      </c>
      <c r="V202" s="64">
        <v>376090.33</v>
      </c>
      <c r="W202" s="64">
        <v>0</v>
      </c>
      <c r="X202" s="33">
        <f t="shared" si="115"/>
        <v>57860.05</v>
      </c>
      <c r="Y202" s="64">
        <v>57860.05</v>
      </c>
      <c r="Z202" s="64">
        <v>0</v>
      </c>
      <c r="AA202" s="2">
        <f t="shared" si="118"/>
        <v>0</v>
      </c>
      <c r="AB202" s="2">
        <v>0</v>
      </c>
      <c r="AC202" s="2">
        <v>0</v>
      </c>
      <c r="AD202" s="2">
        <f t="shared" si="119"/>
        <v>2893002.56</v>
      </c>
      <c r="AE202" s="39">
        <v>0</v>
      </c>
      <c r="AF202" s="2">
        <f t="shared" si="120"/>
        <v>2893002.56</v>
      </c>
      <c r="AG202" s="39" t="s">
        <v>69</v>
      </c>
      <c r="AH202" s="39"/>
      <c r="AI202" s="35">
        <v>102987.97</v>
      </c>
      <c r="AJ202" s="36">
        <v>15751.1</v>
      </c>
      <c r="AK202" s="28">
        <f t="shared" si="121"/>
        <v>2356064.21</v>
      </c>
      <c r="AL202" s="28">
        <f t="shared" si="122"/>
        <v>360339.23000000004</v>
      </c>
      <c r="AM202" s="29">
        <f t="shared" si="123"/>
        <v>4.1881164961696742E-2</v>
      </c>
    </row>
    <row r="203" spans="1:39" ht="192" customHeight="1" x14ac:dyDescent="0.25">
      <c r="A203" s="10">
        <v>200</v>
      </c>
      <c r="B203" s="37">
        <v>119235</v>
      </c>
      <c r="C203" s="20">
        <v>479</v>
      </c>
      <c r="D203" s="20" t="s">
        <v>47</v>
      </c>
      <c r="E203" s="14" t="s">
        <v>48</v>
      </c>
      <c r="F203" s="15" t="s">
        <v>754</v>
      </c>
      <c r="G203" s="20" t="s">
        <v>755</v>
      </c>
      <c r="H203" s="20" t="s">
        <v>35</v>
      </c>
      <c r="I203" s="15" t="s">
        <v>756</v>
      </c>
      <c r="J203" s="30">
        <v>43276</v>
      </c>
      <c r="K203" s="30">
        <v>43702</v>
      </c>
      <c r="L203" s="31">
        <f t="shared" si="116"/>
        <v>84.999999139224727</v>
      </c>
      <c r="M203" s="32">
        <v>5</v>
      </c>
      <c r="N203" s="32" t="s">
        <v>757</v>
      </c>
      <c r="O203" s="32" t="s">
        <v>758</v>
      </c>
      <c r="P203" s="32" t="s">
        <v>39</v>
      </c>
      <c r="Q203" s="32" t="s">
        <v>293</v>
      </c>
      <c r="R203" s="33">
        <f t="shared" si="117"/>
        <v>246870.47</v>
      </c>
      <c r="S203" s="35">
        <v>246870.47</v>
      </c>
      <c r="T203" s="64">
        <v>0</v>
      </c>
      <c r="U203" s="33">
        <f t="shared" si="114"/>
        <v>37756.660000000003</v>
      </c>
      <c r="V203" s="35">
        <v>37756.660000000003</v>
      </c>
      <c r="W203" s="64">
        <v>0</v>
      </c>
      <c r="X203" s="33">
        <f t="shared" si="115"/>
        <v>5808.72</v>
      </c>
      <c r="Y203" s="35">
        <v>5808.72</v>
      </c>
      <c r="Z203" s="64">
        <v>0</v>
      </c>
      <c r="AA203" s="2">
        <f t="shared" si="118"/>
        <v>0</v>
      </c>
      <c r="AB203" s="118">
        <v>0</v>
      </c>
      <c r="AC203" s="118">
        <v>0</v>
      </c>
      <c r="AD203" s="2">
        <f t="shared" si="119"/>
        <v>290435.84999999998</v>
      </c>
      <c r="AE203" s="39"/>
      <c r="AF203" s="2">
        <f t="shared" si="120"/>
        <v>290435.84999999998</v>
      </c>
      <c r="AG203" s="24" t="s">
        <v>41</v>
      </c>
      <c r="AH203" s="70" t="s">
        <v>46</v>
      </c>
      <c r="AI203" s="35">
        <v>202756.04</v>
      </c>
      <c r="AJ203" s="36">
        <v>31009.739999999998</v>
      </c>
      <c r="AK203" s="28">
        <f t="shared" si="121"/>
        <v>44114.429999999993</v>
      </c>
      <c r="AL203" s="28">
        <f t="shared" si="122"/>
        <v>6746.9200000000055</v>
      </c>
      <c r="AM203" s="29">
        <f t="shared" si="123"/>
        <v>0.8213053590411199</v>
      </c>
    </row>
    <row r="204" spans="1:39" ht="192" customHeight="1" x14ac:dyDescent="0.25">
      <c r="A204" s="10">
        <v>201</v>
      </c>
      <c r="B204" s="37">
        <v>119160</v>
      </c>
      <c r="C204" s="20">
        <v>482</v>
      </c>
      <c r="D204" s="20" t="s">
        <v>47</v>
      </c>
      <c r="E204" s="14" t="s">
        <v>48</v>
      </c>
      <c r="F204" s="15" t="s">
        <v>759</v>
      </c>
      <c r="G204" s="15" t="s">
        <v>760</v>
      </c>
      <c r="H204" s="20" t="s">
        <v>35</v>
      </c>
      <c r="I204" s="15" t="s">
        <v>761</v>
      </c>
      <c r="J204" s="30">
        <v>43304</v>
      </c>
      <c r="K204" s="30">
        <v>43974</v>
      </c>
      <c r="L204" s="31">
        <f t="shared" si="116"/>
        <v>84.99999840000666</v>
      </c>
      <c r="M204" s="32">
        <v>5</v>
      </c>
      <c r="N204" s="32" t="s">
        <v>757</v>
      </c>
      <c r="O204" s="32" t="s">
        <v>762</v>
      </c>
      <c r="P204" s="32" t="s">
        <v>39</v>
      </c>
      <c r="Q204" s="20" t="s">
        <v>40</v>
      </c>
      <c r="R204" s="33">
        <f t="shared" si="117"/>
        <v>212500.88</v>
      </c>
      <c r="S204" s="35">
        <v>212500.88</v>
      </c>
      <c r="T204" s="64">
        <v>0</v>
      </c>
      <c r="U204" s="33">
        <f t="shared" si="114"/>
        <v>32500.1</v>
      </c>
      <c r="V204" s="39">
        <v>32500.1</v>
      </c>
      <c r="W204" s="64">
        <v>0</v>
      </c>
      <c r="X204" s="33">
        <f t="shared" si="115"/>
        <v>5000.0600000000004</v>
      </c>
      <c r="Y204" s="35">
        <v>5000.0600000000004</v>
      </c>
      <c r="Z204" s="64">
        <v>0</v>
      </c>
      <c r="AA204" s="2">
        <f t="shared" si="118"/>
        <v>0</v>
      </c>
      <c r="AB204" s="2">
        <v>0</v>
      </c>
      <c r="AC204" s="2">
        <v>0</v>
      </c>
      <c r="AD204" s="2">
        <f t="shared" si="119"/>
        <v>250001.04</v>
      </c>
      <c r="AE204" s="39"/>
      <c r="AF204" s="2">
        <f t="shared" si="120"/>
        <v>250001.04</v>
      </c>
      <c r="AG204" s="39" t="s">
        <v>69</v>
      </c>
      <c r="AH204" s="70" t="s">
        <v>763</v>
      </c>
      <c r="AI204" s="35">
        <v>136389.47999999998</v>
      </c>
      <c r="AJ204" s="36">
        <v>20859.59</v>
      </c>
      <c r="AK204" s="28">
        <f t="shared" si="121"/>
        <v>76111.400000000023</v>
      </c>
      <c r="AL204" s="28">
        <f t="shared" si="122"/>
        <v>11640.509999999998</v>
      </c>
      <c r="AM204" s="29">
        <f t="shared" si="123"/>
        <v>0.64183018912674605</v>
      </c>
    </row>
    <row r="205" spans="1:39" ht="192" customHeight="1" x14ac:dyDescent="0.25">
      <c r="A205" s="10">
        <v>202</v>
      </c>
      <c r="B205" s="37">
        <v>117063</v>
      </c>
      <c r="C205" s="20">
        <v>411</v>
      </c>
      <c r="D205" s="15" t="s">
        <v>54</v>
      </c>
      <c r="E205" s="14" t="s">
        <v>55</v>
      </c>
      <c r="F205" s="15" t="s">
        <v>764</v>
      </c>
      <c r="G205" s="20" t="s">
        <v>760</v>
      </c>
      <c r="H205" s="20" t="s">
        <v>35</v>
      </c>
      <c r="I205" s="15" t="s">
        <v>765</v>
      </c>
      <c r="J205" s="30">
        <v>43313</v>
      </c>
      <c r="K205" s="30">
        <v>43800</v>
      </c>
      <c r="L205" s="31">
        <f t="shared" si="116"/>
        <v>85</v>
      </c>
      <c r="M205" s="20">
        <v>5</v>
      </c>
      <c r="N205" s="20" t="s">
        <v>757</v>
      </c>
      <c r="O205" s="20" t="s">
        <v>762</v>
      </c>
      <c r="P205" s="20" t="s">
        <v>39</v>
      </c>
      <c r="Q205" s="20" t="s">
        <v>293</v>
      </c>
      <c r="R205" s="33">
        <f t="shared" si="117"/>
        <v>213015.1</v>
      </c>
      <c r="S205" s="41">
        <v>213015.1</v>
      </c>
      <c r="T205" s="41">
        <v>0</v>
      </c>
      <c r="U205" s="33">
        <f t="shared" si="114"/>
        <v>32578.78</v>
      </c>
      <c r="V205" s="41">
        <v>32578.78</v>
      </c>
      <c r="W205" s="64">
        <v>0</v>
      </c>
      <c r="X205" s="33">
        <f t="shared" si="115"/>
        <v>5012.12</v>
      </c>
      <c r="Y205" s="35">
        <v>5012.12</v>
      </c>
      <c r="Z205" s="35">
        <v>0</v>
      </c>
      <c r="AA205" s="2">
        <f t="shared" si="118"/>
        <v>0</v>
      </c>
      <c r="AB205" s="2">
        <v>0</v>
      </c>
      <c r="AC205" s="2">
        <v>0</v>
      </c>
      <c r="AD205" s="2">
        <f t="shared" si="119"/>
        <v>250606</v>
      </c>
      <c r="AE205" s="39"/>
      <c r="AF205" s="2">
        <f t="shared" si="120"/>
        <v>250606</v>
      </c>
      <c r="AG205" s="24" t="s">
        <v>41</v>
      </c>
      <c r="AH205" s="39" t="s">
        <v>766</v>
      </c>
      <c r="AI205" s="110">
        <v>148385.51999999999</v>
      </c>
      <c r="AJ205" s="111">
        <v>22694.260000000002</v>
      </c>
      <c r="AK205" s="28">
        <f t="shared" si="121"/>
        <v>64629.580000000016</v>
      </c>
      <c r="AL205" s="28">
        <f t="shared" si="122"/>
        <v>9884.5199999999968</v>
      </c>
      <c r="AM205" s="29">
        <f t="shared" si="123"/>
        <v>0.69659625068833142</v>
      </c>
    </row>
    <row r="206" spans="1:39" ht="192" customHeight="1" x14ac:dyDescent="0.25">
      <c r="A206" s="10">
        <v>203</v>
      </c>
      <c r="B206" s="37">
        <v>126522</v>
      </c>
      <c r="C206" s="20">
        <v>554</v>
      </c>
      <c r="D206" s="15" t="s">
        <v>736</v>
      </c>
      <c r="E206" s="14" t="s">
        <v>65</v>
      </c>
      <c r="F206" s="53" t="s">
        <v>767</v>
      </c>
      <c r="G206" s="20" t="s">
        <v>768</v>
      </c>
      <c r="H206" s="20" t="s">
        <v>35</v>
      </c>
      <c r="I206" s="15" t="s">
        <v>769</v>
      </c>
      <c r="J206" s="30">
        <v>43556</v>
      </c>
      <c r="K206" s="30">
        <v>44440</v>
      </c>
      <c r="L206" s="31">
        <f t="shared" si="116"/>
        <v>85.0000001266326</v>
      </c>
      <c r="M206" s="20">
        <v>5</v>
      </c>
      <c r="N206" s="20" t="s">
        <v>757</v>
      </c>
      <c r="O206" s="20" t="s">
        <v>758</v>
      </c>
      <c r="P206" s="20" t="s">
        <v>39</v>
      </c>
      <c r="Q206" s="20" t="s">
        <v>293</v>
      </c>
      <c r="R206" s="33">
        <f t="shared" si="117"/>
        <v>3356165.93</v>
      </c>
      <c r="S206" s="41">
        <v>3356165.93</v>
      </c>
      <c r="T206" s="41">
        <v>0</v>
      </c>
      <c r="U206" s="33">
        <f t="shared" si="114"/>
        <v>513295.96</v>
      </c>
      <c r="V206" s="41">
        <v>513295.96</v>
      </c>
      <c r="W206" s="64">
        <v>0</v>
      </c>
      <c r="X206" s="33">
        <f t="shared" si="115"/>
        <v>78968.61</v>
      </c>
      <c r="Y206" s="35">
        <v>78968.61</v>
      </c>
      <c r="Z206" s="35">
        <v>0</v>
      </c>
      <c r="AA206" s="2">
        <v>0</v>
      </c>
      <c r="AB206" s="2">
        <v>0</v>
      </c>
      <c r="AC206" s="2">
        <v>0</v>
      </c>
      <c r="AD206" s="2">
        <f t="shared" si="119"/>
        <v>3948430.5</v>
      </c>
      <c r="AE206" s="39"/>
      <c r="AF206" s="2">
        <f t="shared" si="120"/>
        <v>3948430.5</v>
      </c>
      <c r="AG206" s="39" t="s">
        <v>69</v>
      </c>
      <c r="AH206" s="39"/>
      <c r="AI206" s="110">
        <v>129133.70000000001</v>
      </c>
      <c r="AJ206" s="111">
        <v>19749.870000000003</v>
      </c>
      <c r="AK206" s="28">
        <f t="shared" si="121"/>
        <v>3227032.23</v>
      </c>
      <c r="AL206" s="28">
        <f t="shared" si="122"/>
        <v>493546.09</v>
      </c>
      <c r="AM206" s="29">
        <f t="shared" si="123"/>
        <v>3.8476554107680846E-2</v>
      </c>
    </row>
    <row r="207" spans="1:39" ht="192" customHeight="1" x14ac:dyDescent="0.25">
      <c r="A207" s="10">
        <v>204</v>
      </c>
      <c r="B207" s="37">
        <v>119289</v>
      </c>
      <c r="C207" s="20">
        <v>484</v>
      </c>
      <c r="D207" s="20" t="s">
        <v>47</v>
      </c>
      <c r="E207" s="14" t="s">
        <v>48</v>
      </c>
      <c r="F207" s="15" t="s">
        <v>770</v>
      </c>
      <c r="G207" s="15" t="s">
        <v>771</v>
      </c>
      <c r="H207" s="20" t="s">
        <v>46</v>
      </c>
      <c r="I207" s="55" t="s">
        <v>772</v>
      </c>
      <c r="J207" s="30">
        <v>43271</v>
      </c>
      <c r="K207" s="30">
        <v>43941</v>
      </c>
      <c r="L207" s="31">
        <f t="shared" si="116"/>
        <v>85.000003319296809</v>
      </c>
      <c r="M207" s="20">
        <v>3</v>
      </c>
      <c r="N207" s="20" t="s">
        <v>773</v>
      </c>
      <c r="O207" s="20" t="s">
        <v>774</v>
      </c>
      <c r="P207" s="20" t="s">
        <v>39</v>
      </c>
      <c r="Q207" s="20" t="s">
        <v>293</v>
      </c>
      <c r="R207" s="33">
        <f t="shared" si="117"/>
        <v>332901.85000000009</v>
      </c>
      <c r="S207" s="42">
        <v>332901.85000000009</v>
      </c>
      <c r="T207" s="42">
        <v>0</v>
      </c>
      <c r="U207" s="33">
        <f t="shared" si="114"/>
        <v>50914.380000000005</v>
      </c>
      <c r="V207" s="42">
        <v>50914.380000000005</v>
      </c>
      <c r="W207" s="42">
        <v>0</v>
      </c>
      <c r="X207" s="33">
        <f t="shared" si="115"/>
        <v>7832.9900000000016</v>
      </c>
      <c r="Y207" s="35">
        <v>7832.9900000000016</v>
      </c>
      <c r="Z207" s="35">
        <v>0</v>
      </c>
      <c r="AA207" s="2">
        <f t="shared" ref="AA207:AA213" si="124">AB207+AC207</f>
        <v>0</v>
      </c>
      <c r="AB207" s="41">
        <v>0</v>
      </c>
      <c r="AC207" s="41">
        <v>0</v>
      </c>
      <c r="AD207" s="2">
        <f t="shared" si="119"/>
        <v>391649.22000000009</v>
      </c>
      <c r="AE207" s="42">
        <f>1018.08+193.44</f>
        <v>1211.52</v>
      </c>
      <c r="AF207" s="2">
        <f t="shared" si="120"/>
        <v>392860.74000000011</v>
      </c>
      <c r="AG207" s="39" t="s">
        <v>41</v>
      </c>
      <c r="AH207" s="39" t="s">
        <v>775</v>
      </c>
      <c r="AI207" s="110">
        <v>184371.13</v>
      </c>
      <c r="AJ207" s="36">
        <v>28197.95</v>
      </c>
      <c r="AK207" s="28">
        <f t="shared" si="121"/>
        <v>148530.72000000009</v>
      </c>
      <c r="AL207" s="28">
        <f t="shared" si="122"/>
        <v>22716.430000000004</v>
      </c>
      <c r="AM207" s="29">
        <f t="shared" si="123"/>
        <v>0.55383029562617314</v>
      </c>
    </row>
    <row r="208" spans="1:39" ht="192" customHeight="1" x14ac:dyDescent="0.25">
      <c r="A208" s="10">
        <v>205</v>
      </c>
      <c r="B208" s="37">
        <v>118717</v>
      </c>
      <c r="C208" s="20">
        <v>435</v>
      </c>
      <c r="D208" s="15" t="s">
        <v>54</v>
      </c>
      <c r="E208" s="14" t="s">
        <v>55</v>
      </c>
      <c r="F208" s="15" t="s">
        <v>776</v>
      </c>
      <c r="G208" s="20" t="s">
        <v>771</v>
      </c>
      <c r="H208" s="20" t="s">
        <v>46</v>
      </c>
      <c r="I208" s="16" t="s">
        <v>777</v>
      </c>
      <c r="J208" s="30">
        <v>43333</v>
      </c>
      <c r="K208" s="30">
        <v>43790</v>
      </c>
      <c r="L208" s="31">
        <f t="shared" si="116"/>
        <v>84.999995136543049</v>
      </c>
      <c r="M208" s="20">
        <v>3</v>
      </c>
      <c r="N208" s="20" t="s">
        <v>773</v>
      </c>
      <c r="O208" s="20" t="s">
        <v>774</v>
      </c>
      <c r="P208" s="20" t="s">
        <v>39</v>
      </c>
      <c r="Q208" s="20" t="s">
        <v>293</v>
      </c>
      <c r="R208" s="33">
        <f t="shared" si="117"/>
        <v>227204.63</v>
      </c>
      <c r="S208" s="41">
        <v>227204.63</v>
      </c>
      <c r="T208" s="42">
        <v>0</v>
      </c>
      <c r="U208" s="33">
        <f t="shared" si="114"/>
        <v>34748.959999999999</v>
      </c>
      <c r="V208" s="41">
        <v>34748.959999999999</v>
      </c>
      <c r="W208" s="64">
        <v>0</v>
      </c>
      <c r="X208" s="33">
        <f t="shared" si="115"/>
        <v>5345.99</v>
      </c>
      <c r="Y208" s="35">
        <v>5345.99</v>
      </c>
      <c r="Z208" s="35">
        <v>0</v>
      </c>
      <c r="AA208" s="2">
        <f t="shared" si="124"/>
        <v>0</v>
      </c>
      <c r="AB208" s="2">
        <v>0</v>
      </c>
      <c r="AC208" s="2">
        <v>0</v>
      </c>
      <c r="AD208" s="2">
        <f t="shared" si="119"/>
        <v>267299.58</v>
      </c>
      <c r="AE208" s="39">
        <v>37391</v>
      </c>
      <c r="AF208" s="2">
        <f t="shared" si="120"/>
        <v>304690.58</v>
      </c>
      <c r="AG208" s="24" t="s">
        <v>41</v>
      </c>
      <c r="AH208" s="39" t="s">
        <v>778</v>
      </c>
      <c r="AI208" s="110">
        <v>209499.62</v>
      </c>
      <c r="AJ208" s="111">
        <v>32041.13</v>
      </c>
      <c r="AK208" s="28">
        <f t="shared" si="121"/>
        <v>17705.010000000009</v>
      </c>
      <c r="AL208" s="28">
        <f t="shared" si="122"/>
        <v>2707.8299999999981</v>
      </c>
      <c r="AM208" s="29">
        <f t="shared" si="123"/>
        <v>0.92207460737045721</v>
      </c>
    </row>
    <row r="209" spans="1:39" ht="192" customHeight="1" x14ac:dyDescent="0.25">
      <c r="A209" s="10">
        <v>206</v>
      </c>
      <c r="B209" s="37">
        <v>129688</v>
      </c>
      <c r="C209" s="20">
        <v>686</v>
      </c>
      <c r="D209" s="15" t="s">
        <v>31</v>
      </c>
      <c r="E209" s="14" t="s">
        <v>79</v>
      </c>
      <c r="F209" s="15" t="s">
        <v>779</v>
      </c>
      <c r="G209" s="20" t="s">
        <v>780</v>
      </c>
      <c r="H209" s="20" t="s">
        <v>46</v>
      </c>
      <c r="I209" s="16" t="s">
        <v>781</v>
      </c>
      <c r="J209" s="30">
        <v>43614</v>
      </c>
      <c r="K209" s="30">
        <v>44345</v>
      </c>
      <c r="L209" s="31">
        <f t="shared" si="116"/>
        <v>84.999999952929599</v>
      </c>
      <c r="M209" s="20">
        <v>3</v>
      </c>
      <c r="N209" s="20" t="s">
        <v>773</v>
      </c>
      <c r="O209" s="20" t="s">
        <v>774</v>
      </c>
      <c r="P209" s="20" t="s">
        <v>39</v>
      </c>
      <c r="Q209" s="20" t="s">
        <v>293</v>
      </c>
      <c r="R209" s="33">
        <f t="shared" si="117"/>
        <v>2708708.76</v>
      </c>
      <c r="S209" s="41">
        <v>2708708.76</v>
      </c>
      <c r="T209" s="42">
        <v>0</v>
      </c>
      <c r="U209" s="33">
        <f t="shared" si="114"/>
        <v>414273.1</v>
      </c>
      <c r="V209" s="41">
        <v>414273.1</v>
      </c>
      <c r="W209" s="64">
        <v>0</v>
      </c>
      <c r="X209" s="33">
        <f t="shared" si="115"/>
        <v>63734.33</v>
      </c>
      <c r="Y209" s="35">
        <v>63734.33</v>
      </c>
      <c r="Z209" s="35">
        <v>0</v>
      </c>
      <c r="AA209" s="2">
        <f t="shared" si="124"/>
        <v>0</v>
      </c>
      <c r="AB209" s="35">
        <v>0</v>
      </c>
      <c r="AC209" s="35">
        <v>0</v>
      </c>
      <c r="AD209" s="2">
        <f t="shared" si="119"/>
        <v>3186716.19</v>
      </c>
      <c r="AE209" s="39">
        <v>0</v>
      </c>
      <c r="AF209" s="2">
        <f t="shared" si="120"/>
        <v>3186716.19</v>
      </c>
      <c r="AG209" s="39" t="s">
        <v>69</v>
      </c>
      <c r="AH209" s="39"/>
      <c r="AI209" s="35">
        <v>120014.5</v>
      </c>
      <c r="AJ209" s="36">
        <f>18355.16</f>
        <v>18355.16</v>
      </c>
      <c r="AK209" s="28">
        <f t="shared" si="121"/>
        <v>2588694.2599999998</v>
      </c>
      <c r="AL209" s="28">
        <f t="shared" si="122"/>
        <v>395917.94</v>
      </c>
      <c r="AM209" s="29">
        <f t="shared" si="123"/>
        <v>4.4306904371660842E-2</v>
      </c>
    </row>
    <row r="210" spans="1:39" ht="192" customHeight="1" x14ac:dyDescent="0.25">
      <c r="A210" s="10">
        <v>207</v>
      </c>
      <c r="B210" s="37">
        <v>119720</v>
      </c>
      <c r="C210" s="20">
        <v>481</v>
      </c>
      <c r="D210" s="20" t="s">
        <v>47</v>
      </c>
      <c r="E210" s="14" t="s">
        <v>48</v>
      </c>
      <c r="F210" s="15" t="s">
        <v>782</v>
      </c>
      <c r="G210" s="15" t="s">
        <v>783</v>
      </c>
      <c r="H210" s="20" t="s">
        <v>46</v>
      </c>
      <c r="I210" s="55" t="s">
        <v>784</v>
      </c>
      <c r="J210" s="30">
        <v>43264</v>
      </c>
      <c r="K210" s="30">
        <v>44056</v>
      </c>
      <c r="L210" s="31">
        <f t="shared" si="116"/>
        <v>85.00000159999999</v>
      </c>
      <c r="M210" s="20">
        <v>3</v>
      </c>
      <c r="N210" s="20" t="s">
        <v>785</v>
      </c>
      <c r="O210" s="20" t="s">
        <v>786</v>
      </c>
      <c r="P210" s="20" t="s">
        <v>39</v>
      </c>
      <c r="Q210" s="20" t="s">
        <v>293</v>
      </c>
      <c r="R210" s="33">
        <f t="shared" si="117"/>
        <v>531250.01</v>
      </c>
      <c r="S210" s="42">
        <v>531250.01</v>
      </c>
      <c r="T210" s="42">
        <v>0</v>
      </c>
      <c r="U210" s="33">
        <f t="shared" si="114"/>
        <v>81249.989999999991</v>
      </c>
      <c r="V210" s="42">
        <v>81249.989999999991</v>
      </c>
      <c r="W210" s="42">
        <v>0</v>
      </c>
      <c r="X210" s="33">
        <f t="shared" si="115"/>
        <v>12500</v>
      </c>
      <c r="Y210" s="35">
        <v>12500</v>
      </c>
      <c r="Z210" s="35">
        <v>0</v>
      </c>
      <c r="AA210" s="2">
        <f t="shared" si="124"/>
        <v>0</v>
      </c>
      <c r="AB210" s="41">
        <v>0</v>
      </c>
      <c r="AC210" s="41">
        <v>0</v>
      </c>
      <c r="AD210" s="2">
        <f t="shared" si="119"/>
        <v>625000</v>
      </c>
      <c r="AE210" s="42">
        <v>19813.5</v>
      </c>
      <c r="AF210" s="2">
        <f t="shared" si="120"/>
        <v>644813.5</v>
      </c>
      <c r="AG210" s="39" t="s">
        <v>69</v>
      </c>
      <c r="AH210" s="39" t="s">
        <v>787</v>
      </c>
      <c r="AI210" s="110">
        <v>266726.48000000004</v>
      </c>
      <c r="AJ210" s="36">
        <v>40793.440000000002</v>
      </c>
      <c r="AK210" s="28">
        <f t="shared" si="121"/>
        <v>264523.52999999997</v>
      </c>
      <c r="AL210" s="28">
        <f t="shared" si="122"/>
        <v>40456.549999999988</v>
      </c>
      <c r="AM210" s="29">
        <f t="shared" si="123"/>
        <v>0.50207336466685437</v>
      </c>
    </row>
    <row r="211" spans="1:39" ht="192" customHeight="1" x14ac:dyDescent="0.25">
      <c r="A211" s="10">
        <v>208</v>
      </c>
      <c r="B211" s="37">
        <v>118770</v>
      </c>
      <c r="C211" s="20">
        <v>440</v>
      </c>
      <c r="D211" s="15" t="s">
        <v>54</v>
      </c>
      <c r="E211" s="14" t="s">
        <v>55</v>
      </c>
      <c r="F211" s="15" t="s">
        <v>788</v>
      </c>
      <c r="G211" s="20" t="s">
        <v>789</v>
      </c>
      <c r="H211" s="20" t="s">
        <v>35</v>
      </c>
      <c r="I211" s="15" t="s">
        <v>790</v>
      </c>
      <c r="J211" s="30">
        <v>43318</v>
      </c>
      <c r="K211" s="30">
        <v>43683</v>
      </c>
      <c r="L211" s="31">
        <f t="shared" si="116"/>
        <v>85</v>
      </c>
      <c r="M211" s="20">
        <v>3</v>
      </c>
      <c r="N211" s="20" t="s">
        <v>785</v>
      </c>
      <c r="O211" s="20" t="s">
        <v>791</v>
      </c>
      <c r="P211" s="20" t="s">
        <v>39</v>
      </c>
      <c r="Q211" s="20" t="s">
        <v>293</v>
      </c>
      <c r="R211" s="33">
        <f t="shared" si="117"/>
        <v>254981.3</v>
      </c>
      <c r="S211" s="35">
        <v>254981.3</v>
      </c>
      <c r="T211" s="41">
        <v>0</v>
      </c>
      <c r="U211" s="33">
        <f t="shared" si="114"/>
        <v>38997.14</v>
      </c>
      <c r="V211" s="35">
        <v>38997.14</v>
      </c>
      <c r="W211" s="41">
        <v>0</v>
      </c>
      <c r="X211" s="33">
        <f t="shared" si="115"/>
        <v>5999.56</v>
      </c>
      <c r="Y211" s="35">
        <v>5999.56</v>
      </c>
      <c r="Z211" s="35">
        <v>0</v>
      </c>
      <c r="AA211" s="2">
        <f t="shared" si="124"/>
        <v>0</v>
      </c>
      <c r="AB211" s="41">
        <v>0</v>
      </c>
      <c r="AC211" s="41">
        <v>0</v>
      </c>
      <c r="AD211" s="2">
        <f t="shared" si="119"/>
        <v>299978</v>
      </c>
      <c r="AE211" s="39">
        <v>0</v>
      </c>
      <c r="AF211" s="2">
        <f t="shared" si="120"/>
        <v>299978</v>
      </c>
      <c r="AG211" s="24" t="s">
        <v>41</v>
      </c>
      <c r="AH211" s="39" t="s">
        <v>792</v>
      </c>
      <c r="AI211" s="110">
        <v>213387.11000000002</v>
      </c>
      <c r="AJ211" s="111">
        <v>32635.670000000002</v>
      </c>
      <c r="AK211" s="28">
        <f t="shared" si="121"/>
        <v>41594.189999999973</v>
      </c>
      <c r="AL211" s="28">
        <f t="shared" si="122"/>
        <v>6361.4699999999975</v>
      </c>
      <c r="AM211" s="29">
        <f t="shared" si="123"/>
        <v>0.83687356680666392</v>
      </c>
    </row>
    <row r="212" spans="1:39" ht="192" customHeight="1" x14ac:dyDescent="0.25">
      <c r="A212" s="10">
        <v>209</v>
      </c>
      <c r="B212" s="37">
        <v>126498</v>
      </c>
      <c r="C212" s="20">
        <v>572</v>
      </c>
      <c r="D212" s="15" t="s">
        <v>31</v>
      </c>
      <c r="E212" s="14" t="s">
        <v>65</v>
      </c>
      <c r="F212" s="15" t="s">
        <v>793</v>
      </c>
      <c r="G212" s="20" t="s">
        <v>789</v>
      </c>
      <c r="H212" s="20" t="s">
        <v>35</v>
      </c>
      <c r="I212" s="15" t="s">
        <v>794</v>
      </c>
      <c r="J212" s="30">
        <v>43552</v>
      </c>
      <c r="K212" s="30">
        <v>44467</v>
      </c>
      <c r="L212" s="31">
        <f t="shared" si="116"/>
        <v>85.000000127055301</v>
      </c>
      <c r="M212" s="20">
        <v>3</v>
      </c>
      <c r="N212" s="20" t="s">
        <v>785</v>
      </c>
      <c r="O212" s="20" t="s">
        <v>791</v>
      </c>
      <c r="P212" s="20" t="s">
        <v>39</v>
      </c>
      <c r="Q212" s="20" t="s">
        <v>293</v>
      </c>
      <c r="R212" s="33">
        <f t="shared" si="117"/>
        <v>3345000.16</v>
      </c>
      <c r="S212" s="35">
        <v>3345000.16</v>
      </c>
      <c r="T212" s="41">
        <v>0</v>
      </c>
      <c r="U212" s="33">
        <f t="shared" si="114"/>
        <v>516462.97</v>
      </c>
      <c r="V212" s="35">
        <v>516462.97</v>
      </c>
      <c r="W212" s="41">
        <v>0</v>
      </c>
      <c r="X212" s="33">
        <f t="shared" si="115"/>
        <v>73831.17</v>
      </c>
      <c r="Y212" s="35">
        <v>73831.17</v>
      </c>
      <c r="Z212" s="35">
        <v>0</v>
      </c>
      <c r="AA212" s="2">
        <f t="shared" si="124"/>
        <v>0</v>
      </c>
      <c r="AB212" s="41">
        <v>0</v>
      </c>
      <c r="AC212" s="41">
        <v>0</v>
      </c>
      <c r="AD212" s="2">
        <f t="shared" si="119"/>
        <v>3935294.3</v>
      </c>
      <c r="AE212" s="39">
        <v>4974.2</v>
      </c>
      <c r="AF212" s="2">
        <f t="shared" si="120"/>
        <v>3940268.5</v>
      </c>
      <c r="AG212" s="39" t="s">
        <v>69</v>
      </c>
      <c r="AH212" s="39" t="s">
        <v>792</v>
      </c>
      <c r="AI212" s="110">
        <v>81729.2</v>
      </c>
      <c r="AJ212" s="111">
        <v>12499.76</v>
      </c>
      <c r="AK212" s="28">
        <f t="shared" si="121"/>
        <v>3263270.96</v>
      </c>
      <c r="AL212" s="28">
        <f t="shared" si="122"/>
        <v>503963.20999999996</v>
      </c>
      <c r="AM212" s="29">
        <f t="shared" si="123"/>
        <v>2.4433242478529505E-2</v>
      </c>
    </row>
    <row r="213" spans="1:39" ht="192" customHeight="1" x14ac:dyDescent="0.25">
      <c r="A213" s="10">
        <v>210</v>
      </c>
      <c r="B213" s="37">
        <v>126289</v>
      </c>
      <c r="C213" s="20">
        <v>492</v>
      </c>
      <c r="D213" s="15" t="s">
        <v>31</v>
      </c>
      <c r="E213" s="14" t="s">
        <v>65</v>
      </c>
      <c r="F213" s="15" t="s">
        <v>795</v>
      </c>
      <c r="G213" s="20" t="s">
        <v>796</v>
      </c>
      <c r="H213" s="20" t="s">
        <v>132</v>
      </c>
      <c r="I213" s="15" t="s">
        <v>797</v>
      </c>
      <c r="J213" s="30">
        <v>43563</v>
      </c>
      <c r="K213" s="30">
        <v>44477</v>
      </c>
      <c r="L213" s="31">
        <f t="shared" si="116"/>
        <v>85.000000203645214</v>
      </c>
      <c r="M213" s="20">
        <v>3</v>
      </c>
      <c r="N213" s="20" t="s">
        <v>785</v>
      </c>
      <c r="O213" s="20" t="s">
        <v>786</v>
      </c>
      <c r="P213" s="20" t="s">
        <v>39</v>
      </c>
      <c r="Q213" s="20" t="s">
        <v>40</v>
      </c>
      <c r="R213" s="33">
        <f t="shared" si="117"/>
        <v>2504355.21</v>
      </c>
      <c r="S213" s="2">
        <v>2504355.21</v>
      </c>
      <c r="T213" s="2">
        <v>0</v>
      </c>
      <c r="U213" s="33">
        <f t="shared" si="114"/>
        <v>383019.03</v>
      </c>
      <c r="V213" s="2">
        <v>383019.03</v>
      </c>
      <c r="W213" s="2">
        <v>0</v>
      </c>
      <c r="X213" s="33">
        <f t="shared" si="115"/>
        <v>58926</v>
      </c>
      <c r="Y213" s="2">
        <v>58926</v>
      </c>
      <c r="Z213" s="2">
        <v>0</v>
      </c>
      <c r="AA213" s="2">
        <f t="shared" si="124"/>
        <v>0</v>
      </c>
      <c r="AB213" s="2">
        <v>0</v>
      </c>
      <c r="AC213" s="2">
        <v>0</v>
      </c>
      <c r="AD213" s="2">
        <f t="shared" si="119"/>
        <v>2946300.24</v>
      </c>
      <c r="AE213" s="2">
        <v>3255.78</v>
      </c>
      <c r="AF213" s="2">
        <f t="shared" si="120"/>
        <v>2949556.02</v>
      </c>
      <c r="AG213" s="39" t="s">
        <v>69</v>
      </c>
      <c r="AH213" s="39"/>
      <c r="AI213" s="110">
        <v>4165.3599999999997</v>
      </c>
      <c r="AJ213" s="111">
        <v>637.04999999999995</v>
      </c>
      <c r="AK213" s="28">
        <f t="shared" si="121"/>
        <v>2500189.85</v>
      </c>
      <c r="AL213" s="28">
        <f t="shared" si="122"/>
        <v>382381.98000000004</v>
      </c>
      <c r="AM213" s="29">
        <f t="shared" si="123"/>
        <v>1.6632464849105808E-3</v>
      </c>
    </row>
    <row r="214" spans="1:39" ht="192" customHeight="1" x14ac:dyDescent="0.25">
      <c r="A214" s="10">
        <v>211</v>
      </c>
      <c r="B214" s="37">
        <v>120582</v>
      </c>
      <c r="C214" s="20">
        <v>109</v>
      </c>
      <c r="D214" s="15" t="s">
        <v>31</v>
      </c>
      <c r="E214" s="14" t="s">
        <v>32</v>
      </c>
      <c r="F214" s="15" t="s">
        <v>798</v>
      </c>
      <c r="G214" s="15" t="s">
        <v>799</v>
      </c>
      <c r="H214" s="20" t="s">
        <v>35</v>
      </c>
      <c r="I214" s="55" t="s">
        <v>800</v>
      </c>
      <c r="J214" s="30">
        <v>43129</v>
      </c>
      <c r="K214" s="30">
        <v>43675</v>
      </c>
      <c r="L214" s="31">
        <f t="shared" ref="L214:L221" si="125">R214/AD214*100</f>
        <v>85.000000819683009</v>
      </c>
      <c r="M214" s="20">
        <v>1</v>
      </c>
      <c r="N214" s="20" t="s">
        <v>801</v>
      </c>
      <c r="O214" s="20" t="s">
        <v>801</v>
      </c>
      <c r="P214" s="32" t="s">
        <v>39</v>
      </c>
      <c r="Q214" s="20" t="s">
        <v>40</v>
      </c>
      <c r="R214" s="2">
        <f t="shared" ref="R214:R221" si="126">S214+T214</f>
        <v>518493.12</v>
      </c>
      <c r="S214" s="2">
        <v>518493.12</v>
      </c>
      <c r="T214" s="2">
        <v>0</v>
      </c>
      <c r="U214" s="33">
        <f t="shared" ref="U214:U221" si="127">V214+W214</f>
        <v>79298.94</v>
      </c>
      <c r="V214" s="2">
        <v>79298.94</v>
      </c>
      <c r="W214" s="2">
        <v>0</v>
      </c>
      <c r="X214" s="2">
        <f t="shared" ref="X214:X221" si="128">Y214+Z214</f>
        <v>12199.84</v>
      </c>
      <c r="Y214" s="2">
        <v>12199.84</v>
      </c>
      <c r="Z214" s="2">
        <v>0</v>
      </c>
      <c r="AA214" s="2">
        <f t="shared" ref="AA214:AA221" si="129">AB214+AC214</f>
        <v>0</v>
      </c>
      <c r="AB214" s="2">
        <v>0</v>
      </c>
      <c r="AC214" s="2">
        <v>0</v>
      </c>
      <c r="AD214" s="2">
        <f t="shared" ref="AD214:AD221" si="130">R214+U214+X214+AA214</f>
        <v>609991.9</v>
      </c>
      <c r="AE214" s="2">
        <v>0</v>
      </c>
      <c r="AF214" s="2">
        <f t="shared" ref="AF214:AF221" si="131">AD214+AE214</f>
        <v>609991.9</v>
      </c>
      <c r="AG214" s="24" t="s">
        <v>41</v>
      </c>
      <c r="AH214" s="34" t="s">
        <v>802</v>
      </c>
      <c r="AI214" s="35">
        <v>460519.85000000003</v>
      </c>
      <c r="AJ214" s="36">
        <v>70432.44</v>
      </c>
      <c r="AK214" s="28">
        <f t="shared" si="121"/>
        <v>57973.26999999996</v>
      </c>
      <c r="AL214" s="28">
        <f t="shared" si="122"/>
        <v>8866.5</v>
      </c>
      <c r="AM214" s="29">
        <f t="shared" si="123"/>
        <v>0.88818893103152463</v>
      </c>
    </row>
    <row r="215" spans="1:39" ht="192" customHeight="1" x14ac:dyDescent="0.25">
      <c r="A215" s="10">
        <v>212</v>
      </c>
      <c r="B215" s="37">
        <v>120630</v>
      </c>
      <c r="C215" s="20">
        <v>101</v>
      </c>
      <c r="D215" s="15" t="s">
        <v>31</v>
      </c>
      <c r="E215" s="14" t="s">
        <v>32</v>
      </c>
      <c r="F215" s="15" t="s">
        <v>803</v>
      </c>
      <c r="G215" s="15" t="s">
        <v>804</v>
      </c>
      <c r="H215" s="20" t="s">
        <v>35</v>
      </c>
      <c r="I215" s="16" t="s">
        <v>805</v>
      </c>
      <c r="J215" s="30">
        <v>43145</v>
      </c>
      <c r="K215" s="30">
        <v>43630</v>
      </c>
      <c r="L215" s="31">
        <f t="shared" si="125"/>
        <v>85.000000236289679</v>
      </c>
      <c r="M215" s="20">
        <v>1</v>
      </c>
      <c r="N215" s="20" t="s">
        <v>801</v>
      </c>
      <c r="O215" s="20" t="s">
        <v>806</v>
      </c>
      <c r="P215" s="32" t="s">
        <v>39</v>
      </c>
      <c r="Q215" s="20" t="s">
        <v>40</v>
      </c>
      <c r="R215" s="2">
        <f t="shared" si="126"/>
        <v>359727.94</v>
      </c>
      <c r="S215" s="2">
        <v>359727.94</v>
      </c>
      <c r="T215" s="2">
        <v>0</v>
      </c>
      <c r="U215" s="33">
        <f t="shared" si="127"/>
        <v>55017.21</v>
      </c>
      <c r="V215" s="2">
        <v>55017.21</v>
      </c>
      <c r="W215" s="2">
        <v>0</v>
      </c>
      <c r="X215" s="2">
        <f t="shared" si="128"/>
        <v>8464.19</v>
      </c>
      <c r="Y215" s="2">
        <v>8464.19</v>
      </c>
      <c r="Z215" s="2">
        <v>0</v>
      </c>
      <c r="AA215" s="2">
        <f t="shared" si="129"/>
        <v>0</v>
      </c>
      <c r="AB215" s="2">
        <v>0</v>
      </c>
      <c r="AC215" s="2">
        <v>0</v>
      </c>
      <c r="AD215" s="2">
        <f t="shared" si="130"/>
        <v>423209.34</v>
      </c>
      <c r="AE215" s="2">
        <v>0</v>
      </c>
      <c r="AF215" s="2">
        <f t="shared" si="131"/>
        <v>423209.34</v>
      </c>
      <c r="AG215" s="24" t="s">
        <v>41</v>
      </c>
      <c r="AH215" s="34"/>
      <c r="AI215" s="35">
        <v>270648.24</v>
      </c>
      <c r="AJ215" s="36">
        <v>41393.249999999993</v>
      </c>
      <c r="AK215" s="28">
        <f t="shared" si="121"/>
        <v>89079.700000000012</v>
      </c>
      <c r="AL215" s="28">
        <f t="shared" si="122"/>
        <v>13623.960000000006</v>
      </c>
      <c r="AM215" s="29">
        <f t="shared" si="123"/>
        <v>0.75236924882732203</v>
      </c>
    </row>
    <row r="216" spans="1:39" ht="192" customHeight="1" x14ac:dyDescent="0.25">
      <c r="A216" s="10">
        <v>213</v>
      </c>
      <c r="B216" s="37">
        <v>120672</v>
      </c>
      <c r="C216" s="20">
        <v>106</v>
      </c>
      <c r="D216" s="15" t="s">
        <v>31</v>
      </c>
      <c r="E216" s="14" t="s">
        <v>32</v>
      </c>
      <c r="F216" s="15" t="s">
        <v>807</v>
      </c>
      <c r="G216" s="15" t="s">
        <v>808</v>
      </c>
      <c r="H216" s="20" t="s">
        <v>35</v>
      </c>
      <c r="I216" s="16" t="s">
        <v>809</v>
      </c>
      <c r="J216" s="30">
        <v>43145</v>
      </c>
      <c r="K216" s="30">
        <v>43630</v>
      </c>
      <c r="L216" s="31">
        <f t="shared" si="125"/>
        <v>84.999999174149096</v>
      </c>
      <c r="M216" s="20">
        <v>1</v>
      </c>
      <c r="N216" s="20" t="s">
        <v>801</v>
      </c>
      <c r="O216" s="20" t="s">
        <v>801</v>
      </c>
      <c r="P216" s="32" t="s">
        <v>39</v>
      </c>
      <c r="Q216" s="20" t="s">
        <v>40</v>
      </c>
      <c r="R216" s="2">
        <f t="shared" si="126"/>
        <v>360234.51</v>
      </c>
      <c r="S216" s="42">
        <v>360234.51</v>
      </c>
      <c r="T216" s="2">
        <v>0</v>
      </c>
      <c r="U216" s="33">
        <f t="shared" si="127"/>
        <v>55094.69</v>
      </c>
      <c r="V216" s="41">
        <v>55094.69</v>
      </c>
      <c r="W216" s="2">
        <v>0</v>
      </c>
      <c r="X216" s="59">
        <f t="shared" si="128"/>
        <v>8476.11</v>
      </c>
      <c r="Y216" s="42">
        <v>8476.11</v>
      </c>
      <c r="Z216" s="59">
        <v>0</v>
      </c>
      <c r="AA216" s="59">
        <f t="shared" si="129"/>
        <v>0</v>
      </c>
      <c r="AB216" s="2">
        <v>0</v>
      </c>
      <c r="AC216" s="2">
        <v>0</v>
      </c>
      <c r="AD216" s="2">
        <f t="shared" si="130"/>
        <v>423805.31</v>
      </c>
      <c r="AE216" s="2">
        <v>0</v>
      </c>
      <c r="AF216" s="2">
        <f t="shared" si="131"/>
        <v>423805.31</v>
      </c>
      <c r="AG216" s="24" t="s">
        <v>41</v>
      </c>
      <c r="AH216" s="34"/>
      <c r="AI216" s="35">
        <v>331258.69999999995</v>
      </c>
      <c r="AJ216" s="36">
        <v>50663.100000000006</v>
      </c>
      <c r="AK216" s="28">
        <f t="shared" si="121"/>
        <v>28975.810000000056</v>
      </c>
      <c r="AL216" s="28">
        <f t="shared" si="122"/>
        <v>4431.5899999999965</v>
      </c>
      <c r="AM216" s="29">
        <f t="shared" si="123"/>
        <v>0.91956403621629679</v>
      </c>
    </row>
    <row r="217" spans="1:39" ht="192" customHeight="1" x14ac:dyDescent="0.25">
      <c r="A217" s="10">
        <v>214</v>
      </c>
      <c r="B217" s="37">
        <v>118196</v>
      </c>
      <c r="C217" s="20">
        <v>425</v>
      </c>
      <c r="D217" s="15" t="s">
        <v>54</v>
      </c>
      <c r="E217" s="14" t="s">
        <v>55</v>
      </c>
      <c r="F217" s="15" t="s">
        <v>810</v>
      </c>
      <c r="G217" s="15" t="s">
        <v>811</v>
      </c>
      <c r="H217" s="20" t="s">
        <v>132</v>
      </c>
      <c r="I217" s="16" t="s">
        <v>812</v>
      </c>
      <c r="J217" s="30">
        <v>43269</v>
      </c>
      <c r="K217" s="30">
        <v>43756</v>
      </c>
      <c r="L217" s="31">
        <f t="shared" si="125"/>
        <v>85</v>
      </c>
      <c r="M217" s="20">
        <v>1</v>
      </c>
      <c r="N217" s="20" t="s">
        <v>801</v>
      </c>
      <c r="O217" s="20" t="s">
        <v>801</v>
      </c>
      <c r="P217" s="32" t="s">
        <v>39</v>
      </c>
      <c r="Q217" s="20" t="s">
        <v>40</v>
      </c>
      <c r="R217" s="42">
        <f t="shared" si="126"/>
        <v>339668.5</v>
      </c>
      <c r="S217" s="42">
        <v>339668.5</v>
      </c>
      <c r="T217" s="42">
        <v>0</v>
      </c>
      <c r="U217" s="33">
        <f t="shared" si="127"/>
        <v>51949.3</v>
      </c>
      <c r="V217" s="42">
        <v>51949.3</v>
      </c>
      <c r="W217" s="42">
        <v>0</v>
      </c>
      <c r="X217" s="59">
        <f t="shared" si="128"/>
        <v>7992.2</v>
      </c>
      <c r="Y217" s="42">
        <v>7992.2</v>
      </c>
      <c r="Z217" s="42">
        <v>0</v>
      </c>
      <c r="AA217" s="2">
        <f t="shared" si="129"/>
        <v>0</v>
      </c>
      <c r="AB217" s="2">
        <v>0</v>
      </c>
      <c r="AC217" s="2">
        <v>0</v>
      </c>
      <c r="AD217" s="2">
        <f t="shared" si="130"/>
        <v>399610</v>
      </c>
      <c r="AE217" s="42">
        <v>0</v>
      </c>
      <c r="AF217" s="2">
        <f t="shared" si="131"/>
        <v>399610</v>
      </c>
      <c r="AG217" s="24" t="s">
        <v>41</v>
      </c>
      <c r="AH217" s="34"/>
      <c r="AI217" s="35">
        <v>263215.08999999997</v>
      </c>
      <c r="AJ217" s="36">
        <v>40256.43</v>
      </c>
      <c r="AK217" s="28">
        <f t="shared" si="121"/>
        <v>76453.410000000033</v>
      </c>
      <c r="AL217" s="28">
        <f t="shared" si="122"/>
        <v>11692.870000000003</v>
      </c>
      <c r="AM217" s="29">
        <f t="shared" si="123"/>
        <v>0.77491757404645989</v>
      </c>
    </row>
    <row r="218" spans="1:39" ht="192" customHeight="1" x14ac:dyDescent="0.25">
      <c r="A218" s="10">
        <v>215</v>
      </c>
      <c r="B218" s="37">
        <v>126155</v>
      </c>
      <c r="C218" s="20">
        <v>544</v>
      </c>
      <c r="D218" s="15" t="s">
        <v>31</v>
      </c>
      <c r="E218" s="14" t="s">
        <v>65</v>
      </c>
      <c r="F218" s="15" t="s">
        <v>813</v>
      </c>
      <c r="G218" s="15" t="s">
        <v>814</v>
      </c>
      <c r="H218" s="20" t="s">
        <v>132</v>
      </c>
      <c r="I218" s="16" t="s">
        <v>815</v>
      </c>
      <c r="J218" s="30">
        <v>43437</v>
      </c>
      <c r="K218" s="30">
        <v>44411</v>
      </c>
      <c r="L218" s="31">
        <f t="shared" si="125"/>
        <v>85.000000318097122</v>
      </c>
      <c r="M218" s="20">
        <v>1</v>
      </c>
      <c r="N218" s="20" t="s">
        <v>801</v>
      </c>
      <c r="O218" s="20" t="s">
        <v>801</v>
      </c>
      <c r="P218" s="32" t="s">
        <v>39</v>
      </c>
      <c r="Q218" s="20" t="s">
        <v>40</v>
      </c>
      <c r="R218" s="42">
        <f t="shared" si="126"/>
        <v>2672139.91</v>
      </c>
      <c r="S218" s="42">
        <v>2672139.91</v>
      </c>
      <c r="T218" s="42">
        <v>0</v>
      </c>
      <c r="U218" s="33">
        <f t="shared" si="127"/>
        <v>408680.21</v>
      </c>
      <c r="V218" s="42">
        <v>408680.21</v>
      </c>
      <c r="W218" s="42">
        <v>0</v>
      </c>
      <c r="X218" s="59">
        <f t="shared" si="128"/>
        <v>62873.88</v>
      </c>
      <c r="Y218" s="42">
        <v>62873.88</v>
      </c>
      <c r="Z218" s="42">
        <v>0</v>
      </c>
      <c r="AA218" s="2">
        <f t="shared" si="129"/>
        <v>0</v>
      </c>
      <c r="AB218" s="2">
        <v>0</v>
      </c>
      <c r="AC218" s="2">
        <v>0</v>
      </c>
      <c r="AD218" s="2">
        <f t="shared" si="130"/>
        <v>3143694</v>
      </c>
      <c r="AE218" s="42">
        <v>0</v>
      </c>
      <c r="AF218" s="2">
        <f t="shared" si="131"/>
        <v>3143694</v>
      </c>
      <c r="AG218" s="39" t="s">
        <v>69</v>
      </c>
      <c r="AH218" s="34"/>
      <c r="AI218" s="35">
        <v>810585.98</v>
      </c>
      <c r="AJ218" s="36">
        <v>123971.91999999998</v>
      </c>
      <c r="AK218" s="28">
        <f t="shared" si="121"/>
        <v>1861553.9300000002</v>
      </c>
      <c r="AL218" s="28">
        <f t="shared" si="122"/>
        <v>284708.29000000004</v>
      </c>
      <c r="AM218" s="29">
        <f t="shared" si="123"/>
        <v>0.30334713274800046</v>
      </c>
    </row>
    <row r="219" spans="1:39" ht="192" customHeight="1" x14ac:dyDescent="0.25">
      <c r="A219" s="10">
        <v>216</v>
      </c>
      <c r="B219" s="37">
        <v>125900</v>
      </c>
      <c r="C219" s="20">
        <v>518</v>
      </c>
      <c r="D219" s="15" t="s">
        <v>31</v>
      </c>
      <c r="E219" s="14" t="s">
        <v>65</v>
      </c>
      <c r="F219" s="15" t="s">
        <v>816</v>
      </c>
      <c r="G219" s="15" t="s">
        <v>817</v>
      </c>
      <c r="H219" s="20" t="s">
        <v>132</v>
      </c>
      <c r="I219" s="16" t="s">
        <v>818</v>
      </c>
      <c r="J219" s="30">
        <v>43439</v>
      </c>
      <c r="K219" s="30">
        <v>43987</v>
      </c>
      <c r="L219" s="31">
        <f t="shared" si="125"/>
        <v>85.000001224772731</v>
      </c>
      <c r="M219" s="20">
        <v>1</v>
      </c>
      <c r="N219" s="20" t="s">
        <v>801</v>
      </c>
      <c r="O219" s="20" t="s">
        <v>801</v>
      </c>
      <c r="P219" s="32" t="s">
        <v>39</v>
      </c>
      <c r="Q219" s="20" t="s">
        <v>40</v>
      </c>
      <c r="R219" s="42">
        <f t="shared" si="126"/>
        <v>694006.31</v>
      </c>
      <c r="S219" s="42">
        <v>694006.31</v>
      </c>
      <c r="T219" s="42">
        <v>0</v>
      </c>
      <c r="U219" s="33">
        <f t="shared" si="127"/>
        <v>106142.13</v>
      </c>
      <c r="V219" s="42">
        <v>106142.13</v>
      </c>
      <c r="W219" s="42">
        <v>0</v>
      </c>
      <c r="X219" s="59">
        <f t="shared" si="128"/>
        <v>16329.56</v>
      </c>
      <c r="Y219" s="42">
        <v>16329.56</v>
      </c>
      <c r="Z219" s="42">
        <v>0</v>
      </c>
      <c r="AA219" s="2">
        <f t="shared" si="129"/>
        <v>0</v>
      </c>
      <c r="AB219" s="42">
        <v>0</v>
      </c>
      <c r="AC219" s="42">
        <v>0</v>
      </c>
      <c r="AD219" s="2">
        <f t="shared" si="130"/>
        <v>816478.00000000012</v>
      </c>
      <c r="AE219" s="42">
        <v>0</v>
      </c>
      <c r="AF219" s="2">
        <f t="shared" si="131"/>
        <v>816478.00000000012</v>
      </c>
      <c r="AG219" s="39" t="s">
        <v>69</v>
      </c>
      <c r="AH219" s="34"/>
      <c r="AI219" s="35">
        <v>233487.13</v>
      </c>
      <c r="AJ219" s="36">
        <v>35709.800000000003</v>
      </c>
      <c r="AK219" s="28">
        <f t="shared" si="121"/>
        <v>460519.18000000005</v>
      </c>
      <c r="AL219" s="28">
        <f t="shared" si="122"/>
        <v>70432.33</v>
      </c>
      <c r="AM219" s="29">
        <f t="shared" si="123"/>
        <v>0.33643372781437675</v>
      </c>
    </row>
    <row r="220" spans="1:39" ht="192" customHeight="1" x14ac:dyDescent="0.25">
      <c r="A220" s="10">
        <v>217</v>
      </c>
      <c r="B220" s="37">
        <v>126350</v>
      </c>
      <c r="C220" s="20">
        <v>570</v>
      </c>
      <c r="D220" s="15" t="s">
        <v>31</v>
      </c>
      <c r="E220" s="14" t="s">
        <v>65</v>
      </c>
      <c r="F220" s="15" t="s">
        <v>819</v>
      </c>
      <c r="G220" s="15" t="s">
        <v>817</v>
      </c>
      <c r="H220" s="20" t="s">
        <v>132</v>
      </c>
      <c r="I220" s="16" t="s">
        <v>820</v>
      </c>
      <c r="J220" s="30">
        <v>43564</v>
      </c>
      <c r="K220" s="30">
        <v>44386</v>
      </c>
      <c r="L220" s="31">
        <f t="shared" si="125"/>
        <v>84.999999916591278</v>
      </c>
      <c r="M220" s="20">
        <v>1</v>
      </c>
      <c r="N220" s="20" t="s">
        <v>801</v>
      </c>
      <c r="O220" s="20" t="s">
        <v>801</v>
      </c>
      <c r="P220" s="32" t="s">
        <v>39</v>
      </c>
      <c r="Q220" s="20" t="s">
        <v>40</v>
      </c>
      <c r="R220" s="42">
        <f t="shared" si="126"/>
        <v>2038156.45</v>
      </c>
      <c r="S220" s="42">
        <v>2038156.45</v>
      </c>
      <c r="T220" s="42">
        <v>0</v>
      </c>
      <c r="U220" s="33">
        <f t="shared" si="127"/>
        <v>311718.05</v>
      </c>
      <c r="V220" s="42">
        <v>311718.05</v>
      </c>
      <c r="W220" s="42"/>
      <c r="X220" s="59">
        <f t="shared" si="128"/>
        <v>47956.62</v>
      </c>
      <c r="Y220" s="42">
        <v>47956.62</v>
      </c>
      <c r="Z220" s="42">
        <v>0</v>
      </c>
      <c r="AA220" s="2">
        <f t="shared" si="129"/>
        <v>0</v>
      </c>
      <c r="AB220" s="2">
        <v>0</v>
      </c>
      <c r="AC220" s="2">
        <v>0</v>
      </c>
      <c r="AD220" s="2">
        <f t="shared" si="130"/>
        <v>2397831.12</v>
      </c>
      <c r="AE220" s="42">
        <v>35700</v>
      </c>
      <c r="AF220" s="2">
        <f t="shared" si="131"/>
        <v>2433531.12</v>
      </c>
      <c r="AG220" s="39" t="s">
        <v>69</v>
      </c>
      <c r="AH220" s="34"/>
      <c r="AI220" s="35">
        <v>167370.71</v>
      </c>
      <c r="AJ220" s="36">
        <v>25597.86</v>
      </c>
      <c r="AK220" s="28">
        <f t="shared" si="121"/>
        <v>1870785.74</v>
      </c>
      <c r="AL220" s="28">
        <f t="shared" si="122"/>
        <v>286120.19</v>
      </c>
      <c r="AM220" s="29">
        <f t="shared" si="123"/>
        <v>8.2118676414658948E-2</v>
      </c>
    </row>
    <row r="221" spans="1:39" ht="192" customHeight="1" x14ac:dyDescent="0.25">
      <c r="A221" s="10">
        <v>218</v>
      </c>
      <c r="B221" s="37">
        <v>128787</v>
      </c>
      <c r="C221" s="20">
        <v>631</v>
      </c>
      <c r="D221" s="15" t="s">
        <v>31</v>
      </c>
      <c r="E221" s="14" t="s">
        <v>79</v>
      </c>
      <c r="F221" s="15" t="s">
        <v>821</v>
      </c>
      <c r="G221" s="15" t="s">
        <v>822</v>
      </c>
      <c r="H221" s="20" t="s">
        <v>132</v>
      </c>
      <c r="I221" s="16" t="s">
        <v>823</v>
      </c>
      <c r="J221" s="30">
        <v>43622</v>
      </c>
      <c r="K221" s="30">
        <v>44536</v>
      </c>
      <c r="L221" s="31">
        <f t="shared" si="125"/>
        <v>84.999999929965156</v>
      </c>
      <c r="M221" s="20">
        <v>1</v>
      </c>
      <c r="N221" s="20" t="s">
        <v>801</v>
      </c>
      <c r="O221" s="20" t="s">
        <v>806</v>
      </c>
      <c r="P221" s="32" t="s">
        <v>39</v>
      </c>
      <c r="Q221" s="20" t="s">
        <v>40</v>
      </c>
      <c r="R221" s="42">
        <f t="shared" si="126"/>
        <v>3034203.56</v>
      </c>
      <c r="S221" s="42">
        <v>3034203.56</v>
      </c>
      <c r="T221" s="42">
        <v>0</v>
      </c>
      <c r="U221" s="42">
        <f t="shared" si="127"/>
        <v>464054.66</v>
      </c>
      <c r="V221" s="42">
        <v>464054.66</v>
      </c>
      <c r="W221" s="42">
        <v>0</v>
      </c>
      <c r="X221" s="119">
        <f t="shared" si="128"/>
        <v>71393.03</v>
      </c>
      <c r="Y221" s="120">
        <v>71393.03</v>
      </c>
      <c r="Z221" s="42">
        <v>0</v>
      </c>
      <c r="AA221" s="2">
        <f t="shared" si="129"/>
        <v>0</v>
      </c>
      <c r="AB221" s="42">
        <v>0</v>
      </c>
      <c r="AC221" s="42">
        <v>0</v>
      </c>
      <c r="AD221" s="2">
        <f t="shared" si="130"/>
        <v>3569651.25</v>
      </c>
      <c r="AE221" s="42">
        <v>0</v>
      </c>
      <c r="AF221" s="2">
        <f t="shared" si="131"/>
        <v>3569651.25</v>
      </c>
      <c r="AG221" s="39" t="s">
        <v>69</v>
      </c>
      <c r="AH221" s="34"/>
      <c r="AI221" s="35">
        <v>158524.76999999999</v>
      </c>
      <c r="AJ221" s="36">
        <v>22614.240000000002</v>
      </c>
      <c r="AK221" s="28">
        <f t="shared" si="121"/>
        <v>2875678.79</v>
      </c>
      <c r="AL221" s="28">
        <f t="shared" si="122"/>
        <v>441440.42</v>
      </c>
      <c r="AM221" s="29">
        <f t="shared" si="123"/>
        <v>5.2245924462628997E-2</v>
      </c>
    </row>
    <row r="222" spans="1:39" ht="192" customHeight="1" x14ac:dyDescent="0.25">
      <c r="A222" s="10">
        <v>219</v>
      </c>
      <c r="B222" s="37">
        <v>118788</v>
      </c>
      <c r="C222" s="20">
        <v>445</v>
      </c>
      <c r="D222" s="15" t="s">
        <v>54</v>
      </c>
      <c r="E222" s="14" t="s">
        <v>55</v>
      </c>
      <c r="F222" s="15" t="s">
        <v>824</v>
      </c>
      <c r="G222" s="20" t="s">
        <v>825</v>
      </c>
      <c r="H222" s="20" t="s">
        <v>35</v>
      </c>
      <c r="I222" s="15" t="s">
        <v>826</v>
      </c>
      <c r="J222" s="30">
        <v>43325</v>
      </c>
      <c r="K222" s="30">
        <v>43690</v>
      </c>
      <c r="L222" s="31">
        <f>R222/AD222*100</f>
        <v>85.000001253240569</v>
      </c>
      <c r="M222" s="20">
        <v>2</v>
      </c>
      <c r="N222" s="20" t="s">
        <v>827</v>
      </c>
      <c r="O222" s="20" t="s">
        <v>828</v>
      </c>
      <c r="P222" s="20" t="s">
        <v>39</v>
      </c>
      <c r="Q222" s="20" t="s">
        <v>40</v>
      </c>
      <c r="R222" s="35">
        <f>S222+T222</f>
        <v>339120.85</v>
      </c>
      <c r="S222" s="35">
        <v>339120.85</v>
      </c>
      <c r="T222" s="41">
        <v>0</v>
      </c>
      <c r="U222" s="35">
        <f>V222+W222</f>
        <v>51865.54</v>
      </c>
      <c r="V222" s="35">
        <v>51865.54</v>
      </c>
      <c r="W222" s="41">
        <v>0</v>
      </c>
      <c r="X222" s="35">
        <f>Y222+Z222</f>
        <v>7979.31</v>
      </c>
      <c r="Y222" s="35">
        <v>7979.31</v>
      </c>
      <c r="Z222" s="35">
        <v>0</v>
      </c>
      <c r="AA222" s="2">
        <f>AB222+AC222</f>
        <v>0</v>
      </c>
      <c r="AB222" s="2">
        <v>0</v>
      </c>
      <c r="AC222" s="2">
        <v>0</v>
      </c>
      <c r="AD222" s="2">
        <f>R222+U222+X222+AA222</f>
        <v>398965.69999999995</v>
      </c>
      <c r="AE222" s="39"/>
      <c r="AF222" s="2">
        <f>AD222+AE222</f>
        <v>398965.69999999995</v>
      </c>
      <c r="AG222" s="24" t="s">
        <v>41</v>
      </c>
      <c r="AH222" s="39" t="s">
        <v>35</v>
      </c>
      <c r="AI222" s="35">
        <v>285754.77</v>
      </c>
      <c r="AJ222" s="36">
        <v>43703.66</v>
      </c>
      <c r="AK222" s="28">
        <f t="shared" si="121"/>
        <v>53366.079999999958</v>
      </c>
      <c r="AL222" s="28">
        <f t="shared" si="122"/>
        <v>8161.8799999999974</v>
      </c>
      <c r="AM222" s="29">
        <f t="shared" si="123"/>
        <v>0.84263403444524287</v>
      </c>
    </row>
    <row r="223" spans="1:39" ht="192" customHeight="1" x14ac:dyDescent="0.25">
      <c r="A223" s="10">
        <v>220</v>
      </c>
      <c r="B223" s="37">
        <v>125665</v>
      </c>
      <c r="C223" s="20">
        <v>557</v>
      </c>
      <c r="D223" s="15" t="s">
        <v>31</v>
      </c>
      <c r="E223" s="14" t="s">
        <v>65</v>
      </c>
      <c r="F223" s="15" t="s">
        <v>829</v>
      </c>
      <c r="G223" s="20" t="s">
        <v>830</v>
      </c>
      <c r="H223" s="20" t="s">
        <v>35</v>
      </c>
      <c r="I223" s="15" t="s">
        <v>831</v>
      </c>
      <c r="J223" s="30">
        <v>43425</v>
      </c>
      <c r="K223" s="30">
        <v>44248</v>
      </c>
      <c r="L223" s="31">
        <f>R223/AD223*100</f>
        <v>84.999999890649349</v>
      </c>
      <c r="M223" s="20">
        <v>2</v>
      </c>
      <c r="N223" s="20" t="s">
        <v>827</v>
      </c>
      <c r="O223" s="20" t="s">
        <v>828</v>
      </c>
      <c r="P223" s="20" t="s">
        <v>39</v>
      </c>
      <c r="Q223" s="20" t="s">
        <v>40</v>
      </c>
      <c r="R223" s="35">
        <f>S223+T223</f>
        <v>3497921.5</v>
      </c>
      <c r="S223" s="35">
        <v>3497921.5</v>
      </c>
      <c r="T223" s="41">
        <v>0</v>
      </c>
      <c r="U223" s="35">
        <f>V223+W223</f>
        <v>534976.2300000001</v>
      </c>
      <c r="V223" s="35">
        <v>534976.2300000001</v>
      </c>
      <c r="W223" s="41">
        <v>0</v>
      </c>
      <c r="X223" s="35">
        <f>Y223+Z223</f>
        <v>82304.039999999994</v>
      </c>
      <c r="Y223" s="35">
        <v>82304.039999999994</v>
      </c>
      <c r="Z223" s="35">
        <v>0</v>
      </c>
      <c r="AA223" s="2">
        <f>AB223+AC223</f>
        <v>0</v>
      </c>
      <c r="AB223" s="2">
        <v>0</v>
      </c>
      <c r="AC223" s="2">
        <v>0</v>
      </c>
      <c r="AD223" s="2">
        <f>R223+U223+X223+AA223</f>
        <v>4115201.77</v>
      </c>
      <c r="AE223" s="39">
        <v>114240</v>
      </c>
      <c r="AF223" s="2">
        <f>AD223+AE223</f>
        <v>4229441.7699999996</v>
      </c>
      <c r="AG223" s="39" t="s">
        <v>69</v>
      </c>
      <c r="AH223" s="39" t="s">
        <v>35</v>
      </c>
      <c r="AI223" s="35">
        <v>142406.78</v>
      </c>
      <c r="AJ223" s="36">
        <v>21779.86</v>
      </c>
      <c r="AK223" s="28">
        <f t="shared" si="121"/>
        <v>3355514.72</v>
      </c>
      <c r="AL223" s="28">
        <f t="shared" si="122"/>
        <v>513196.37000000011</v>
      </c>
      <c r="AM223" s="29">
        <f t="shared" si="123"/>
        <v>4.0711828438688515E-2</v>
      </c>
    </row>
    <row r="224" spans="1:39" ht="192" customHeight="1" x14ac:dyDescent="0.25">
      <c r="A224" s="10">
        <v>221</v>
      </c>
      <c r="B224" s="37">
        <v>136071</v>
      </c>
      <c r="C224" s="20">
        <v>768</v>
      </c>
      <c r="D224" s="46" t="s">
        <v>31</v>
      </c>
      <c r="E224" s="14" t="s">
        <v>1826</v>
      </c>
      <c r="F224" s="40" t="s">
        <v>1846</v>
      </c>
      <c r="G224" s="15" t="s">
        <v>830</v>
      </c>
      <c r="H224" s="20" t="s">
        <v>35</v>
      </c>
      <c r="I224" s="16" t="s">
        <v>1847</v>
      </c>
      <c r="J224" s="30">
        <v>43949</v>
      </c>
      <c r="K224" s="30">
        <v>44467</v>
      </c>
      <c r="L224" s="31">
        <f>R224/AD224*100</f>
        <v>85</v>
      </c>
      <c r="M224" s="20">
        <v>2</v>
      </c>
      <c r="N224" s="20" t="s">
        <v>827</v>
      </c>
      <c r="O224" s="20" t="s">
        <v>828</v>
      </c>
      <c r="P224" s="20" t="s">
        <v>39</v>
      </c>
      <c r="Q224" s="20" t="s">
        <v>40</v>
      </c>
      <c r="R224" s="35">
        <f>S224+T224</f>
        <v>576959.6</v>
      </c>
      <c r="S224" s="35">
        <v>576959.6</v>
      </c>
      <c r="T224" s="41">
        <v>0</v>
      </c>
      <c r="U224" s="35">
        <f>V224+W224</f>
        <v>88240.88</v>
      </c>
      <c r="V224" s="35">
        <v>88240.88</v>
      </c>
      <c r="W224" s="41">
        <v>0</v>
      </c>
      <c r="X224" s="35">
        <f>Y224+Z224</f>
        <v>13575.52</v>
      </c>
      <c r="Y224" s="35">
        <v>13575.52</v>
      </c>
      <c r="Z224" s="35">
        <v>0</v>
      </c>
      <c r="AA224" s="2">
        <f>AB224+AC224</f>
        <v>0</v>
      </c>
      <c r="AB224" s="2">
        <v>0</v>
      </c>
      <c r="AC224" s="2">
        <v>0</v>
      </c>
      <c r="AD224" s="2">
        <f>R224+U224+X224+AA224</f>
        <v>678776</v>
      </c>
      <c r="AE224" s="39">
        <v>0</v>
      </c>
      <c r="AF224" s="2">
        <f>AD224+AE224</f>
        <v>678776</v>
      </c>
      <c r="AG224" s="39" t="s">
        <v>69</v>
      </c>
      <c r="AH224" s="39" t="s">
        <v>35</v>
      </c>
      <c r="AI224" s="35">
        <v>0</v>
      </c>
      <c r="AJ224" s="36">
        <v>0</v>
      </c>
      <c r="AK224" s="28">
        <f t="shared" si="121"/>
        <v>576959.6</v>
      </c>
      <c r="AL224" s="28">
        <f t="shared" si="122"/>
        <v>88240.88</v>
      </c>
      <c r="AM224" s="29">
        <f t="shared" si="123"/>
        <v>0</v>
      </c>
    </row>
    <row r="225" spans="1:39" ht="192" customHeight="1" x14ac:dyDescent="0.25">
      <c r="A225" s="10">
        <v>222</v>
      </c>
      <c r="B225" s="37">
        <v>118894</v>
      </c>
      <c r="C225" s="20">
        <v>15</v>
      </c>
      <c r="D225" s="20" t="s">
        <v>254</v>
      </c>
      <c r="E225" s="14" t="s">
        <v>255</v>
      </c>
      <c r="F225" s="15" t="s">
        <v>832</v>
      </c>
      <c r="G225" s="32" t="s">
        <v>833</v>
      </c>
      <c r="H225" s="20" t="s">
        <v>35</v>
      </c>
      <c r="I225" s="55" t="s">
        <v>834</v>
      </c>
      <c r="J225" s="30">
        <v>42717</v>
      </c>
      <c r="K225" s="30">
        <v>43995</v>
      </c>
      <c r="L225" s="31">
        <f t="shared" ref="L225:L288" si="132">R225/AD225*100</f>
        <v>83.983863051796376</v>
      </c>
      <c r="M225" s="20" t="s">
        <v>259</v>
      </c>
      <c r="N225" s="20" t="s">
        <v>229</v>
      </c>
      <c r="O225" s="20" t="s">
        <v>229</v>
      </c>
      <c r="P225" s="32" t="s">
        <v>260</v>
      </c>
      <c r="Q225" s="20" t="s">
        <v>40</v>
      </c>
      <c r="R225" s="2">
        <f t="shared" ref="R225:R288" si="133">S225+T225</f>
        <v>2106832.29</v>
      </c>
      <c r="S225" s="2">
        <v>1698976.68</v>
      </c>
      <c r="T225" s="2">
        <v>407855.61</v>
      </c>
      <c r="U225" s="2">
        <f t="shared" ref="U225:U240" si="134">V225+W225</f>
        <v>0</v>
      </c>
      <c r="V225" s="2">
        <v>0</v>
      </c>
      <c r="W225" s="2">
        <v>0</v>
      </c>
      <c r="X225" s="2">
        <f t="shared" ref="X225:X288" si="135">Y225+Z225</f>
        <v>401783.30999999994</v>
      </c>
      <c r="Y225" s="2">
        <v>299819.40999999997</v>
      </c>
      <c r="Z225" s="2">
        <v>101963.9</v>
      </c>
      <c r="AA225" s="2">
        <f t="shared" ref="AA225:AA288" si="136">AB225+AC225</f>
        <v>0</v>
      </c>
      <c r="AB225" s="2">
        <v>0</v>
      </c>
      <c r="AC225" s="2">
        <v>0</v>
      </c>
      <c r="AD225" s="2">
        <f t="shared" ref="AD225:AD288" si="137">R225+U225+X225+AA225</f>
        <v>2508615.6</v>
      </c>
      <c r="AE225" s="2">
        <v>154711.20000000001</v>
      </c>
      <c r="AF225" s="2">
        <f t="shared" ref="AF225:AF288" si="138">AD225+AE225</f>
        <v>2663326.8000000003</v>
      </c>
      <c r="AG225" s="39" t="s">
        <v>69</v>
      </c>
      <c r="AH225" s="34" t="s">
        <v>835</v>
      </c>
      <c r="AI225" s="35">
        <v>749071.72999999986</v>
      </c>
      <c r="AJ225" s="36">
        <v>0</v>
      </c>
      <c r="AK225" s="28">
        <f t="shared" si="121"/>
        <v>1357760.56</v>
      </c>
      <c r="AL225" s="28">
        <f t="shared" si="122"/>
        <v>0</v>
      </c>
      <c r="AM225" s="29">
        <f t="shared" si="123"/>
        <v>0.35554407133184762</v>
      </c>
    </row>
    <row r="226" spans="1:39" ht="192" customHeight="1" x14ac:dyDescent="0.25">
      <c r="A226" s="10">
        <v>223</v>
      </c>
      <c r="B226" s="37">
        <v>119196</v>
      </c>
      <c r="C226" s="20">
        <v>20</v>
      </c>
      <c r="D226" s="20" t="s">
        <v>254</v>
      </c>
      <c r="E226" s="14" t="s">
        <v>255</v>
      </c>
      <c r="F226" s="15" t="s">
        <v>836</v>
      </c>
      <c r="G226" s="32" t="s">
        <v>833</v>
      </c>
      <c r="H226" s="20" t="s">
        <v>837</v>
      </c>
      <c r="I226" s="55" t="s">
        <v>838</v>
      </c>
      <c r="J226" s="30">
        <v>42464</v>
      </c>
      <c r="K226" s="30">
        <v>44047</v>
      </c>
      <c r="L226" s="31">
        <f t="shared" si="132"/>
        <v>83.983863025248297</v>
      </c>
      <c r="M226" s="20" t="s">
        <v>259</v>
      </c>
      <c r="N226" s="20" t="s">
        <v>229</v>
      </c>
      <c r="O226" s="20" t="s">
        <v>229</v>
      </c>
      <c r="P226" s="32" t="s">
        <v>260</v>
      </c>
      <c r="Q226" s="20" t="s">
        <v>40</v>
      </c>
      <c r="R226" s="2">
        <f t="shared" si="133"/>
        <v>14990338.920000002</v>
      </c>
      <c r="S226" s="2">
        <v>12088402.300000001</v>
      </c>
      <c r="T226" s="2">
        <v>2901936.62</v>
      </c>
      <c r="U226" s="2">
        <f t="shared" si="134"/>
        <v>0</v>
      </c>
      <c r="V226" s="2">
        <v>0</v>
      </c>
      <c r="W226" s="2">
        <v>0</v>
      </c>
      <c r="X226" s="2">
        <f t="shared" si="135"/>
        <v>2858731.58</v>
      </c>
      <c r="Y226" s="2">
        <v>2133247.4300000002</v>
      </c>
      <c r="Z226" s="2">
        <v>725484.15</v>
      </c>
      <c r="AA226" s="2">
        <f t="shared" si="136"/>
        <v>0</v>
      </c>
      <c r="AB226" s="2">
        <v>0</v>
      </c>
      <c r="AC226" s="2">
        <v>0</v>
      </c>
      <c r="AD226" s="2">
        <f t="shared" si="137"/>
        <v>17849070.5</v>
      </c>
      <c r="AE226" s="2">
        <v>0</v>
      </c>
      <c r="AF226" s="2">
        <f t="shared" si="138"/>
        <v>17849070.5</v>
      </c>
      <c r="AG226" s="39" t="s">
        <v>69</v>
      </c>
      <c r="AH226" s="34" t="s">
        <v>839</v>
      </c>
      <c r="AI226" s="110">
        <v>6909488.3599999994</v>
      </c>
      <c r="AJ226" s="36">
        <v>0</v>
      </c>
      <c r="AK226" s="28">
        <f t="shared" si="121"/>
        <v>8080850.5600000024</v>
      </c>
      <c r="AL226" s="28">
        <f t="shared" si="122"/>
        <v>0</v>
      </c>
      <c r="AM226" s="29">
        <f t="shared" si="123"/>
        <v>0.46092942907257489</v>
      </c>
    </row>
    <row r="227" spans="1:39" ht="192" customHeight="1" x14ac:dyDescent="0.25">
      <c r="A227" s="10">
        <v>224</v>
      </c>
      <c r="B227" s="37">
        <v>119622</v>
      </c>
      <c r="C227" s="20">
        <v>45</v>
      </c>
      <c r="D227" s="20" t="s">
        <v>840</v>
      </c>
      <c r="E227" s="14" t="s">
        <v>841</v>
      </c>
      <c r="F227" s="15" t="s">
        <v>842</v>
      </c>
      <c r="G227" s="15" t="s">
        <v>843</v>
      </c>
      <c r="H227" s="20" t="s">
        <v>35</v>
      </c>
      <c r="I227" s="55" t="s">
        <v>844</v>
      </c>
      <c r="J227" s="30">
        <v>42793</v>
      </c>
      <c r="K227" s="30">
        <v>44557</v>
      </c>
      <c r="L227" s="31">
        <f t="shared" si="132"/>
        <v>83.983862835522956</v>
      </c>
      <c r="M227" s="20" t="s">
        <v>259</v>
      </c>
      <c r="N227" s="20" t="s">
        <v>229</v>
      </c>
      <c r="O227" s="20" t="s">
        <v>229</v>
      </c>
      <c r="P227" s="32" t="s">
        <v>260</v>
      </c>
      <c r="Q227" s="20" t="s">
        <v>40</v>
      </c>
      <c r="R227" s="2">
        <f t="shared" si="133"/>
        <v>37233996.450000003</v>
      </c>
      <c r="S227" s="2">
        <v>30025974.120000001</v>
      </c>
      <c r="T227" s="2">
        <v>7208022.3300000001</v>
      </c>
      <c r="U227" s="2">
        <f t="shared" si="134"/>
        <v>0</v>
      </c>
      <c r="V227" s="2">
        <v>0</v>
      </c>
      <c r="W227" s="2">
        <v>0</v>
      </c>
      <c r="X227" s="2">
        <f t="shared" si="135"/>
        <v>7100706.9000000004</v>
      </c>
      <c r="Y227" s="2">
        <v>5298701.32</v>
      </c>
      <c r="Z227" s="2">
        <v>1802005.58</v>
      </c>
      <c r="AA227" s="2">
        <f t="shared" si="136"/>
        <v>0</v>
      </c>
      <c r="AB227" s="2">
        <v>0</v>
      </c>
      <c r="AC227" s="2">
        <v>0</v>
      </c>
      <c r="AD227" s="2">
        <f t="shared" si="137"/>
        <v>44334703.350000001</v>
      </c>
      <c r="AE227" s="2">
        <v>427346.26</v>
      </c>
      <c r="AF227" s="2">
        <f t="shared" si="138"/>
        <v>44762049.609999999</v>
      </c>
      <c r="AG227" s="39" t="s">
        <v>69</v>
      </c>
      <c r="AH227" s="106" t="s">
        <v>845</v>
      </c>
      <c r="AI227" s="110">
        <v>21632358.609999999</v>
      </c>
      <c r="AJ227" s="36">
        <v>0</v>
      </c>
      <c r="AK227" s="28">
        <f t="shared" si="121"/>
        <v>15601637.840000004</v>
      </c>
      <c r="AL227" s="28">
        <f t="shared" si="122"/>
        <v>0</v>
      </c>
      <c r="AM227" s="29">
        <f t="shared" si="123"/>
        <v>0.58098406490018339</v>
      </c>
    </row>
    <row r="228" spans="1:39" ht="192" customHeight="1" x14ac:dyDescent="0.25">
      <c r="A228" s="10">
        <v>225</v>
      </c>
      <c r="B228" s="37">
        <v>126388</v>
      </c>
      <c r="C228" s="20">
        <v>494</v>
      </c>
      <c r="D228" s="15" t="s">
        <v>425</v>
      </c>
      <c r="E228" s="14" t="s">
        <v>426</v>
      </c>
      <c r="F228" s="15" t="s">
        <v>846</v>
      </c>
      <c r="G228" s="20" t="s">
        <v>847</v>
      </c>
      <c r="H228" s="20" t="s">
        <v>35</v>
      </c>
      <c r="I228" s="55" t="s">
        <v>848</v>
      </c>
      <c r="J228" s="30">
        <v>43531</v>
      </c>
      <c r="K228" s="30">
        <v>44262</v>
      </c>
      <c r="L228" s="31">
        <f t="shared" si="132"/>
        <v>83.300001414159638</v>
      </c>
      <c r="M228" s="20">
        <v>3</v>
      </c>
      <c r="N228" s="20" t="s">
        <v>849</v>
      </c>
      <c r="O228" s="20" t="s">
        <v>849</v>
      </c>
      <c r="P228" s="20" t="s">
        <v>850</v>
      </c>
      <c r="Q228" s="20" t="s">
        <v>40</v>
      </c>
      <c r="R228" s="35">
        <f t="shared" si="133"/>
        <v>2043977.2</v>
      </c>
      <c r="S228" s="2">
        <v>2043977.2</v>
      </c>
      <c r="T228" s="2">
        <v>0</v>
      </c>
      <c r="U228" s="35">
        <f t="shared" si="134"/>
        <v>360701.81</v>
      </c>
      <c r="V228" s="2">
        <v>360701.81</v>
      </c>
      <c r="W228" s="2">
        <v>0</v>
      </c>
      <c r="X228" s="35">
        <f t="shared" si="135"/>
        <v>0</v>
      </c>
      <c r="Y228" s="2">
        <v>0</v>
      </c>
      <c r="Z228" s="2">
        <v>0</v>
      </c>
      <c r="AA228" s="2">
        <f t="shared" si="136"/>
        <v>49075.09</v>
      </c>
      <c r="AB228" s="2">
        <v>49075.09</v>
      </c>
      <c r="AC228" s="2">
        <v>0</v>
      </c>
      <c r="AD228" s="2">
        <f t="shared" si="137"/>
        <v>2453754.0999999996</v>
      </c>
      <c r="AE228" s="2">
        <v>0</v>
      </c>
      <c r="AF228" s="2">
        <f t="shared" si="138"/>
        <v>2453754.0999999996</v>
      </c>
      <c r="AG228" s="39" t="s">
        <v>69</v>
      </c>
      <c r="AH228" s="34" t="s">
        <v>35</v>
      </c>
      <c r="AI228" s="110">
        <v>977058.3</v>
      </c>
      <c r="AJ228" s="36">
        <f>20492.1+14114.96+30257.86+15716.19+49417.45</f>
        <v>129998.56</v>
      </c>
      <c r="AK228" s="28">
        <f t="shared" si="121"/>
        <v>1066918.8999999999</v>
      </c>
      <c r="AL228" s="28">
        <f t="shared" si="122"/>
        <v>230703.25</v>
      </c>
      <c r="AM228" s="29">
        <f t="shared" si="123"/>
        <v>0.47801819902883458</v>
      </c>
    </row>
    <row r="229" spans="1:39" ht="192" customHeight="1" x14ac:dyDescent="0.25">
      <c r="A229" s="10">
        <v>226</v>
      </c>
      <c r="B229" s="37">
        <v>121858</v>
      </c>
      <c r="C229" s="20">
        <v>50</v>
      </c>
      <c r="D229" s="20" t="s">
        <v>254</v>
      </c>
      <c r="E229" s="14" t="s">
        <v>851</v>
      </c>
      <c r="F229" s="15" t="s">
        <v>852</v>
      </c>
      <c r="G229" s="32" t="s">
        <v>853</v>
      </c>
      <c r="H229" s="20" t="s">
        <v>46</v>
      </c>
      <c r="I229" s="16" t="s">
        <v>854</v>
      </c>
      <c r="J229" s="30">
        <v>43229</v>
      </c>
      <c r="K229" s="30">
        <v>44509</v>
      </c>
      <c r="L229" s="31">
        <f t="shared" si="132"/>
        <v>83.983862841119134</v>
      </c>
      <c r="M229" s="20" t="s">
        <v>855</v>
      </c>
      <c r="N229" s="20" t="s">
        <v>856</v>
      </c>
      <c r="O229" s="20" t="s">
        <v>856</v>
      </c>
      <c r="P229" s="32" t="s">
        <v>260</v>
      </c>
      <c r="Q229" s="20" t="s">
        <v>40</v>
      </c>
      <c r="R229" s="2">
        <f t="shared" si="133"/>
        <v>9905083.2300000004</v>
      </c>
      <c r="S229" s="2">
        <v>7987586.6500000004</v>
      </c>
      <c r="T229" s="2">
        <v>1917496.58</v>
      </c>
      <c r="U229" s="2">
        <f t="shared" si="134"/>
        <v>0</v>
      </c>
      <c r="V229" s="2">
        <v>0</v>
      </c>
      <c r="W229" s="2">
        <v>0</v>
      </c>
      <c r="X229" s="2">
        <f t="shared" si="135"/>
        <v>1888948.2600000002</v>
      </c>
      <c r="Y229" s="33">
        <v>1409574.12</v>
      </c>
      <c r="Z229" s="2">
        <v>479374.14</v>
      </c>
      <c r="AA229" s="2">
        <f t="shared" si="136"/>
        <v>0</v>
      </c>
      <c r="AB229" s="2">
        <v>0</v>
      </c>
      <c r="AC229" s="2">
        <v>0</v>
      </c>
      <c r="AD229" s="2">
        <f t="shared" si="137"/>
        <v>11794031.49</v>
      </c>
      <c r="AE229" s="2">
        <v>0</v>
      </c>
      <c r="AF229" s="2">
        <f t="shared" si="138"/>
        <v>11794031.49</v>
      </c>
      <c r="AG229" s="39" t="s">
        <v>69</v>
      </c>
      <c r="AH229" s="34" t="s">
        <v>1848</v>
      </c>
      <c r="AI229" s="110">
        <v>758641.61</v>
      </c>
      <c r="AJ229" s="36">
        <v>0</v>
      </c>
      <c r="AK229" s="28">
        <f t="shared" si="121"/>
        <v>9146441.620000001</v>
      </c>
      <c r="AL229" s="28">
        <f t="shared" si="122"/>
        <v>0</v>
      </c>
      <c r="AM229" s="29">
        <f t="shared" si="123"/>
        <v>7.6591139355827495E-2</v>
      </c>
    </row>
    <row r="230" spans="1:39" ht="192" customHeight="1" x14ac:dyDescent="0.25">
      <c r="A230" s="10">
        <v>227</v>
      </c>
      <c r="B230" s="37">
        <v>120194</v>
      </c>
      <c r="C230" s="20">
        <v>52</v>
      </c>
      <c r="D230" s="20" t="s">
        <v>254</v>
      </c>
      <c r="E230" s="14" t="s">
        <v>851</v>
      </c>
      <c r="F230" s="15" t="s">
        <v>857</v>
      </c>
      <c r="G230" s="15" t="s">
        <v>858</v>
      </c>
      <c r="H230" s="20" t="s">
        <v>35</v>
      </c>
      <c r="I230" s="55" t="s">
        <v>859</v>
      </c>
      <c r="J230" s="30">
        <v>42963</v>
      </c>
      <c r="K230" s="30">
        <v>44212</v>
      </c>
      <c r="L230" s="31">
        <f t="shared" si="132"/>
        <v>83.983862831024851</v>
      </c>
      <c r="M230" s="20" t="s">
        <v>259</v>
      </c>
      <c r="N230" s="20" t="s">
        <v>229</v>
      </c>
      <c r="O230" s="20" t="s">
        <v>229</v>
      </c>
      <c r="P230" s="32" t="s">
        <v>260</v>
      </c>
      <c r="Q230" s="20" t="s">
        <v>40</v>
      </c>
      <c r="R230" s="2">
        <f t="shared" si="133"/>
        <v>12243037.969999999</v>
      </c>
      <c r="S230" s="2">
        <v>9872943.4499999993</v>
      </c>
      <c r="T230" s="2">
        <v>2370094.52</v>
      </c>
      <c r="U230" s="2">
        <f t="shared" si="134"/>
        <v>0</v>
      </c>
      <c r="V230" s="2">
        <v>0</v>
      </c>
      <c r="W230" s="2">
        <v>0</v>
      </c>
      <c r="X230" s="2">
        <f t="shared" si="135"/>
        <v>2334807.77</v>
      </c>
      <c r="Y230" s="2">
        <v>1742284.14</v>
      </c>
      <c r="Z230" s="2">
        <v>592523.63</v>
      </c>
      <c r="AA230" s="2">
        <f t="shared" si="136"/>
        <v>0</v>
      </c>
      <c r="AB230" s="2">
        <v>0</v>
      </c>
      <c r="AC230" s="2">
        <v>0</v>
      </c>
      <c r="AD230" s="2">
        <f t="shared" si="137"/>
        <v>14577845.739999998</v>
      </c>
      <c r="AE230" s="2">
        <v>0</v>
      </c>
      <c r="AF230" s="2">
        <f t="shared" si="138"/>
        <v>14577845.739999998</v>
      </c>
      <c r="AG230" s="39" t="s">
        <v>69</v>
      </c>
      <c r="AH230" s="25" t="s">
        <v>860</v>
      </c>
      <c r="AI230" s="110">
        <v>2619250.29</v>
      </c>
      <c r="AJ230" s="111">
        <v>0</v>
      </c>
      <c r="AK230" s="28">
        <f t="shared" si="121"/>
        <v>9623787.6799999997</v>
      </c>
      <c r="AL230" s="28">
        <f t="shared" si="122"/>
        <v>0</v>
      </c>
      <c r="AM230" s="29">
        <f t="shared" si="123"/>
        <v>0.2139379373337025</v>
      </c>
    </row>
    <row r="231" spans="1:39" ht="192" customHeight="1" x14ac:dyDescent="0.25">
      <c r="A231" s="10">
        <v>228</v>
      </c>
      <c r="B231" s="37">
        <v>119689</v>
      </c>
      <c r="C231" s="20">
        <v>53</v>
      </c>
      <c r="D231" s="20" t="s">
        <v>861</v>
      </c>
      <c r="E231" s="14" t="s">
        <v>862</v>
      </c>
      <c r="F231" s="15" t="s">
        <v>863</v>
      </c>
      <c r="G231" s="15" t="s">
        <v>864</v>
      </c>
      <c r="H231" s="20" t="s">
        <v>35</v>
      </c>
      <c r="I231" s="55" t="s">
        <v>865</v>
      </c>
      <c r="J231" s="30">
        <v>42943</v>
      </c>
      <c r="K231" s="30">
        <v>44254</v>
      </c>
      <c r="L231" s="31">
        <f t="shared" si="132"/>
        <v>83.983862843305559</v>
      </c>
      <c r="M231" s="20" t="s">
        <v>259</v>
      </c>
      <c r="N231" s="20" t="s">
        <v>229</v>
      </c>
      <c r="O231" s="20" t="s">
        <v>229</v>
      </c>
      <c r="P231" s="32" t="s">
        <v>260</v>
      </c>
      <c r="Q231" s="20" t="s">
        <v>40</v>
      </c>
      <c r="R231" s="2">
        <f t="shared" si="133"/>
        <v>46010993.850000001</v>
      </c>
      <c r="S231" s="2">
        <v>37103857.82</v>
      </c>
      <c r="T231" s="2">
        <v>8907136.0299999993</v>
      </c>
      <c r="U231" s="2">
        <f t="shared" si="134"/>
        <v>0</v>
      </c>
      <c r="V231" s="2">
        <v>0</v>
      </c>
      <c r="W231" s="2">
        <v>0</v>
      </c>
      <c r="X231" s="2">
        <f t="shared" si="135"/>
        <v>8774523.620000001</v>
      </c>
      <c r="Y231" s="2">
        <v>6547739.6100000003</v>
      </c>
      <c r="Z231" s="2">
        <v>2226784.0099999998</v>
      </c>
      <c r="AA231" s="2">
        <f t="shared" si="136"/>
        <v>0</v>
      </c>
      <c r="AB231" s="2">
        <v>0</v>
      </c>
      <c r="AC231" s="2">
        <v>0</v>
      </c>
      <c r="AD231" s="2">
        <f t="shared" si="137"/>
        <v>54785517.469999999</v>
      </c>
      <c r="AE231" s="2">
        <v>0</v>
      </c>
      <c r="AF231" s="2">
        <f t="shared" si="138"/>
        <v>54785517.469999999</v>
      </c>
      <c r="AG231" s="39" t="s">
        <v>69</v>
      </c>
      <c r="AH231" s="34" t="s">
        <v>866</v>
      </c>
      <c r="AI231" s="110">
        <v>893011.08</v>
      </c>
      <c r="AJ231" s="36">
        <v>0</v>
      </c>
      <c r="AK231" s="28">
        <f t="shared" si="121"/>
        <v>45117982.770000003</v>
      </c>
      <c r="AL231" s="28">
        <f t="shared" si="122"/>
        <v>0</v>
      </c>
      <c r="AM231" s="29">
        <f t="shared" si="123"/>
        <v>1.9408645744782144E-2</v>
      </c>
    </row>
    <row r="232" spans="1:39" ht="192" customHeight="1" x14ac:dyDescent="0.25">
      <c r="A232" s="10">
        <v>229</v>
      </c>
      <c r="B232" s="37">
        <v>125819</v>
      </c>
      <c r="C232" s="20">
        <v>497</v>
      </c>
      <c r="D232" s="15" t="s">
        <v>425</v>
      </c>
      <c r="E232" s="14" t="s">
        <v>426</v>
      </c>
      <c r="F232" s="40" t="s">
        <v>867</v>
      </c>
      <c r="G232" s="15" t="s">
        <v>868</v>
      </c>
      <c r="H232" s="20" t="s">
        <v>35</v>
      </c>
      <c r="I232" s="121" t="s">
        <v>869</v>
      </c>
      <c r="J232" s="30">
        <v>43608</v>
      </c>
      <c r="K232" s="30">
        <v>44339</v>
      </c>
      <c r="L232" s="31">
        <f t="shared" si="132"/>
        <v>83.30000063911281</v>
      </c>
      <c r="M232" s="20" t="s">
        <v>870</v>
      </c>
      <c r="N232" s="20" t="s">
        <v>871</v>
      </c>
      <c r="O232" s="20" t="s">
        <v>871</v>
      </c>
      <c r="P232" s="20" t="s">
        <v>850</v>
      </c>
      <c r="Q232" s="20" t="s">
        <v>40</v>
      </c>
      <c r="R232" s="35">
        <f t="shared" si="133"/>
        <v>1444133.16</v>
      </c>
      <c r="S232" s="89">
        <v>1444133.16</v>
      </c>
      <c r="T232" s="38">
        <v>0</v>
      </c>
      <c r="U232" s="35">
        <f t="shared" si="134"/>
        <v>254847.02</v>
      </c>
      <c r="V232" s="89">
        <v>254847.02</v>
      </c>
      <c r="W232" s="38">
        <v>0</v>
      </c>
      <c r="X232" s="35">
        <f t="shared" si="135"/>
        <v>0</v>
      </c>
      <c r="Y232" s="38">
        <v>0</v>
      </c>
      <c r="Z232" s="38">
        <v>0</v>
      </c>
      <c r="AA232" s="2">
        <f t="shared" si="136"/>
        <v>34673.06</v>
      </c>
      <c r="AB232" s="89">
        <v>34673.06</v>
      </c>
      <c r="AC232" s="38">
        <v>0</v>
      </c>
      <c r="AD232" s="2">
        <f t="shared" si="137"/>
        <v>1733653.24</v>
      </c>
      <c r="AE232" s="39">
        <v>0</v>
      </c>
      <c r="AF232" s="2">
        <f t="shared" si="138"/>
        <v>1733653.24</v>
      </c>
      <c r="AG232" s="39" t="s">
        <v>69</v>
      </c>
      <c r="AH232" s="39"/>
      <c r="AI232" s="110">
        <v>754354.65</v>
      </c>
      <c r="AJ232" s="36">
        <f>21634.7+84124.03+18309.74</f>
        <v>124068.47</v>
      </c>
      <c r="AK232" s="28">
        <f t="shared" si="121"/>
        <v>689778.50999999989</v>
      </c>
      <c r="AL232" s="28">
        <f t="shared" si="122"/>
        <v>130778.54999999999</v>
      </c>
      <c r="AM232" s="29">
        <f t="shared" si="123"/>
        <v>0.52235809750397255</v>
      </c>
    </row>
    <row r="233" spans="1:39" ht="192" customHeight="1" x14ac:dyDescent="0.25">
      <c r="A233" s="10">
        <v>230</v>
      </c>
      <c r="B233" s="37">
        <v>126526</v>
      </c>
      <c r="C233" s="20">
        <v>498</v>
      </c>
      <c r="D233" s="15" t="s">
        <v>425</v>
      </c>
      <c r="E233" s="14" t="s">
        <v>426</v>
      </c>
      <c r="F233" s="40" t="s">
        <v>872</v>
      </c>
      <c r="G233" s="15" t="s">
        <v>873</v>
      </c>
      <c r="H233" s="20" t="s">
        <v>35</v>
      </c>
      <c r="I233" s="121" t="s">
        <v>874</v>
      </c>
      <c r="J233" s="30">
        <v>43608</v>
      </c>
      <c r="K233" s="30">
        <v>44339</v>
      </c>
      <c r="L233" s="31">
        <f t="shared" si="132"/>
        <v>83.30000063911281</v>
      </c>
      <c r="M233" s="20" t="s">
        <v>870</v>
      </c>
      <c r="N233" s="20" t="s">
        <v>871</v>
      </c>
      <c r="O233" s="20" t="s">
        <v>871</v>
      </c>
      <c r="P233" s="20" t="s">
        <v>850</v>
      </c>
      <c r="Q233" s="20" t="s">
        <v>40</v>
      </c>
      <c r="R233" s="35">
        <f t="shared" si="133"/>
        <v>1444133.16</v>
      </c>
      <c r="S233" s="89">
        <v>1444133.16</v>
      </c>
      <c r="T233" s="38">
        <v>0</v>
      </c>
      <c r="U233" s="35">
        <f t="shared" si="134"/>
        <v>254847.02</v>
      </c>
      <c r="V233" s="89">
        <v>254847.02</v>
      </c>
      <c r="W233" s="38">
        <v>0</v>
      </c>
      <c r="X233" s="35">
        <f t="shared" si="135"/>
        <v>0</v>
      </c>
      <c r="Y233" s="38">
        <v>0</v>
      </c>
      <c r="Z233" s="38">
        <v>0</v>
      </c>
      <c r="AA233" s="2">
        <f t="shared" si="136"/>
        <v>34673.06</v>
      </c>
      <c r="AB233" s="89">
        <v>34673.06</v>
      </c>
      <c r="AC233" s="38">
        <v>0</v>
      </c>
      <c r="AD233" s="2">
        <f t="shared" si="137"/>
        <v>1733653.24</v>
      </c>
      <c r="AE233" s="39">
        <v>0</v>
      </c>
      <c r="AF233" s="2">
        <f t="shared" si="138"/>
        <v>1733653.24</v>
      </c>
      <c r="AG233" s="39" t="s">
        <v>69</v>
      </c>
      <c r="AH233" s="39"/>
      <c r="AI233" s="110">
        <v>790001.63</v>
      </c>
      <c r="AJ233" s="36">
        <f>21800.36+70103.02+16914.85</f>
        <v>108818.23000000001</v>
      </c>
      <c r="AK233" s="28">
        <f t="shared" si="121"/>
        <v>654131.52999999991</v>
      </c>
      <c r="AL233" s="28">
        <f t="shared" si="122"/>
        <v>146028.78999999998</v>
      </c>
      <c r="AM233" s="29">
        <f t="shared" si="123"/>
        <v>0.54704209548100124</v>
      </c>
    </row>
    <row r="234" spans="1:39" ht="192" customHeight="1" x14ac:dyDescent="0.25">
      <c r="A234" s="10">
        <v>231</v>
      </c>
      <c r="B234" s="37">
        <v>119193</v>
      </c>
      <c r="C234" s="20">
        <v>2</v>
      </c>
      <c r="D234" s="20" t="s">
        <v>254</v>
      </c>
      <c r="E234" s="14" t="s">
        <v>255</v>
      </c>
      <c r="F234" s="15" t="s">
        <v>875</v>
      </c>
      <c r="G234" s="32" t="s">
        <v>876</v>
      </c>
      <c r="H234" s="20" t="s">
        <v>35</v>
      </c>
      <c r="I234" s="55" t="s">
        <v>877</v>
      </c>
      <c r="J234" s="30">
        <v>42459</v>
      </c>
      <c r="K234" s="30">
        <v>43373</v>
      </c>
      <c r="L234" s="31">
        <f t="shared" si="132"/>
        <v>83.983862816086358</v>
      </c>
      <c r="M234" s="20" t="s">
        <v>259</v>
      </c>
      <c r="N234" s="20" t="s">
        <v>229</v>
      </c>
      <c r="O234" s="20" t="s">
        <v>229</v>
      </c>
      <c r="P234" s="32" t="s">
        <v>260</v>
      </c>
      <c r="Q234" s="20" t="s">
        <v>40</v>
      </c>
      <c r="R234" s="2">
        <f t="shared" si="133"/>
        <v>11141147.18</v>
      </c>
      <c r="S234" s="2">
        <v>8984364.5299999993</v>
      </c>
      <c r="T234" s="2">
        <v>2156782.65</v>
      </c>
      <c r="U234" s="2">
        <f t="shared" si="134"/>
        <v>0</v>
      </c>
      <c r="V234" s="2">
        <v>0</v>
      </c>
      <c r="W234" s="2">
        <v>0</v>
      </c>
      <c r="X234" s="2">
        <f t="shared" si="135"/>
        <v>2124671.7600000002</v>
      </c>
      <c r="Y234" s="2">
        <v>1585476.09</v>
      </c>
      <c r="Z234" s="2">
        <v>539195.67000000004</v>
      </c>
      <c r="AA234" s="2">
        <f t="shared" si="136"/>
        <v>0</v>
      </c>
      <c r="AB234" s="2">
        <v>0</v>
      </c>
      <c r="AC234" s="2">
        <v>0</v>
      </c>
      <c r="AD234" s="2">
        <f t="shared" si="137"/>
        <v>13265818.939999999</v>
      </c>
      <c r="AE234" s="2">
        <v>0</v>
      </c>
      <c r="AF234" s="2">
        <f t="shared" si="138"/>
        <v>13265818.939999999</v>
      </c>
      <c r="AG234" s="24" t="s">
        <v>41</v>
      </c>
      <c r="AH234" s="34" t="s">
        <v>878</v>
      </c>
      <c r="AI234" s="110">
        <v>11115534.15</v>
      </c>
      <c r="AJ234" s="36">
        <v>0</v>
      </c>
      <c r="AK234" s="28">
        <f t="shared" si="121"/>
        <v>25613.029999999329</v>
      </c>
      <c r="AL234" s="28">
        <f t="shared" si="122"/>
        <v>0</v>
      </c>
      <c r="AM234" s="29">
        <f t="shared" si="123"/>
        <v>0.99770104194961373</v>
      </c>
    </row>
    <row r="235" spans="1:39" ht="192" customHeight="1" x14ac:dyDescent="0.25">
      <c r="A235" s="10">
        <v>232</v>
      </c>
      <c r="B235" s="37">
        <v>117842</v>
      </c>
      <c r="C235" s="20">
        <v>3</v>
      </c>
      <c r="D235" s="20" t="s">
        <v>254</v>
      </c>
      <c r="E235" s="14" t="s">
        <v>255</v>
      </c>
      <c r="F235" s="15" t="s">
        <v>879</v>
      </c>
      <c r="G235" s="15" t="s">
        <v>880</v>
      </c>
      <c r="H235" s="20" t="s">
        <v>881</v>
      </c>
      <c r="I235" s="55" t="s">
        <v>882</v>
      </c>
      <c r="J235" s="30">
        <v>42534</v>
      </c>
      <c r="K235" s="30">
        <v>43585</v>
      </c>
      <c r="L235" s="31">
        <f t="shared" si="132"/>
        <v>83.983864495221582</v>
      </c>
      <c r="M235" s="20" t="s">
        <v>259</v>
      </c>
      <c r="N235" s="20" t="s">
        <v>229</v>
      </c>
      <c r="O235" s="20" t="s">
        <v>229</v>
      </c>
      <c r="P235" s="32" t="s">
        <v>260</v>
      </c>
      <c r="Q235" s="20" t="s">
        <v>40</v>
      </c>
      <c r="R235" s="2">
        <f t="shared" si="133"/>
        <v>15396417.879999999</v>
      </c>
      <c r="S235" s="2">
        <v>12415869.539999999</v>
      </c>
      <c r="T235" s="2">
        <v>2980548.34</v>
      </c>
      <c r="U235" s="2">
        <f t="shared" si="134"/>
        <v>0</v>
      </c>
      <c r="V235" s="2">
        <v>0</v>
      </c>
      <c r="W235" s="2">
        <v>0</v>
      </c>
      <c r="X235" s="2">
        <f t="shared" si="135"/>
        <v>2936172.52</v>
      </c>
      <c r="Y235" s="2">
        <v>2191035.59</v>
      </c>
      <c r="Z235" s="2">
        <v>745136.93</v>
      </c>
      <c r="AA235" s="2">
        <f t="shared" si="136"/>
        <v>0</v>
      </c>
      <c r="AB235" s="2">
        <v>0</v>
      </c>
      <c r="AC235" s="2">
        <v>0</v>
      </c>
      <c r="AD235" s="2">
        <f t="shared" si="137"/>
        <v>18332590.399999999</v>
      </c>
      <c r="AE235" s="2">
        <v>0</v>
      </c>
      <c r="AF235" s="2">
        <f t="shared" si="138"/>
        <v>18332590.399999999</v>
      </c>
      <c r="AG235" s="24" t="s">
        <v>41</v>
      </c>
      <c r="AH235" s="34" t="s">
        <v>883</v>
      </c>
      <c r="AI235" s="35">
        <v>12217325.540000001</v>
      </c>
      <c r="AJ235" s="36">
        <v>0</v>
      </c>
      <c r="AK235" s="28">
        <f t="shared" si="121"/>
        <v>3179092.339999998</v>
      </c>
      <c r="AL235" s="28">
        <f t="shared" si="122"/>
        <v>0</v>
      </c>
      <c r="AM235" s="29">
        <f t="shared" si="123"/>
        <v>0.79351740354295985</v>
      </c>
    </row>
    <row r="236" spans="1:39" ht="192" customHeight="1" x14ac:dyDescent="0.25">
      <c r="A236" s="10">
        <v>233</v>
      </c>
      <c r="B236" s="37">
        <v>118291</v>
      </c>
      <c r="C236" s="20">
        <v>4</v>
      </c>
      <c r="D236" s="20" t="s">
        <v>254</v>
      </c>
      <c r="E236" s="14" t="s">
        <v>255</v>
      </c>
      <c r="F236" s="15" t="s">
        <v>884</v>
      </c>
      <c r="G236" s="15" t="s">
        <v>885</v>
      </c>
      <c r="H236" s="20" t="s">
        <v>886</v>
      </c>
      <c r="I236" s="55" t="s">
        <v>887</v>
      </c>
      <c r="J236" s="30">
        <v>42459</v>
      </c>
      <c r="K236" s="30">
        <v>43220</v>
      </c>
      <c r="L236" s="31">
        <f t="shared" si="132"/>
        <v>83.983862772799696</v>
      </c>
      <c r="M236" s="20" t="s">
        <v>259</v>
      </c>
      <c r="N236" s="20" t="s">
        <v>229</v>
      </c>
      <c r="O236" s="20" t="s">
        <v>229</v>
      </c>
      <c r="P236" s="32" t="s">
        <v>260</v>
      </c>
      <c r="Q236" s="20" t="s">
        <v>40</v>
      </c>
      <c r="R236" s="2">
        <f t="shared" si="133"/>
        <v>9512414.3200000003</v>
      </c>
      <c r="S236" s="2">
        <v>7670933.3799999999</v>
      </c>
      <c r="T236" s="2">
        <v>1841480.94</v>
      </c>
      <c r="U236" s="2">
        <f t="shared" si="134"/>
        <v>0</v>
      </c>
      <c r="V236" s="2">
        <v>0</v>
      </c>
      <c r="W236" s="2">
        <v>0</v>
      </c>
      <c r="X236" s="2">
        <f t="shared" si="135"/>
        <v>1814064.3699999999</v>
      </c>
      <c r="Y236" s="2">
        <v>1353694.13</v>
      </c>
      <c r="Z236" s="2">
        <v>460370.24</v>
      </c>
      <c r="AA236" s="2">
        <f t="shared" si="136"/>
        <v>0</v>
      </c>
      <c r="AB236" s="2">
        <v>0</v>
      </c>
      <c r="AC236" s="2">
        <v>0</v>
      </c>
      <c r="AD236" s="2">
        <f t="shared" si="137"/>
        <v>11326478.689999999</v>
      </c>
      <c r="AE236" s="2">
        <v>0</v>
      </c>
      <c r="AF236" s="2">
        <f t="shared" si="138"/>
        <v>11326478.689999999</v>
      </c>
      <c r="AG236" s="24" t="s">
        <v>41</v>
      </c>
      <c r="AH236" s="34" t="s">
        <v>888</v>
      </c>
      <c r="AI236" s="35">
        <v>8671071.8500000015</v>
      </c>
      <c r="AJ236" s="36">
        <v>0</v>
      </c>
      <c r="AK236" s="28">
        <f t="shared" si="121"/>
        <v>841342.46999999881</v>
      </c>
      <c r="AL236" s="28">
        <f t="shared" si="122"/>
        <v>0</v>
      </c>
      <c r="AM236" s="29">
        <f t="shared" si="123"/>
        <v>0.91155321438942549</v>
      </c>
    </row>
    <row r="237" spans="1:39" ht="192" customHeight="1" x14ac:dyDescent="0.25">
      <c r="A237" s="10">
        <v>234</v>
      </c>
      <c r="B237" s="37">
        <v>118957</v>
      </c>
      <c r="C237" s="20">
        <v>5</v>
      </c>
      <c r="D237" s="20" t="s">
        <v>254</v>
      </c>
      <c r="E237" s="14" t="s">
        <v>255</v>
      </c>
      <c r="F237" s="15" t="s">
        <v>889</v>
      </c>
      <c r="G237" s="32" t="s">
        <v>257</v>
      </c>
      <c r="H237" s="20" t="s">
        <v>881</v>
      </c>
      <c r="I237" s="55" t="s">
        <v>890</v>
      </c>
      <c r="J237" s="30">
        <v>42900</v>
      </c>
      <c r="K237" s="30">
        <v>43904</v>
      </c>
      <c r="L237" s="31">
        <f t="shared" si="132"/>
        <v>83.983862721834797</v>
      </c>
      <c r="M237" s="20" t="s">
        <v>259</v>
      </c>
      <c r="N237" s="20" t="s">
        <v>229</v>
      </c>
      <c r="O237" s="20" t="s">
        <v>229</v>
      </c>
      <c r="P237" s="32" t="s">
        <v>260</v>
      </c>
      <c r="Q237" s="20" t="s">
        <v>40</v>
      </c>
      <c r="R237" s="2">
        <f t="shared" si="133"/>
        <v>4555318.1900000004</v>
      </c>
      <c r="S237" s="2">
        <v>3673467.24</v>
      </c>
      <c r="T237" s="2">
        <v>881850.95</v>
      </c>
      <c r="U237" s="2">
        <f t="shared" si="134"/>
        <v>0</v>
      </c>
      <c r="V237" s="2">
        <v>0</v>
      </c>
      <c r="W237" s="2">
        <v>0</v>
      </c>
      <c r="X237" s="2">
        <f t="shared" si="135"/>
        <v>868721.67</v>
      </c>
      <c r="Y237" s="2">
        <v>648258.93000000005</v>
      </c>
      <c r="Z237" s="2">
        <v>220462.74</v>
      </c>
      <c r="AA237" s="2">
        <f t="shared" si="136"/>
        <v>0</v>
      </c>
      <c r="AB237" s="2">
        <v>0</v>
      </c>
      <c r="AC237" s="2">
        <v>0</v>
      </c>
      <c r="AD237" s="2">
        <f t="shared" si="137"/>
        <v>5424039.8600000003</v>
      </c>
      <c r="AE237" s="2">
        <v>0</v>
      </c>
      <c r="AF237" s="2">
        <f t="shared" si="138"/>
        <v>5424039.8600000003</v>
      </c>
      <c r="AG237" s="39" t="s">
        <v>41</v>
      </c>
      <c r="AH237" s="34" t="s">
        <v>891</v>
      </c>
      <c r="AI237" s="35">
        <v>3853955.6300000004</v>
      </c>
      <c r="AJ237" s="36">
        <v>0</v>
      </c>
      <c r="AK237" s="28">
        <f t="shared" si="121"/>
        <v>701362.56</v>
      </c>
      <c r="AL237" s="28">
        <f t="shared" si="122"/>
        <v>0</v>
      </c>
      <c r="AM237" s="29">
        <f t="shared" si="123"/>
        <v>0.84603434255379639</v>
      </c>
    </row>
    <row r="238" spans="1:39" ht="192" customHeight="1" x14ac:dyDescent="0.25">
      <c r="A238" s="10">
        <v>235</v>
      </c>
      <c r="B238" s="37">
        <v>118448</v>
      </c>
      <c r="C238" s="20">
        <v>6</v>
      </c>
      <c r="D238" s="20" t="s">
        <v>254</v>
      </c>
      <c r="E238" s="14" t="s">
        <v>255</v>
      </c>
      <c r="F238" s="15" t="s">
        <v>892</v>
      </c>
      <c r="G238" s="15" t="s">
        <v>880</v>
      </c>
      <c r="H238" s="20" t="s">
        <v>35</v>
      </c>
      <c r="I238" s="55" t="s">
        <v>893</v>
      </c>
      <c r="J238" s="30">
        <v>42458</v>
      </c>
      <c r="K238" s="30">
        <v>43706</v>
      </c>
      <c r="L238" s="31">
        <f t="shared" si="132"/>
        <v>83.983862365752103</v>
      </c>
      <c r="M238" s="20" t="s">
        <v>259</v>
      </c>
      <c r="N238" s="20" t="s">
        <v>229</v>
      </c>
      <c r="O238" s="20" t="s">
        <v>229</v>
      </c>
      <c r="P238" s="32" t="s">
        <v>260</v>
      </c>
      <c r="Q238" s="20" t="s">
        <v>40</v>
      </c>
      <c r="R238" s="2">
        <f t="shared" si="133"/>
        <v>15459786.27</v>
      </c>
      <c r="S238" s="2">
        <v>12466970.77</v>
      </c>
      <c r="T238" s="2">
        <v>2992815.5</v>
      </c>
      <c r="U238" s="2">
        <f t="shared" si="134"/>
        <v>0</v>
      </c>
      <c r="V238" s="2">
        <v>0</v>
      </c>
      <c r="W238" s="2">
        <v>0</v>
      </c>
      <c r="X238" s="2">
        <f t="shared" si="135"/>
        <v>2948257.6500000004</v>
      </c>
      <c r="Y238" s="2">
        <v>2200053.66</v>
      </c>
      <c r="Z238" s="2">
        <v>748203.99</v>
      </c>
      <c r="AA238" s="2">
        <f t="shared" si="136"/>
        <v>0</v>
      </c>
      <c r="AB238" s="2">
        <v>0</v>
      </c>
      <c r="AC238" s="2">
        <v>0</v>
      </c>
      <c r="AD238" s="2">
        <f t="shared" si="137"/>
        <v>18408043.920000002</v>
      </c>
      <c r="AE238" s="2">
        <v>0</v>
      </c>
      <c r="AF238" s="2">
        <f t="shared" si="138"/>
        <v>18408043.920000002</v>
      </c>
      <c r="AG238" s="24" t="s">
        <v>41</v>
      </c>
      <c r="AH238" s="34" t="s">
        <v>894</v>
      </c>
      <c r="AI238" s="35">
        <v>12495255.649999997</v>
      </c>
      <c r="AJ238" s="36">
        <v>0</v>
      </c>
      <c r="AK238" s="28">
        <f t="shared" si="121"/>
        <v>2964530.6200000029</v>
      </c>
      <c r="AL238" s="28">
        <f t="shared" si="122"/>
        <v>0</v>
      </c>
      <c r="AM238" s="29">
        <f t="shared" si="123"/>
        <v>0.80824245767532188</v>
      </c>
    </row>
    <row r="239" spans="1:39" ht="192" customHeight="1" x14ac:dyDescent="0.25">
      <c r="A239" s="10">
        <v>236</v>
      </c>
      <c r="B239" s="37">
        <v>119240</v>
      </c>
      <c r="C239" s="20">
        <v>54</v>
      </c>
      <c r="D239" s="20" t="s">
        <v>861</v>
      </c>
      <c r="E239" s="14" t="s">
        <v>862</v>
      </c>
      <c r="F239" s="15" t="s">
        <v>895</v>
      </c>
      <c r="G239" s="15" t="s">
        <v>864</v>
      </c>
      <c r="H239" s="20" t="s">
        <v>35</v>
      </c>
      <c r="I239" s="55" t="s">
        <v>896</v>
      </c>
      <c r="J239" s="30">
        <v>42943</v>
      </c>
      <c r="K239" s="30">
        <v>44039</v>
      </c>
      <c r="L239" s="31">
        <f t="shared" si="132"/>
        <v>83.983862856059488</v>
      </c>
      <c r="M239" s="20" t="s">
        <v>259</v>
      </c>
      <c r="N239" s="20" t="s">
        <v>229</v>
      </c>
      <c r="O239" s="20" t="s">
        <v>229</v>
      </c>
      <c r="P239" s="32" t="s">
        <v>260</v>
      </c>
      <c r="Q239" s="20" t="s">
        <v>40</v>
      </c>
      <c r="R239" s="2">
        <f t="shared" si="133"/>
        <v>11805482.93</v>
      </c>
      <c r="S239" s="2">
        <v>9520093.4299999997</v>
      </c>
      <c r="T239" s="2">
        <v>2285389.5</v>
      </c>
      <c r="U239" s="2">
        <f t="shared" si="134"/>
        <v>0</v>
      </c>
      <c r="V239" s="2">
        <v>0</v>
      </c>
      <c r="W239" s="2">
        <v>0</v>
      </c>
      <c r="X239" s="2">
        <f t="shared" si="135"/>
        <v>2251363.86</v>
      </c>
      <c r="Y239" s="2">
        <v>1680016.49</v>
      </c>
      <c r="Z239" s="2">
        <v>571347.37</v>
      </c>
      <c r="AA239" s="2">
        <f t="shared" si="136"/>
        <v>0</v>
      </c>
      <c r="AB239" s="2">
        <v>0</v>
      </c>
      <c r="AC239" s="2">
        <v>0</v>
      </c>
      <c r="AD239" s="2">
        <f t="shared" si="137"/>
        <v>14056846.789999999</v>
      </c>
      <c r="AE239" s="2">
        <v>216877.5</v>
      </c>
      <c r="AF239" s="2">
        <f t="shared" si="138"/>
        <v>14273724.289999999</v>
      </c>
      <c r="AG239" s="39" t="s">
        <v>69</v>
      </c>
      <c r="AH239" s="34" t="s">
        <v>35</v>
      </c>
      <c r="AI239" s="35">
        <v>10551997.58</v>
      </c>
      <c r="AJ239" s="36">
        <v>0</v>
      </c>
      <c r="AK239" s="28">
        <f t="shared" si="121"/>
        <v>1253485.3499999996</v>
      </c>
      <c r="AL239" s="28">
        <f t="shared" si="122"/>
        <v>0</v>
      </c>
      <c r="AM239" s="29">
        <f t="shared" si="123"/>
        <v>0.89382176422324477</v>
      </c>
    </row>
    <row r="240" spans="1:39" ht="192" customHeight="1" x14ac:dyDescent="0.25">
      <c r="A240" s="10">
        <v>237</v>
      </c>
      <c r="B240" s="37">
        <v>122100</v>
      </c>
      <c r="C240" s="20">
        <v>8</v>
      </c>
      <c r="D240" s="20" t="s">
        <v>254</v>
      </c>
      <c r="E240" s="14" t="s">
        <v>255</v>
      </c>
      <c r="F240" s="15" t="s">
        <v>897</v>
      </c>
      <c r="G240" s="15" t="s">
        <v>898</v>
      </c>
      <c r="H240" s="20" t="s">
        <v>35</v>
      </c>
      <c r="I240" s="55" t="s">
        <v>899</v>
      </c>
      <c r="J240" s="30">
        <v>42661</v>
      </c>
      <c r="K240" s="30">
        <v>43756</v>
      </c>
      <c r="L240" s="31">
        <f t="shared" si="132"/>
        <v>83.983862943976007</v>
      </c>
      <c r="M240" s="20" t="s">
        <v>259</v>
      </c>
      <c r="N240" s="20" t="s">
        <v>229</v>
      </c>
      <c r="O240" s="20" t="s">
        <v>229</v>
      </c>
      <c r="P240" s="32" t="s">
        <v>260</v>
      </c>
      <c r="Q240" s="20" t="s">
        <v>40</v>
      </c>
      <c r="R240" s="2">
        <f t="shared" si="133"/>
        <v>1681184.87</v>
      </c>
      <c r="S240" s="2">
        <v>1355729.12</v>
      </c>
      <c r="T240" s="2">
        <v>325455.75</v>
      </c>
      <c r="U240" s="2">
        <f t="shared" si="134"/>
        <v>0</v>
      </c>
      <c r="V240" s="2">
        <v>0</v>
      </c>
      <c r="W240" s="2">
        <v>0</v>
      </c>
      <c r="X240" s="2">
        <f t="shared" si="135"/>
        <v>320610.25</v>
      </c>
      <c r="Y240" s="2">
        <v>239246.31</v>
      </c>
      <c r="Z240" s="2">
        <v>81363.94</v>
      </c>
      <c r="AA240" s="2">
        <f t="shared" si="136"/>
        <v>0</v>
      </c>
      <c r="AB240" s="2">
        <v>0</v>
      </c>
      <c r="AC240" s="2">
        <v>0</v>
      </c>
      <c r="AD240" s="2">
        <f t="shared" si="137"/>
        <v>2001795.12</v>
      </c>
      <c r="AE240" s="2">
        <v>0</v>
      </c>
      <c r="AF240" s="2">
        <f t="shared" si="138"/>
        <v>2001795.12</v>
      </c>
      <c r="AG240" s="24" t="s">
        <v>41</v>
      </c>
      <c r="AH240" s="34" t="s">
        <v>900</v>
      </c>
      <c r="AI240" s="35">
        <v>1110336.8299999998</v>
      </c>
      <c r="AJ240" s="36">
        <v>0</v>
      </c>
      <c r="AK240" s="28">
        <f t="shared" si="121"/>
        <v>570848.04000000027</v>
      </c>
      <c r="AL240" s="28">
        <f t="shared" si="122"/>
        <v>0</v>
      </c>
      <c r="AM240" s="29">
        <f t="shared" si="123"/>
        <v>0.6604489784636236</v>
      </c>
    </row>
    <row r="241" spans="1:39" ht="192" customHeight="1" x14ac:dyDescent="0.25">
      <c r="A241" s="10">
        <v>238</v>
      </c>
      <c r="B241" s="37">
        <v>120313</v>
      </c>
      <c r="C241" s="20">
        <v>9</v>
      </c>
      <c r="D241" s="20" t="s">
        <v>254</v>
      </c>
      <c r="E241" s="14" t="s">
        <v>255</v>
      </c>
      <c r="F241" s="15" t="s">
        <v>901</v>
      </c>
      <c r="G241" s="32" t="s">
        <v>853</v>
      </c>
      <c r="H241" s="20" t="s">
        <v>902</v>
      </c>
      <c r="I241" s="55" t="s">
        <v>903</v>
      </c>
      <c r="J241" s="30">
        <v>42538</v>
      </c>
      <c r="K241" s="30">
        <v>43633</v>
      </c>
      <c r="L241" s="31">
        <f t="shared" si="132"/>
        <v>83.983862848864632</v>
      </c>
      <c r="M241" s="20" t="s">
        <v>259</v>
      </c>
      <c r="N241" s="20" t="s">
        <v>229</v>
      </c>
      <c r="O241" s="20" t="s">
        <v>229</v>
      </c>
      <c r="P241" s="32" t="s">
        <v>260</v>
      </c>
      <c r="Q241" s="20" t="s">
        <v>40</v>
      </c>
      <c r="R241" s="2">
        <f t="shared" si="133"/>
        <v>30189820.119999997</v>
      </c>
      <c r="S241" s="2">
        <v>24345459.629999999</v>
      </c>
      <c r="T241" s="2">
        <v>5844360.4900000002</v>
      </c>
      <c r="U241" s="2">
        <v>1966327.81</v>
      </c>
      <c r="V241" s="2">
        <v>1453132.81</v>
      </c>
      <c r="W241" s="2">
        <v>513195</v>
      </c>
      <c r="X241" s="2">
        <f t="shared" si="135"/>
        <v>3791019.8899999997</v>
      </c>
      <c r="Y241" s="2">
        <v>2843124.76</v>
      </c>
      <c r="Z241" s="2">
        <v>947895.13</v>
      </c>
      <c r="AA241" s="2">
        <f t="shared" si="136"/>
        <v>0</v>
      </c>
      <c r="AB241" s="2">
        <v>0</v>
      </c>
      <c r="AC241" s="2">
        <v>0</v>
      </c>
      <c r="AD241" s="2">
        <f t="shared" si="137"/>
        <v>35947167.819999993</v>
      </c>
      <c r="AE241" s="2">
        <v>0</v>
      </c>
      <c r="AF241" s="2">
        <f t="shared" si="138"/>
        <v>35947167.819999993</v>
      </c>
      <c r="AG241" s="24" t="s">
        <v>41</v>
      </c>
      <c r="AH241" s="34" t="s">
        <v>904</v>
      </c>
      <c r="AI241" s="35">
        <v>26274093.779999994</v>
      </c>
      <c r="AJ241" s="36">
        <v>1669405.63</v>
      </c>
      <c r="AK241" s="28">
        <f t="shared" si="121"/>
        <v>3915726.3400000036</v>
      </c>
      <c r="AL241" s="28">
        <f t="shared" si="122"/>
        <v>296922.18000000017</v>
      </c>
      <c r="AM241" s="29">
        <f t="shared" si="123"/>
        <v>0.87029646667533689</v>
      </c>
    </row>
    <row r="242" spans="1:39" ht="192" customHeight="1" x14ac:dyDescent="0.25">
      <c r="A242" s="10">
        <v>239</v>
      </c>
      <c r="B242" s="37">
        <v>121644</v>
      </c>
      <c r="C242" s="20">
        <v>10</v>
      </c>
      <c r="D242" s="20" t="s">
        <v>254</v>
      </c>
      <c r="E242" s="14" t="s">
        <v>255</v>
      </c>
      <c r="F242" s="15" t="s">
        <v>165</v>
      </c>
      <c r="G242" s="15" t="s">
        <v>898</v>
      </c>
      <c r="H242" s="20" t="s">
        <v>35</v>
      </c>
      <c r="I242" s="55" t="s">
        <v>905</v>
      </c>
      <c r="J242" s="30">
        <v>42538</v>
      </c>
      <c r="K242" s="30">
        <v>43298</v>
      </c>
      <c r="L242" s="31">
        <f t="shared" si="132"/>
        <v>83.983862739322618</v>
      </c>
      <c r="M242" s="20" t="s">
        <v>259</v>
      </c>
      <c r="N242" s="20" t="s">
        <v>229</v>
      </c>
      <c r="O242" s="20" t="s">
        <v>229</v>
      </c>
      <c r="P242" s="32" t="s">
        <v>260</v>
      </c>
      <c r="Q242" s="20" t="s">
        <v>40</v>
      </c>
      <c r="R242" s="2">
        <f t="shared" si="133"/>
        <v>2777962.48</v>
      </c>
      <c r="S242" s="2">
        <v>2240184.71</v>
      </c>
      <c r="T242" s="2">
        <v>537777.77</v>
      </c>
      <c r="U242" s="2">
        <f t="shared" ref="U242:U305" si="139">V242+W242</f>
        <v>0</v>
      </c>
      <c r="V242" s="2">
        <v>0</v>
      </c>
      <c r="W242" s="2">
        <v>0</v>
      </c>
      <c r="X242" s="2">
        <f t="shared" si="135"/>
        <v>529771.16</v>
      </c>
      <c r="Y242" s="2">
        <v>395326.72000000003</v>
      </c>
      <c r="Z242" s="2">
        <v>134444.44</v>
      </c>
      <c r="AA242" s="2">
        <f t="shared" si="136"/>
        <v>0</v>
      </c>
      <c r="AB242" s="2">
        <v>0</v>
      </c>
      <c r="AC242" s="2">
        <v>0</v>
      </c>
      <c r="AD242" s="2">
        <f t="shared" si="137"/>
        <v>3307733.64</v>
      </c>
      <c r="AE242" s="2">
        <v>192499.20000000001</v>
      </c>
      <c r="AF242" s="2">
        <f t="shared" si="138"/>
        <v>3500232.8400000003</v>
      </c>
      <c r="AG242" s="24" t="s">
        <v>41</v>
      </c>
      <c r="AH242" s="34" t="s">
        <v>906</v>
      </c>
      <c r="AI242" s="35">
        <v>2635526.38</v>
      </c>
      <c r="AJ242" s="36">
        <v>0</v>
      </c>
      <c r="AK242" s="28">
        <f t="shared" si="121"/>
        <v>142436.10000000009</v>
      </c>
      <c r="AL242" s="28">
        <f t="shared" si="122"/>
        <v>0</v>
      </c>
      <c r="AM242" s="29">
        <f t="shared" si="123"/>
        <v>0.94872641332434404</v>
      </c>
    </row>
    <row r="243" spans="1:39" ht="192" customHeight="1" x14ac:dyDescent="0.25">
      <c r="A243" s="10">
        <v>240</v>
      </c>
      <c r="B243" s="37">
        <v>118305</v>
      </c>
      <c r="C243" s="20">
        <v>11</v>
      </c>
      <c r="D243" s="20" t="s">
        <v>254</v>
      </c>
      <c r="E243" s="14" t="s">
        <v>255</v>
      </c>
      <c r="F243" s="15" t="s">
        <v>907</v>
      </c>
      <c r="G243" s="15" t="s">
        <v>908</v>
      </c>
      <c r="H243" s="20" t="s">
        <v>902</v>
      </c>
      <c r="I243" s="55" t="s">
        <v>909</v>
      </c>
      <c r="J243" s="30">
        <v>42467</v>
      </c>
      <c r="K243" s="30">
        <v>43562</v>
      </c>
      <c r="L243" s="31">
        <f t="shared" si="132"/>
        <v>83.98386392846011</v>
      </c>
      <c r="M243" s="20" t="s">
        <v>259</v>
      </c>
      <c r="N243" s="20" t="s">
        <v>229</v>
      </c>
      <c r="O243" s="20" t="s">
        <v>229</v>
      </c>
      <c r="P243" s="32" t="s">
        <v>260</v>
      </c>
      <c r="Q243" s="20" t="s">
        <v>40</v>
      </c>
      <c r="R243" s="2">
        <f t="shared" si="133"/>
        <v>13566063.25</v>
      </c>
      <c r="S243" s="2">
        <v>10939848.08</v>
      </c>
      <c r="T243" s="2">
        <v>2626215.17</v>
      </c>
      <c r="U243" s="2">
        <f t="shared" si="139"/>
        <v>0</v>
      </c>
      <c r="V243" s="2">
        <v>0</v>
      </c>
      <c r="W243" s="2">
        <v>0</v>
      </c>
      <c r="X243" s="2">
        <f t="shared" si="135"/>
        <v>2587115.0099999998</v>
      </c>
      <c r="Y243" s="2">
        <v>1930561.24</v>
      </c>
      <c r="Z243" s="2">
        <v>656553.77</v>
      </c>
      <c r="AA243" s="2">
        <f t="shared" si="136"/>
        <v>0</v>
      </c>
      <c r="AB243" s="2">
        <v>0</v>
      </c>
      <c r="AC243" s="2">
        <v>0</v>
      </c>
      <c r="AD243" s="2">
        <f t="shared" si="137"/>
        <v>16153178.26</v>
      </c>
      <c r="AE243" s="2">
        <v>0</v>
      </c>
      <c r="AF243" s="2">
        <f t="shared" si="138"/>
        <v>16153178.26</v>
      </c>
      <c r="AG243" s="24" t="s">
        <v>41</v>
      </c>
      <c r="AH243" s="34" t="s">
        <v>910</v>
      </c>
      <c r="AI243" s="35">
        <v>12427497.709999997</v>
      </c>
      <c r="AJ243" s="36">
        <v>0</v>
      </c>
      <c r="AK243" s="28">
        <f t="shared" si="121"/>
        <v>1138565.5400000028</v>
      </c>
      <c r="AL243" s="28">
        <f t="shared" si="122"/>
        <v>0</v>
      </c>
      <c r="AM243" s="29">
        <f t="shared" si="123"/>
        <v>0.91607251720575589</v>
      </c>
    </row>
    <row r="244" spans="1:39" ht="192" customHeight="1" x14ac:dyDescent="0.25">
      <c r="A244" s="10">
        <v>241</v>
      </c>
      <c r="B244" s="37">
        <v>118349</v>
      </c>
      <c r="C244" s="20">
        <v>13</v>
      </c>
      <c r="D244" s="20" t="s">
        <v>254</v>
      </c>
      <c r="E244" s="14" t="s">
        <v>255</v>
      </c>
      <c r="F244" s="15" t="s">
        <v>911</v>
      </c>
      <c r="G244" s="15" t="s">
        <v>912</v>
      </c>
      <c r="H244" s="20" t="s">
        <v>881</v>
      </c>
      <c r="I244" s="55" t="s">
        <v>913</v>
      </c>
      <c r="J244" s="30">
        <v>42663</v>
      </c>
      <c r="K244" s="30">
        <v>44124</v>
      </c>
      <c r="L244" s="31">
        <f t="shared" si="132"/>
        <v>83.983862931280868</v>
      </c>
      <c r="M244" s="20" t="s">
        <v>259</v>
      </c>
      <c r="N244" s="20" t="s">
        <v>229</v>
      </c>
      <c r="O244" s="20" t="s">
        <v>229</v>
      </c>
      <c r="P244" s="32" t="s">
        <v>260</v>
      </c>
      <c r="Q244" s="20" t="s">
        <v>40</v>
      </c>
      <c r="R244" s="2">
        <f t="shared" si="133"/>
        <v>9782795.4800000004</v>
      </c>
      <c r="S244" s="2">
        <v>7888972.2300000004</v>
      </c>
      <c r="T244" s="2">
        <v>1893823.25</v>
      </c>
      <c r="U244" s="2">
        <f t="shared" si="139"/>
        <v>0</v>
      </c>
      <c r="V244" s="2">
        <v>0</v>
      </c>
      <c r="W244" s="2">
        <v>0</v>
      </c>
      <c r="X244" s="2">
        <f t="shared" si="135"/>
        <v>1865627.37</v>
      </c>
      <c r="Y244" s="2">
        <v>1392171.56</v>
      </c>
      <c r="Z244" s="2">
        <v>473455.81</v>
      </c>
      <c r="AA244" s="2">
        <f t="shared" si="136"/>
        <v>0</v>
      </c>
      <c r="AB244" s="2">
        <v>0</v>
      </c>
      <c r="AC244" s="2">
        <v>0</v>
      </c>
      <c r="AD244" s="2">
        <f t="shared" si="137"/>
        <v>11648422.850000001</v>
      </c>
      <c r="AE244" s="2">
        <v>0</v>
      </c>
      <c r="AF244" s="2">
        <f t="shared" si="138"/>
        <v>11648422.850000001</v>
      </c>
      <c r="AG244" s="39" t="s">
        <v>69</v>
      </c>
      <c r="AH244" s="34" t="s">
        <v>914</v>
      </c>
      <c r="AI244" s="35">
        <v>3218564.5199999996</v>
      </c>
      <c r="AJ244" s="36">
        <v>0</v>
      </c>
      <c r="AK244" s="28">
        <f t="shared" si="121"/>
        <v>6564230.9600000009</v>
      </c>
      <c r="AL244" s="28">
        <f t="shared" si="122"/>
        <v>0</v>
      </c>
      <c r="AM244" s="29">
        <f t="shared" si="123"/>
        <v>0.3290025357864273</v>
      </c>
    </row>
    <row r="245" spans="1:39" ht="192" customHeight="1" x14ac:dyDescent="0.25">
      <c r="A245" s="10">
        <v>242</v>
      </c>
      <c r="B245" s="37">
        <v>120068</v>
      </c>
      <c r="C245" s="20">
        <v>55</v>
      </c>
      <c r="D245" s="20" t="s">
        <v>861</v>
      </c>
      <c r="E245" s="14" t="s">
        <v>862</v>
      </c>
      <c r="F245" s="15" t="s">
        <v>915</v>
      </c>
      <c r="G245" s="15" t="s">
        <v>916</v>
      </c>
      <c r="H245" s="20" t="s">
        <v>917</v>
      </c>
      <c r="I245" s="55" t="s">
        <v>918</v>
      </c>
      <c r="J245" s="30">
        <v>43060</v>
      </c>
      <c r="K245" s="30">
        <v>44186</v>
      </c>
      <c r="L245" s="31">
        <f t="shared" si="132"/>
        <v>83.983862867470734</v>
      </c>
      <c r="M245" s="20" t="s">
        <v>259</v>
      </c>
      <c r="N245" s="20" t="s">
        <v>229</v>
      </c>
      <c r="O245" s="20" t="s">
        <v>229</v>
      </c>
      <c r="P245" s="20" t="s">
        <v>260</v>
      </c>
      <c r="Q245" s="20" t="s">
        <v>40</v>
      </c>
      <c r="R245" s="2">
        <f t="shared" si="133"/>
        <v>8678209.1799999997</v>
      </c>
      <c r="S245" s="2">
        <v>6998219.6100000003</v>
      </c>
      <c r="T245" s="2">
        <v>1679989.57</v>
      </c>
      <c r="U245" s="2">
        <f t="shared" si="139"/>
        <v>0</v>
      </c>
      <c r="V245" s="2">
        <v>0</v>
      </c>
      <c r="W245" s="2">
        <v>0</v>
      </c>
      <c r="X245" s="2">
        <f t="shared" si="135"/>
        <v>1654977.3199999998</v>
      </c>
      <c r="Y245" s="2">
        <v>1234979.93</v>
      </c>
      <c r="Z245" s="2">
        <v>419997.39</v>
      </c>
      <c r="AA245" s="2">
        <f t="shared" si="136"/>
        <v>0</v>
      </c>
      <c r="AB245" s="2">
        <v>0</v>
      </c>
      <c r="AC245" s="2">
        <v>0</v>
      </c>
      <c r="AD245" s="2">
        <f t="shared" si="137"/>
        <v>10333186.5</v>
      </c>
      <c r="AE245" s="2">
        <v>0</v>
      </c>
      <c r="AF245" s="2">
        <f t="shared" si="138"/>
        <v>10333186.5</v>
      </c>
      <c r="AG245" s="39" t="s">
        <v>69</v>
      </c>
      <c r="AH245" s="34" t="s">
        <v>919</v>
      </c>
      <c r="AI245" s="35">
        <v>1310147.31</v>
      </c>
      <c r="AJ245" s="36">
        <v>0</v>
      </c>
      <c r="AK245" s="28">
        <f t="shared" si="121"/>
        <v>7368061.8699999992</v>
      </c>
      <c r="AL245" s="28">
        <f t="shared" si="122"/>
        <v>0</v>
      </c>
      <c r="AM245" s="29">
        <f t="shared" si="123"/>
        <v>0.15096977761487884</v>
      </c>
    </row>
    <row r="246" spans="1:39" ht="192" customHeight="1" x14ac:dyDescent="0.25">
      <c r="A246" s="10">
        <v>243</v>
      </c>
      <c r="B246" s="37">
        <v>117846</v>
      </c>
      <c r="C246" s="20">
        <v>16</v>
      </c>
      <c r="D246" s="20" t="s">
        <v>254</v>
      </c>
      <c r="E246" s="14" t="s">
        <v>255</v>
      </c>
      <c r="F246" s="15" t="s">
        <v>920</v>
      </c>
      <c r="G246" s="15" t="s">
        <v>880</v>
      </c>
      <c r="H246" s="20" t="s">
        <v>921</v>
      </c>
      <c r="I246" s="55" t="s">
        <v>922</v>
      </c>
      <c r="J246" s="30">
        <v>42884</v>
      </c>
      <c r="K246" s="30">
        <v>44225</v>
      </c>
      <c r="L246" s="31">
        <f t="shared" si="132"/>
        <v>83.983862529665245</v>
      </c>
      <c r="M246" s="20" t="s">
        <v>259</v>
      </c>
      <c r="N246" s="20" t="s">
        <v>229</v>
      </c>
      <c r="O246" s="20" t="s">
        <v>229</v>
      </c>
      <c r="P246" s="32" t="s">
        <v>260</v>
      </c>
      <c r="Q246" s="20" t="s">
        <v>40</v>
      </c>
      <c r="R246" s="2">
        <f t="shared" si="133"/>
        <v>13496987.959999999</v>
      </c>
      <c r="S246" s="2">
        <v>10884144.869999999</v>
      </c>
      <c r="T246" s="2">
        <v>2612843.09</v>
      </c>
      <c r="U246" s="2">
        <f t="shared" si="139"/>
        <v>0</v>
      </c>
      <c r="V246" s="2">
        <v>0</v>
      </c>
      <c r="W246" s="2">
        <v>0</v>
      </c>
      <c r="X246" s="2">
        <f t="shared" si="135"/>
        <v>2573942.2800000003</v>
      </c>
      <c r="Y246" s="2">
        <v>1920731.49</v>
      </c>
      <c r="Z246" s="2">
        <v>653210.79</v>
      </c>
      <c r="AA246" s="2">
        <f t="shared" si="136"/>
        <v>0</v>
      </c>
      <c r="AB246" s="2">
        <v>0</v>
      </c>
      <c r="AC246" s="2">
        <v>0</v>
      </c>
      <c r="AD246" s="2">
        <f t="shared" si="137"/>
        <v>16070930.239999998</v>
      </c>
      <c r="AE246" s="2">
        <v>0</v>
      </c>
      <c r="AF246" s="2">
        <f t="shared" si="138"/>
        <v>16070930.239999998</v>
      </c>
      <c r="AG246" s="39" t="s">
        <v>161</v>
      </c>
      <c r="AH246" s="34" t="s">
        <v>1849</v>
      </c>
      <c r="AI246" s="35">
        <v>7066989.6000000006</v>
      </c>
      <c r="AJ246" s="36">
        <v>0</v>
      </c>
      <c r="AK246" s="28">
        <f t="shared" si="121"/>
        <v>6429998.3599999985</v>
      </c>
      <c r="AL246" s="28">
        <f t="shared" si="122"/>
        <v>0</v>
      </c>
      <c r="AM246" s="29">
        <f t="shared" si="123"/>
        <v>0.52359753308989399</v>
      </c>
    </row>
    <row r="247" spans="1:39" ht="192" customHeight="1" x14ac:dyDescent="0.25">
      <c r="A247" s="10">
        <v>244</v>
      </c>
      <c r="B247" s="37">
        <v>117841</v>
      </c>
      <c r="C247" s="20">
        <v>17</v>
      </c>
      <c r="D247" s="20" t="s">
        <v>254</v>
      </c>
      <c r="E247" s="14" t="s">
        <v>255</v>
      </c>
      <c r="F247" s="15" t="s">
        <v>923</v>
      </c>
      <c r="G247" s="15" t="s">
        <v>880</v>
      </c>
      <c r="H247" s="20" t="s">
        <v>35</v>
      </c>
      <c r="I247" s="55" t="s">
        <v>924</v>
      </c>
      <c r="J247" s="30">
        <v>42482</v>
      </c>
      <c r="K247" s="30">
        <v>43760</v>
      </c>
      <c r="L247" s="31">
        <f t="shared" si="132"/>
        <v>83.983862907570995</v>
      </c>
      <c r="M247" s="20" t="s">
        <v>259</v>
      </c>
      <c r="N247" s="20" t="s">
        <v>229</v>
      </c>
      <c r="O247" s="20" t="s">
        <v>229</v>
      </c>
      <c r="P247" s="32" t="s">
        <v>260</v>
      </c>
      <c r="Q247" s="20" t="s">
        <v>40</v>
      </c>
      <c r="R247" s="2">
        <f t="shared" si="133"/>
        <v>9778588.4399999995</v>
      </c>
      <c r="S247" s="2">
        <v>7885579.6299999999</v>
      </c>
      <c r="T247" s="2">
        <v>1893008.81</v>
      </c>
      <c r="U247" s="2">
        <f t="shared" si="139"/>
        <v>0</v>
      </c>
      <c r="V247" s="2">
        <v>0</v>
      </c>
      <c r="W247" s="2">
        <v>0</v>
      </c>
      <c r="X247" s="2">
        <f t="shared" si="135"/>
        <v>1864825.07</v>
      </c>
      <c r="Y247" s="2">
        <v>1391572.85</v>
      </c>
      <c r="Z247" s="2">
        <v>473252.22</v>
      </c>
      <c r="AA247" s="2">
        <f t="shared" si="136"/>
        <v>0</v>
      </c>
      <c r="AB247" s="2">
        <v>0</v>
      </c>
      <c r="AC247" s="2">
        <v>0</v>
      </c>
      <c r="AD247" s="2">
        <f t="shared" si="137"/>
        <v>11643413.51</v>
      </c>
      <c r="AE247" s="2">
        <v>0</v>
      </c>
      <c r="AF247" s="2">
        <f t="shared" si="138"/>
        <v>11643413.51</v>
      </c>
      <c r="AG247" s="24" t="s">
        <v>41</v>
      </c>
      <c r="AH247" s="34" t="s">
        <v>925</v>
      </c>
      <c r="AI247" s="35">
        <v>7520803.0899999999</v>
      </c>
      <c r="AJ247" s="36">
        <v>0</v>
      </c>
      <c r="AK247" s="28">
        <f t="shared" si="121"/>
        <v>2257785.3499999996</v>
      </c>
      <c r="AL247" s="28">
        <f t="shared" si="122"/>
        <v>0</v>
      </c>
      <c r="AM247" s="29">
        <f t="shared" si="123"/>
        <v>0.7691092774940429</v>
      </c>
    </row>
    <row r="248" spans="1:39" ht="192" customHeight="1" x14ac:dyDescent="0.25">
      <c r="A248" s="10">
        <v>245</v>
      </c>
      <c r="B248" s="37">
        <v>119195</v>
      </c>
      <c r="C248" s="20">
        <v>18</v>
      </c>
      <c r="D248" s="20" t="s">
        <v>254</v>
      </c>
      <c r="E248" s="14" t="s">
        <v>255</v>
      </c>
      <c r="F248" s="15" t="s">
        <v>926</v>
      </c>
      <c r="G248" s="32" t="s">
        <v>833</v>
      </c>
      <c r="H248" s="20" t="s">
        <v>35</v>
      </c>
      <c r="I248" s="55" t="s">
        <v>927</v>
      </c>
      <c r="J248" s="30">
        <v>42464</v>
      </c>
      <c r="K248" s="30">
        <v>43528</v>
      </c>
      <c r="L248" s="31">
        <f t="shared" si="132"/>
        <v>83.983863126060598</v>
      </c>
      <c r="M248" s="20" t="s">
        <v>259</v>
      </c>
      <c r="N248" s="20" t="s">
        <v>229</v>
      </c>
      <c r="O248" s="20" t="s">
        <v>229</v>
      </c>
      <c r="P248" s="32" t="s">
        <v>260</v>
      </c>
      <c r="Q248" s="20" t="s">
        <v>40</v>
      </c>
      <c r="R248" s="2">
        <f t="shared" si="133"/>
        <v>3168878.46</v>
      </c>
      <c r="S248" s="2">
        <v>2555424.39</v>
      </c>
      <c r="T248" s="2">
        <v>613454.06999999995</v>
      </c>
      <c r="U248" s="2">
        <f t="shared" si="139"/>
        <v>0</v>
      </c>
      <c r="V248" s="2">
        <v>0</v>
      </c>
      <c r="W248" s="2">
        <v>0</v>
      </c>
      <c r="X248" s="2">
        <f t="shared" si="135"/>
        <v>604320.75</v>
      </c>
      <c r="Y248" s="2">
        <v>450957.23</v>
      </c>
      <c r="Z248" s="2">
        <v>153363.51999999999</v>
      </c>
      <c r="AA248" s="2">
        <f t="shared" si="136"/>
        <v>0</v>
      </c>
      <c r="AB248" s="2">
        <v>0</v>
      </c>
      <c r="AC248" s="2">
        <v>0</v>
      </c>
      <c r="AD248" s="2">
        <f t="shared" si="137"/>
        <v>3773199.21</v>
      </c>
      <c r="AE248" s="2">
        <v>0</v>
      </c>
      <c r="AF248" s="2">
        <f t="shared" si="138"/>
        <v>3773199.21</v>
      </c>
      <c r="AG248" s="24" t="s">
        <v>41</v>
      </c>
      <c r="AH248" s="34" t="s">
        <v>928</v>
      </c>
      <c r="AI248" s="35">
        <v>2945136.28</v>
      </c>
      <c r="AJ248" s="36">
        <v>0</v>
      </c>
      <c r="AK248" s="28">
        <f t="shared" si="121"/>
        <v>223742.18000000017</v>
      </c>
      <c r="AL248" s="28">
        <f t="shared" si="122"/>
        <v>0</v>
      </c>
      <c r="AM248" s="29">
        <f t="shared" si="123"/>
        <v>0.92939389035450726</v>
      </c>
    </row>
    <row r="249" spans="1:39" ht="192" customHeight="1" x14ac:dyDescent="0.25">
      <c r="A249" s="10">
        <v>246</v>
      </c>
      <c r="B249" s="37">
        <v>118157</v>
      </c>
      <c r="C249" s="20">
        <v>19</v>
      </c>
      <c r="D249" s="20" t="s">
        <v>254</v>
      </c>
      <c r="E249" s="14" t="s">
        <v>255</v>
      </c>
      <c r="F249" s="15" t="s">
        <v>929</v>
      </c>
      <c r="G249" s="32" t="s">
        <v>930</v>
      </c>
      <c r="H249" s="20" t="s">
        <v>35</v>
      </c>
      <c r="I249" s="55" t="s">
        <v>931</v>
      </c>
      <c r="J249" s="30">
        <v>42446</v>
      </c>
      <c r="K249" s="30">
        <v>43541</v>
      </c>
      <c r="L249" s="31">
        <f t="shared" si="132"/>
        <v>83.983862865891041</v>
      </c>
      <c r="M249" s="20" t="s">
        <v>259</v>
      </c>
      <c r="N249" s="20" t="s">
        <v>229</v>
      </c>
      <c r="O249" s="20" t="s">
        <v>229</v>
      </c>
      <c r="P249" s="32" t="s">
        <v>260</v>
      </c>
      <c r="Q249" s="20" t="s">
        <v>40</v>
      </c>
      <c r="R249" s="2">
        <f t="shared" si="133"/>
        <v>3627735.48</v>
      </c>
      <c r="S249" s="2">
        <v>2925452.6</v>
      </c>
      <c r="T249" s="2">
        <v>702282.88</v>
      </c>
      <c r="U249" s="2">
        <f t="shared" si="139"/>
        <v>0</v>
      </c>
      <c r="V249" s="2">
        <v>0</v>
      </c>
      <c r="W249" s="2">
        <v>0</v>
      </c>
      <c r="X249" s="2">
        <f t="shared" si="135"/>
        <v>691827.06</v>
      </c>
      <c r="Y249" s="2">
        <v>516256.34</v>
      </c>
      <c r="Z249" s="2">
        <v>175570.72</v>
      </c>
      <c r="AA249" s="2">
        <f t="shared" si="136"/>
        <v>0</v>
      </c>
      <c r="AB249" s="2">
        <v>0</v>
      </c>
      <c r="AC249" s="2">
        <v>0</v>
      </c>
      <c r="AD249" s="2">
        <f t="shared" si="137"/>
        <v>4319562.54</v>
      </c>
      <c r="AE249" s="2">
        <v>0</v>
      </c>
      <c r="AF249" s="2">
        <f t="shared" si="138"/>
        <v>4319562.54</v>
      </c>
      <c r="AG249" s="24" t="s">
        <v>41</v>
      </c>
      <c r="AH249" s="34" t="s">
        <v>932</v>
      </c>
      <c r="AI249" s="35">
        <v>2216294.58</v>
      </c>
      <c r="AJ249" s="36">
        <v>0</v>
      </c>
      <c r="AK249" s="28">
        <f t="shared" si="121"/>
        <v>1411440.9</v>
      </c>
      <c r="AL249" s="28">
        <f t="shared" si="122"/>
        <v>0</v>
      </c>
      <c r="AM249" s="29">
        <f t="shared" si="123"/>
        <v>0.61093059078276568</v>
      </c>
    </row>
    <row r="250" spans="1:39" ht="192" customHeight="1" x14ac:dyDescent="0.25">
      <c r="A250" s="10">
        <v>247</v>
      </c>
      <c r="B250" s="37">
        <v>119988</v>
      </c>
      <c r="C250" s="20">
        <v>62</v>
      </c>
      <c r="D250" s="20" t="s">
        <v>933</v>
      </c>
      <c r="E250" s="14" t="s">
        <v>934</v>
      </c>
      <c r="F250" s="15" t="s">
        <v>935</v>
      </c>
      <c r="G250" s="15" t="s">
        <v>916</v>
      </c>
      <c r="H250" s="32" t="s">
        <v>936</v>
      </c>
      <c r="I250" s="55" t="s">
        <v>937</v>
      </c>
      <c r="J250" s="30">
        <v>43060</v>
      </c>
      <c r="K250" s="30">
        <v>44095</v>
      </c>
      <c r="L250" s="31">
        <f t="shared" si="132"/>
        <v>83.983862836233868</v>
      </c>
      <c r="M250" s="20" t="s">
        <v>259</v>
      </c>
      <c r="N250" s="20" t="s">
        <v>229</v>
      </c>
      <c r="O250" s="20" t="s">
        <v>229</v>
      </c>
      <c r="P250" s="32" t="s">
        <v>260</v>
      </c>
      <c r="Q250" s="20" t="s">
        <v>40</v>
      </c>
      <c r="R250" s="2">
        <f t="shared" si="133"/>
        <v>3950537.5</v>
      </c>
      <c r="S250" s="2">
        <v>3185764.3</v>
      </c>
      <c r="T250" s="2">
        <v>764773.2</v>
      </c>
      <c r="U250" s="2">
        <f t="shared" si="139"/>
        <v>0</v>
      </c>
      <c r="V250" s="2">
        <v>0</v>
      </c>
      <c r="W250" s="2">
        <v>0</v>
      </c>
      <c r="X250" s="2">
        <f t="shared" si="135"/>
        <v>753387</v>
      </c>
      <c r="Y250" s="2">
        <v>562193.69999999995</v>
      </c>
      <c r="Z250" s="2">
        <v>191193.3</v>
      </c>
      <c r="AA250" s="2">
        <f t="shared" si="136"/>
        <v>0</v>
      </c>
      <c r="AB250" s="2">
        <v>0</v>
      </c>
      <c r="AC250" s="2">
        <v>0</v>
      </c>
      <c r="AD250" s="2">
        <f t="shared" si="137"/>
        <v>4703924.5</v>
      </c>
      <c r="AE250" s="2"/>
      <c r="AF250" s="2">
        <f t="shared" si="138"/>
        <v>4703924.5</v>
      </c>
      <c r="AG250" s="39" t="s">
        <v>69</v>
      </c>
      <c r="AH250" s="34" t="s">
        <v>938</v>
      </c>
      <c r="AI250" s="35">
        <v>368961.26</v>
      </c>
      <c r="AJ250" s="36">
        <v>0</v>
      </c>
      <c r="AK250" s="28">
        <f t="shared" si="121"/>
        <v>3581576.24</v>
      </c>
      <c r="AL250" s="28">
        <f t="shared" si="122"/>
        <v>0</v>
      </c>
      <c r="AM250" s="29">
        <f t="shared" si="123"/>
        <v>9.339520508285265E-2</v>
      </c>
    </row>
    <row r="251" spans="1:39" ht="192" customHeight="1" x14ac:dyDescent="0.25">
      <c r="A251" s="10">
        <v>248</v>
      </c>
      <c r="B251" s="37">
        <v>118158</v>
      </c>
      <c r="C251" s="20">
        <v>21</v>
      </c>
      <c r="D251" s="20" t="s">
        <v>254</v>
      </c>
      <c r="E251" s="14" t="s">
        <v>255</v>
      </c>
      <c r="F251" s="15" t="s">
        <v>939</v>
      </c>
      <c r="G251" s="32" t="s">
        <v>930</v>
      </c>
      <c r="H251" s="20" t="s">
        <v>940</v>
      </c>
      <c r="I251" s="55" t="s">
        <v>941</v>
      </c>
      <c r="J251" s="30">
        <v>42516</v>
      </c>
      <c r="K251" s="30">
        <v>43703</v>
      </c>
      <c r="L251" s="31">
        <f t="shared" si="132"/>
        <v>83.983862895923082</v>
      </c>
      <c r="M251" s="20" t="s">
        <v>259</v>
      </c>
      <c r="N251" s="20" t="s">
        <v>229</v>
      </c>
      <c r="O251" s="20" t="s">
        <v>229</v>
      </c>
      <c r="P251" s="32" t="s">
        <v>260</v>
      </c>
      <c r="Q251" s="20" t="s">
        <v>40</v>
      </c>
      <c r="R251" s="2">
        <f t="shared" si="133"/>
        <v>11413787.699999999</v>
      </c>
      <c r="S251" s="2">
        <v>9204225.3699999992</v>
      </c>
      <c r="T251" s="2">
        <v>2209562.33</v>
      </c>
      <c r="U251" s="2">
        <f t="shared" si="139"/>
        <v>0</v>
      </c>
      <c r="V251" s="2">
        <v>0</v>
      </c>
      <c r="W251" s="2">
        <v>0</v>
      </c>
      <c r="X251" s="2">
        <f t="shared" si="135"/>
        <v>2176665.64</v>
      </c>
      <c r="Y251" s="2">
        <v>1624275.04</v>
      </c>
      <c r="Z251" s="2">
        <v>552390.6</v>
      </c>
      <c r="AA251" s="2">
        <f t="shared" si="136"/>
        <v>0</v>
      </c>
      <c r="AB251" s="2">
        <v>0</v>
      </c>
      <c r="AC251" s="2">
        <v>0</v>
      </c>
      <c r="AD251" s="2">
        <f t="shared" si="137"/>
        <v>13590453.34</v>
      </c>
      <c r="AE251" s="2">
        <v>16355.96</v>
      </c>
      <c r="AF251" s="2">
        <f t="shared" si="138"/>
        <v>13606809.300000001</v>
      </c>
      <c r="AG251" s="24" t="s">
        <v>41</v>
      </c>
      <c r="AH251" s="34" t="s">
        <v>942</v>
      </c>
      <c r="AI251" s="35">
        <v>9335165.3400000017</v>
      </c>
      <c r="AJ251" s="36">
        <v>0</v>
      </c>
      <c r="AK251" s="28">
        <f t="shared" si="121"/>
        <v>2078622.3599999975</v>
      </c>
      <c r="AL251" s="28">
        <f t="shared" si="122"/>
        <v>0</v>
      </c>
      <c r="AM251" s="29">
        <f t="shared" si="123"/>
        <v>0.81788496381442266</v>
      </c>
    </row>
    <row r="252" spans="1:39" ht="192" customHeight="1" x14ac:dyDescent="0.25">
      <c r="A252" s="10">
        <v>249</v>
      </c>
      <c r="B252" s="37">
        <v>118159</v>
      </c>
      <c r="C252" s="20">
        <v>22</v>
      </c>
      <c r="D252" s="20" t="s">
        <v>254</v>
      </c>
      <c r="E252" s="14" t="s">
        <v>255</v>
      </c>
      <c r="F252" s="15" t="s">
        <v>943</v>
      </c>
      <c r="G252" s="32" t="s">
        <v>930</v>
      </c>
      <c r="H252" s="20" t="s">
        <v>944</v>
      </c>
      <c r="I252" s="55" t="s">
        <v>945</v>
      </c>
      <c r="J252" s="30">
        <v>42446</v>
      </c>
      <c r="K252" s="30">
        <v>43176</v>
      </c>
      <c r="L252" s="31">
        <f t="shared" si="132"/>
        <v>83.983862881462997</v>
      </c>
      <c r="M252" s="20" t="s">
        <v>259</v>
      </c>
      <c r="N252" s="20" t="s">
        <v>229</v>
      </c>
      <c r="O252" s="20" t="s">
        <v>229</v>
      </c>
      <c r="P252" s="32" t="s">
        <v>260</v>
      </c>
      <c r="Q252" s="20" t="s">
        <v>40</v>
      </c>
      <c r="R252" s="2">
        <f t="shared" si="133"/>
        <v>13490539.449999999</v>
      </c>
      <c r="S252" s="2">
        <v>10878944.699999999</v>
      </c>
      <c r="T252" s="2">
        <v>2611594.75</v>
      </c>
      <c r="U252" s="2">
        <f t="shared" si="139"/>
        <v>0</v>
      </c>
      <c r="V252" s="2">
        <v>0</v>
      </c>
      <c r="W252" s="2">
        <v>0</v>
      </c>
      <c r="X252" s="2">
        <f t="shared" si="135"/>
        <v>2572712.4500000002</v>
      </c>
      <c r="Y252" s="2">
        <v>1919813.76</v>
      </c>
      <c r="Z252" s="2">
        <v>652898.68999999994</v>
      </c>
      <c r="AA252" s="2">
        <f t="shared" si="136"/>
        <v>0</v>
      </c>
      <c r="AB252" s="2">
        <v>0</v>
      </c>
      <c r="AC252" s="2">
        <v>0</v>
      </c>
      <c r="AD252" s="2">
        <f t="shared" si="137"/>
        <v>16063251.899999999</v>
      </c>
      <c r="AE252" s="2">
        <v>0</v>
      </c>
      <c r="AF252" s="2">
        <f t="shared" si="138"/>
        <v>16063251.899999999</v>
      </c>
      <c r="AG252" s="24" t="s">
        <v>41</v>
      </c>
      <c r="AH252" s="34" t="s">
        <v>946</v>
      </c>
      <c r="AI252" s="35">
        <v>12372517.5</v>
      </c>
      <c r="AJ252" s="36">
        <v>0</v>
      </c>
      <c r="AK252" s="28">
        <f t="shared" si="121"/>
        <v>1118021.9499999993</v>
      </c>
      <c r="AL252" s="28">
        <f t="shared" si="122"/>
        <v>0</v>
      </c>
      <c r="AM252" s="29">
        <f t="shared" si="123"/>
        <v>0.91712548233199087</v>
      </c>
    </row>
    <row r="253" spans="1:39" ht="192" customHeight="1" x14ac:dyDescent="0.25">
      <c r="A253" s="10">
        <v>250</v>
      </c>
      <c r="B253" s="37">
        <v>118427</v>
      </c>
      <c r="C253" s="20">
        <v>23</v>
      </c>
      <c r="D253" s="20" t="s">
        <v>254</v>
      </c>
      <c r="E253" s="14" t="s">
        <v>255</v>
      </c>
      <c r="F253" s="15" t="s">
        <v>947</v>
      </c>
      <c r="G253" s="15" t="s">
        <v>948</v>
      </c>
      <c r="H253" s="20" t="s">
        <v>35</v>
      </c>
      <c r="I253" s="55" t="s">
        <v>949</v>
      </c>
      <c r="J253" s="30">
        <v>42459</v>
      </c>
      <c r="K253" s="30">
        <v>43524</v>
      </c>
      <c r="L253" s="31">
        <f t="shared" si="132"/>
        <v>83.983862468884851</v>
      </c>
      <c r="M253" s="20" t="s">
        <v>259</v>
      </c>
      <c r="N253" s="20" t="s">
        <v>229</v>
      </c>
      <c r="O253" s="20" t="s">
        <v>229</v>
      </c>
      <c r="P253" s="32" t="s">
        <v>260</v>
      </c>
      <c r="Q253" s="20" t="s">
        <v>40</v>
      </c>
      <c r="R253" s="2">
        <f t="shared" si="133"/>
        <v>6252507.0099999998</v>
      </c>
      <c r="S253" s="2">
        <v>5042102.18</v>
      </c>
      <c r="T253" s="2">
        <v>1210404.83</v>
      </c>
      <c r="U253" s="2">
        <f t="shared" si="139"/>
        <v>0</v>
      </c>
      <c r="V253" s="2">
        <v>0</v>
      </c>
      <c r="W253" s="2">
        <v>0</v>
      </c>
      <c r="X253" s="2">
        <f t="shared" si="135"/>
        <v>1192383.98</v>
      </c>
      <c r="Y253" s="2">
        <v>889782.73</v>
      </c>
      <c r="Z253" s="2">
        <v>302601.25</v>
      </c>
      <c r="AA253" s="2">
        <f t="shared" si="136"/>
        <v>0</v>
      </c>
      <c r="AB253" s="2">
        <v>0</v>
      </c>
      <c r="AC253" s="2">
        <v>0</v>
      </c>
      <c r="AD253" s="2">
        <f t="shared" si="137"/>
        <v>7444890.9900000002</v>
      </c>
      <c r="AE253" s="2">
        <v>0</v>
      </c>
      <c r="AF253" s="2">
        <f t="shared" si="138"/>
        <v>7444890.9900000002</v>
      </c>
      <c r="AG253" s="24" t="s">
        <v>41</v>
      </c>
      <c r="AH253" s="122" t="s">
        <v>950</v>
      </c>
      <c r="AI253" s="35">
        <v>6243692.5199999996</v>
      </c>
      <c r="AJ253" s="36">
        <v>0</v>
      </c>
      <c r="AK253" s="28">
        <f t="shared" si="121"/>
        <v>8814.4900000002235</v>
      </c>
      <c r="AL253" s="28">
        <f t="shared" si="122"/>
        <v>0</v>
      </c>
      <c r="AM253" s="29">
        <f t="shared" si="123"/>
        <v>0.99859024708234589</v>
      </c>
    </row>
    <row r="254" spans="1:39" ht="192" customHeight="1" x14ac:dyDescent="0.25">
      <c r="A254" s="10">
        <v>251</v>
      </c>
      <c r="B254" s="37">
        <v>118584</v>
      </c>
      <c r="C254" s="20">
        <v>24</v>
      </c>
      <c r="D254" s="20" t="s">
        <v>254</v>
      </c>
      <c r="E254" s="14" t="s">
        <v>255</v>
      </c>
      <c r="F254" s="15" t="s">
        <v>951</v>
      </c>
      <c r="G254" s="15" t="s">
        <v>952</v>
      </c>
      <c r="H254" s="20" t="s">
        <v>35</v>
      </c>
      <c r="I254" s="55" t="s">
        <v>953</v>
      </c>
      <c r="J254" s="30">
        <v>42454</v>
      </c>
      <c r="K254" s="30">
        <v>43610</v>
      </c>
      <c r="L254" s="31">
        <f t="shared" si="132"/>
        <v>83.983862869823341</v>
      </c>
      <c r="M254" s="20" t="s">
        <v>259</v>
      </c>
      <c r="N254" s="20" t="s">
        <v>229</v>
      </c>
      <c r="O254" s="20" t="s">
        <v>229</v>
      </c>
      <c r="P254" s="32" t="s">
        <v>260</v>
      </c>
      <c r="Q254" s="20" t="s">
        <v>40</v>
      </c>
      <c r="R254" s="2">
        <f t="shared" si="133"/>
        <v>2984368.02</v>
      </c>
      <c r="S254" s="2">
        <v>2406632.79</v>
      </c>
      <c r="T254" s="2">
        <v>577735.23</v>
      </c>
      <c r="U254" s="2">
        <f t="shared" si="139"/>
        <v>0</v>
      </c>
      <c r="V254" s="2">
        <v>0</v>
      </c>
      <c r="W254" s="2">
        <v>0</v>
      </c>
      <c r="X254" s="2">
        <f t="shared" si="135"/>
        <v>569133.71</v>
      </c>
      <c r="Y254" s="2">
        <v>424699.9</v>
      </c>
      <c r="Z254" s="2">
        <v>144433.81</v>
      </c>
      <c r="AA254" s="2">
        <f t="shared" si="136"/>
        <v>0</v>
      </c>
      <c r="AB254" s="2">
        <v>0</v>
      </c>
      <c r="AC254" s="2">
        <v>0</v>
      </c>
      <c r="AD254" s="2">
        <f t="shared" si="137"/>
        <v>3553501.73</v>
      </c>
      <c r="AE254" s="2"/>
      <c r="AF254" s="2">
        <f t="shared" si="138"/>
        <v>3553501.73</v>
      </c>
      <c r="AG254" s="24" t="s">
        <v>41</v>
      </c>
      <c r="AH254" s="34" t="s">
        <v>954</v>
      </c>
      <c r="AI254" s="35">
        <v>2743197.24</v>
      </c>
      <c r="AJ254" s="36">
        <v>0</v>
      </c>
      <c r="AK254" s="28">
        <f t="shared" si="121"/>
        <v>241170.7799999998</v>
      </c>
      <c r="AL254" s="28">
        <f t="shared" si="122"/>
        <v>0</v>
      </c>
      <c r="AM254" s="29">
        <f t="shared" si="123"/>
        <v>0.9191886595809321</v>
      </c>
    </row>
    <row r="255" spans="1:39" ht="192" customHeight="1" x14ac:dyDescent="0.25">
      <c r="A255" s="10">
        <v>252</v>
      </c>
      <c r="B255" s="37">
        <v>117835</v>
      </c>
      <c r="C255" s="20">
        <v>25</v>
      </c>
      <c r="D255" s="20" t="s">
        <v>254</v>
      </c>
      <c r="E255" s="14" t="s">
        <v>255</v>
      </c>
      <c r="F255" s="15" t="s">
        <v>955</v>
      </c>
      <c r="G255" s="15" t="s">
        <v>948</v>
      </c>
      <c r="H255" s="20" t="s">
        <v>956</v>
      </c>
      <c r="I255" s="55" t="s">
        <v>957</v>
      </c>
      <c r="J255" s="30">
        <v>42459</v>
      </c>
      <c r="K255" s="30">
        <v>43464</v>
      </c>
      <c r="L255" s="31">
        <f t="shared" si="132"/>
        <v>83.983862877433253</v>
      </c>
      <c r="M255" s="20" t="s">
        <v>259</v>
      </c>
      <c r="N255" s="20" t="s">
        <v>229</v>
      </c>
      <c r="O255" s="20" t="s">
        <v>229</v>
      </c>
      <c r="P255" s="32" t="s">
        <v>260</v>
      </c>
      <c r="Q255" s="20" t="s">
        <v>40</v>
      </c>
      <c r="R255" s="2">
        <f t="shared" si="133"/>
        <v>11174376.890000001</v>
      </c>
      <c r="S255" s="2">
        <v>9011161.3900000006</v>
      </c>
      <c r="T255" s="2">
        <v>2163215.5</v>
      </c>
      <c r="U255" s="2">
        <f t="shared" si="139"/>
        <v>0</v>
      </c>
      <c r="V255" s="2">
        <v>0</v>
      </c>
      <c r="W255" s="2">
        <v>0</v>
      </c>
      <c r="X255" s="2">
        <f t="shared" si="135"/>
        <v>2131008.8199999998</v>
      </c>
      <c r="Y255" s="2">
        <v>1590204.95</v>
      </c>
      <c r="Z255" s="2">
        <v>540803.87</v>
      </c>
      <c r="AA255" s="2">
        <f t="shared" si="136"/>
        <v>0</v>
      </c>
      <c r="AB255" s="2">
        <v>0</v>
      </c>
      <c r="AC255" s="2">
        <v>0</v>
      </c>
      <c r="AD255" s="2">
        <f t="shared" si="137"/>
        <v>13305385.710000001</v>
      </c>
      <c r="AE255" s="2">
        <v>0</v>
      </c>
      <c r="AF255" s="2">
        <f t="shared" si="138"/>
        <v>13305385.710000001</v>
      </c>
      <c r="AG255" s="24" t="s">
        <v>41</v>
      </c>
      <c r="AH255" s="122" t="s">
        <v>958</v>
      </c>
      <c r="AI255" s="35">
        <v>11126144.500000002</v>
      </c>
      <c r="AJ255" s="36">
        <v>0</v>
      </c>
      <c r="AK255" s="28">
        <f t="shared" si="121"/>
        <v>48232.389999998733</v>
      </c>
      <c r="AL255" s="28">
        <f t="shared" si="122"/>
        <v>0</v>
      </c>
      <c r="AM255" s="29">
        <f t="shared" si="123"/>
        <v>0.9956836617849214</v>
      </c>
    </row>
    <row r="256" spans="1:39" ht="192" customHeight="1" x14ac:dyDescent="0.25">
      <c r="A256" s="10">
        <v>253</v>
      </c>
      <c r="B256" s="37">
        <v>118419</v>
      </c>
      <c r="C256" s="20">
        <v>26</v>
      </c>
      <c r="D256" s="20" t="s">
        <v>254</v>
      </c>
      <c r="E256" s="14" t="s">
        <v>255</v>
      </c>
      <c r="F256" s="15" t="s">
        <v>959</v>
      </c>
      <c r="G256" s="15" t="s">
        <v>948</v>
      </c>
      <c r="H256" s="20" t="s">
        <v>35</v>
      </c>
      <c r="I256" s="55" t="s">
        <v>960</v>
      </c>
      <c r="J256" s="30">
        <v>42458</v>
      </c>
      <c r="K256" s="30">
        <v>43553</v>
      </c>
      <c r="L256" s="31">
        <f t="shared" si="132"/>
        <v>83.983862783018438</v>
      </c>
      <c r="M256" s="20" t="s">
        <v>259</v>
      </c>
      <c r="N256" s="20" t="s">
        <v>229</v>
      </c>
      <c r="O256" s="20" t="s">
        <v>229</v>
      </c>
      <c r="P256" s="32" t="s">
        <v>260</v>
      </c>
      <c r="Q256" s="20" t="s">
        <v>40</v>
      </c>
      <c r="R256" s="2">
        <f t="shared" si="133"/>
        <v>3637178.37</v>
      </c>
      <c r="S256" s="2">
        <v>2933067.47</v>
      </c>
      <c r="T256" s="2">
        <v>704110.9</v>
      </c>
      <c r="U256" s="2">
        <f t="shared" si="139"/>
        <v>0</v>
      </c>
      <c r="V256" s="2">
        <v>0</v>
      </c>
      <c r="W256" s="2">
        <v>0</v>
      </c>
      <c r="X256" s="2">
        <f t="shared" si="135"/>
        <v>693627.87</v>
      </c>
      <c r="Y256" s="2">
        <v>517600.14</v>
      </c>
      <c r="Z256" s="2">
        <v>176027.73</v>
      </c>
      <c r="AA256" s="2">
        <f t="shared" si="136"/>
        <v>0</v>
      </c>
      <c r="AB256" s="2">
        <v>0</v>
      </c>
      <c r="AC256" s="2">
        <v>0</v>
      </c>
      <c r="AD256" s="2">
        <f t="shared" si="137"/>
        <v>4330806.24</v>
      </c>
      <c r="AE256" s="2">
        <v>0</v>
      </c>
      <c r="AF256" s="2">
        <f t="shared" si="138"/>
        <v>4330806.24</v>
      </c>
      <c r="AG256" s="24" t="s">
        <v>41</v>
      </c>
      <c r="AH256" s="34" t="s">
        <v>961</v>
      </c>
      <c r="AI256" s="35">
        <v>3290066.13</v>
      </c>
      <c r="AJ256" s="36">
        <v>0</v>
      </c>
      <c r="AK256" s="28">
        <f t="shared" si="121"/>
        <v>347112.24000000022</v>
      </c>
      <c r="AL256" s="28">
        <f t="shared" si="122"/>
        <v>0</v>
      </c>
      <c r="AM256" s="29">
        <f t="shared" si="123"/>
        <v>0.90456551626309156</v>
      </c>
    </row>
    <row r="257" spans="1:39" ht="192" customHeight="1" x14ac:dyDescent="0.25">
      <c r="A257" s="10">
        <v>254</v>
      </c>
      <c r="B257" s="37">
        <v>118319</v>
      </c>
      <c r="C257" s="20">
        <v>27</v>
      </c>
      <c r="D257" s="20" t="s">
        <v>254</v>
      </c>
      <c r="E257" s="14" t="s">
        <v>255</v>
      </c>
      <c r="F257" s="15" t="s">
        <v>962</v>
      </c>
      <c r="G257" s="15" t="s">
        <v>880</v>
      </c>
      <c r="H257" s="20" t="s">
        <v>963</v>
      </c>
      <c r="I257" s="55" t="s">
        <v>964</v>
      </c>
      <c r="J257" s="30">
        <v>42585</v>
      </c>
      <c r="K257" s="30">
        <v>43680</v>
      </c>
      <c r="L257" s="31">
        <f t="shared" si="132"/>
        <v>83.983862824473448</v>
      </c>
      <c r="M257" s="20" t="s">
        <v>259</v>
      </c>
      <c r="N257" s="20" t="s">
        <v>229</v>
      </c>
      <c r="O257" s="20" t="s">
        <v>229</v>
      </c>
      <c r="P257" s="32" t="s">
        <v>260</v>
      </c>
      <c r="Q257" s="20" t="s">
        <v>40</v>
      </c>
      <c r="R257" s="2">
        <f t="shared" si="133"/>
        <v>17052953.060000002</v>
      </c>
      <c r="S257" s="2">
        <v>13751720.9</v>
      </c>
      <c r="T257" s="2">
        <v>3301232.16</v>
      </c>
      <c r="U257" s="2">
        <f t="shared" si="139"/>
        <v>0</v>
      </c>
      <c r="V257" s="2">
        <v>0</v>
      </c>
      <c r="W257" s="2">
        <v>0</v>
      </c>
      <c r="X257" s="2">
        <f t="shared" si="135"/>
        <v>3252082.32</v>
      </c>
      <c r="Y257" s="2">
        <v>2426774.2799999998</v>
      </c>
      <c r="Z257" s="2">
        <v>825308.04</v>
      </c>
      <c r="AA257" s="2">
        <f t="shared" si="136"/>
        <v>0</v>
      </c>
      <c r="AB257" s="2">
        <v>0</v>
      </c>
      <c r="AC257" s="2">
        <v>0</v>
      </c>
      <c r="AD257" s="2">
        <f t="shared" si="137"/>
        <v>20305035.380000003</v>
      </c>
      <c r="AE257" s="2">
        <v>0</v>
      </c>
      <c r="AF257" s="2">
        <f t="shared" si="138"/>
        <v>20305035.380000003</v>
      </c>
      <c r="AG257" s="24" t="s">
        <v>41</v>
      </c>
      <c r="AH257" s="34" t="s">
        <v>965</v>
      </c>
      <c r="AI257" s="35">
        <v>15213087.200000001</v>
      </c>
      <c r="AJ257" s="36">
        <v>0</v>
      </c>
      <c r="AK257" s="28">
        <f t="shared" si="121"/>
        <v>1839865.8600000013</v>
      </c>
      <c r="AL257" s="28">
        <f t="shared" si="122"/>
        <v>0</v>
      </c>
      <c r="AM257" s="29">
        <f t="shared" si="123"/>
        <v>0.89210866566473734</v>
      </c>
    </row>
    <row r="258" spans="1:39" ht="192" customHeight="1" x14ac:dyDescent="0.25">
      <c r="A258" s="10">
        <v>255</v>
      </c>
      <c r="B258" s="37">
        <v>117834</v>
      </c>
      <c r="C258" s="20">
        <v>28</v>
      </c>
      <c r="D258" s="20" t="s">
        <v>254</v>
      </c>
      <c r="E258" s="14" t="s">
        <v>255</v>
      </c>
      <c r="F258" s="15" t="s">
        <v>966</v>
      </c>
      <c r="G258" s="15" t="s">
        <v>948</v>
      </c>
      <c r="H258" s="20" t="s">
        <v>967</v>
      </c>
      <c r="I258" s="55" t="s">
        <v>968</v>
      </c>
      <c r="J258" s="30">
        <v>42515</v>
      </c>
      <c r="K258" s="30">
        <v>44037</v>
      </c>
      <c r="L258" s="31">
        <f t="shared" si="132"/>
        <v>83.983862816553938</v>
      </c>
      <c r="M258" s="20" t="s">
        <v>259</v>
      </c>
      <c r="N258" s="20" t="s">
        <v>229</v>
      </c>
      <c r="O258" s="20" t="s">
        <v>229</v>
      </c>
      <c r="P258" s="32" t="s">
        <v>260</v>
      </c>
      <c r="Q258" s="20" t="s">
        <v>40</v>
      </c>
      <c r="R258" s="2">
        <f t="shared" si="133"/>
        <v>36908560.93</v>
      </c>
      <c r="S258" s="2">
        <v>29763538.719999999</v>
      </c>
      <c r="T258" s="2">
        <v>7145022.21</v>
      </c>
      <c r="U258" s="2">
        <f t="shared" si="139"/>
        <v>0</v>
      </c>
      <c r="V258" s="2">
        <v>0</v>
      </c>
      <c r="W258" s="2">
        <v>0</v>
      </c>
      <c r="X258" s="2">
        <f t="shared" si="135"/>
        <v>7038644.75</v>
      </c>
      <c r="Y258" s="2">
        <v>5252389.21</v>
      </c>
      <c r="Z258" s="2">
        <v>1786255.54</v>
      </c>
      <c r="AA258" s="2">
        <f t="shared" si="136"/>
        <v>0</v>
      </c>
      <c r="AB258" s="2">
        <v>0</v>
      </c>
      <c r="AC258" s="2">
        <v>0</v>
      </c>
      <c r="AD258" s="2">
        <f t="shared" si="137"/>
        <v>43947205.68</v>
      </c>
      <c r="AE258" s="2">
        <v>0</v>
      </c>
      <c r="AF258" s="2">
        <f t="shared" si="138"/>
        <v>43947205.68</v>
      </c>
      <c r="AG258" s="39" t="s">
        <v>69</v>
      </c>
      <c r="AH258" s="34" t="s">
        <v>969</v>
      </c>
      <c r="AI258" s="35">
        <v>23206973.769999996</v>
      </c>
      <c r="AJ258" s="36">
        <v>0</v>
      </c>
      <c r="AK258" s="28">
        <f t="shared" si="121"/>
        <v>13701587.160000004</v>
      </c>
      <c r="AL258" s="28">
        <f t="shared" si="122"/>
        <v>0</v>
      </c>
      <c r="AM258" s="29">
        <f t="shared" si="123"/>
        <v>0.62876940160343431</v>
      </c>
    </row>
    <row r="259" spans="1:39" ht="192" customHeight="1" x14ac:dyDescent="0.25">
      <c r="A259" s="10">
        <v>256</v>
      </c>
      <c r="B259" s="37">
        <v>119993</v>
      </c>
      <c r="C259" s="20">
        <v>29</v>
      </c>
      <c r="D259" s="20" t="s">
        <v>254</v>
      </c>
      <c r="E259" s="14" t="s">
        <v>255</v>
      </c>
      <c r="F259" s="15" t="s">
        <v>970</v>
      </c>
      <c r="G259" s="15" t="s">
        <v>971</v>
      </c>
      <c r="H259" s="20" t="s">
        <v>972</v>
      </c>
      <c r="I259" s="55" t="s">
        <v>973</v>
      </c>
      <c r="J259" s="30">
        <v>42569</v>
      </c>
      <c r="K259" s="30">
        <v>44030</v>
      </c>
      <c r="L259" s="31">
        <f t="shared" si="132"/>
        <v>83.98386282616714</v>
      </c>
      <c r="M259" s="20" t="s">
        <v>259</v>
      </c>
      <c r="N259" s="20" t="s">
        <v>229</v>
      </c>
      <c r="O259" s="20" t="s">
        <v>229</v>
      </c>
      <c r="P259" s="32" t="s">
        <v>260</v>
      </c>
      <c r="Q259" s="20" t="s">
        <v>40</v>
      </c>
      <c r="R259" s="2">
        <f t="shared" si="133"/>
        <v>35912411.909999996</v>
      </c>
      <c r="S259" s="2">
        <v>28960231.329999998</v>
      </c>
      <c r="T259" s="2">
        <v>6952180.5800000001</v>
      </c>
      <c r="U259" s="2">
        <f t="shared" si="139"/>
        <v>0</v>
      </c>
      <c r="V259" s="2">
        <v>0</v>
      </c>
      <c r="W259" s="2">
        <v>0</v>
      </c>
      <c r="X259" s="2">
        <f t="shared" si="135"/>
        <v>6848674.209999999</v>
      </c>
      <c r="Y259" s="2">
        <v>5110629.0599999996</v>
      </c>
      <c r="Z259" s="2">
        <v>1738045.15</v>
      </c>
      <c r="AA259" s="2">
        <f t="shared" si="136"/>
        <v>0</v>
      </c>
      <c r="AB259" s="2">
        <v>0</v>
      </c>
      <c r="AC259" s="2">
        <v>0</v>
      </c>
      <c r="AD259" s="2">
        <f t="shared" si="137"/>
        <v>42761086.119999997</v>
      </c>
      <c r="AE259" s="2">
        <v>0</v>
      </c>
      <c r="AF259" s="2">
        <f t="shared" si="138"/>
        <v>42761086.119999997</v>
      </c>
      <c r="AG259" s="39" t="s">
        <v>69</v>
      </c>
      <c r="AH259" s="122" t="s">
        <v>974</v>
      </c>
      <c r="AI259" s="35">
        <v>28176.63</v>
      </c>
      <c r="AJ259" s="36">
        <v>0</v>
      </c>
      <c r="AK259" s="28">
        <f t="shared" si="121"/>
        <v>35884235.279999994</v>
      </c>
      <c r="AL259" s="28">
        <f t="shared" si="122"/>
        <v>0</v>
      </c>
      <c r="AM259" s="29">
        <f t="shared" si="123"/>
        <v>7.8459308360054965E-4</v>
      </c>
    </row>
    <row r="260" spans="1:39" ht="192" customHeight="1" x14ac:dyDescent="0.25">
      <c r="A260" s="10">
        <v>257</v>
      </c>
      <c r="B260" s="37">
        <v>118292</v>
      </c>
      <c r="C260" s="20">
        <v>30</v>
      </c>
      <c r="D260" s="20" t="s">
        <v>254</v>
      </c>
      <c r="E260" s="14" t="s">
        <v>255</v>
      </c>
      <c r="F260" s="15" t="s">
        <v>975</v>
      </c>
      <c r="G260" s="15" t="s">
        <v>976</v>
      </c>
      <c r="H260" s="20" t="s">
        <v>977</v>
      </c>
      <c r="I260" s="55" t="s">
        <v>978</v>
      </c>
      <c r="J260" s="30">
        <v>42446</v>
      </c>
      <c r="K260" s="30">
        <v>43237</v>
      </c>
      <c r="L260" s="31">
        <f t="shared" si="132"/>
        <v>83.983862811384185</v>
      </c>
      <c r="M260" s="20" t="s">
        <v>259</v>
      </c>
      <c r="N260" s="20" t="s">
        <v>229</v>
      </c>
      <c r="O260" s="20" t="s">
        <v>229</v>
      </c>
      <c r="P260" s="32" t="s">
        <v>260</v>
      </c>
      <c r="Q260" s="20" t="s">
        <v>40</v>
      </c>
      <c r="R260" s="2">
        <f t="shared" si="133"/>
        <v>23983572.759999998</v>
      </c>
      <c r="S260" s="2">
        <v>19340661.859999999</v>
      </c>
      <c r="T260" s="2">
        <v>4642910.9000000004</v>
      </c>
      <c r="U260" s="2">
        <f t="shared" si="139"/>
        <v>0</v>
      </c>
      <c r="V260" s="2">
        <v>0</v>
      </c>
      <c r="W260" s="2">
        <v>0</v>
      </c>
      <c r="X260" s="2">
        <f t="shared" si="135"/>
        <v>4573785.71</v>
      </c>
      <c r="Y260" s="2">
        <v>3413057.98</v>
      </c>
      <c r="Z260" s="2">
        <v>1160727.73</v>
      </c>
      <c r="AA260" s="2">
        <f t="shared" si="136"/>
        <v>0</v>
      </c>
      <c r="AB260" s="2">
        <v>0</v>
      </c>
      <c r="AC260" s="2">
        <v>0</v>
      </c>
      <c r="AD260" s="2">
        <f t="shared" si="137"/>
        <v>28557358.469999999</v>
      </c>
      <c r="AE260" s="2">
        <v>54654.13</v>
      </c>
      <c r="AF260" s="2">
        <f t="shared" si="138"/>
        <v>28612012.599999998</v>
      </c>
      <c r="AG260" s="24" t="s">
        <v>41</v>
      </c>
      <c r="AH260" s="34" t="s">
        <v>979</v>
      </c>
      <c r="AI260" s="35">
        <v>20419622.339999996</v>
      </c>
      <c r="AJ260" s="36">
        <v>0</v>
      </c>
      <c r="AK260" s="28">
        <f t="shared" si="121"/>
        <v>3563950.4200000018</v>
      </c>
      <c r="AL260" s="28">
        <f t="shared" si="122"/>
        <v>0</v>
      </c>
      <c r="AM260" s="29">
        <f t="shared" si="123"/>
        <v>0.85140035408135739</v>
      </c>
    </row>
    <row r="261" spans="1:39" ht="192" customHeight="1" x14ac:dyDescent="0.25">
      <c r="A261" s="10">
        <v>258</v>
      </c>
      <c r="B261" s="37">
        <v>120208</v>
      </c>
      <c r="C261" s="20">
        <v>47</v>
      </c>
      <c r="D261" s="20" t="s">
        <v>254</v>
      </c>
      <c r="E261" s="14" t="s">
        <v>851</v>
      </c>
      <c r="F261" s="15" t="s">
        <v>980</v>
      </c>
      <c r="G261" s="32" t="s">
        <v>853</v>
      </c>
      <c r="H261" s="20" t="s">
        <v>35</v>
      </c>
      <c r="I261" s="55" t="s">
        <v>981</v>
      </c>
      <c r="J261" s="30">
        <v>42914</v>
      </c>
      <c r="K261" s="30">
        <v>44193</v>
      </c>
      <c r="L261" s="31">
        <f t="shared" si="132"/>
        <v>83.983862839866035</v>
      </c>
      <c r="M261" s="20" t="s">
        <v>259</v>
      </c>
      <c r="N261" s="20" t="s">
        <v>229</v>
      </c>
      <c r="O261" s="20" t="s">
        <v>229</v>
      </c>
      <c r="P261" s="32" t="s">
        <v>260</v>
      </c>
      <c r="Q261" s="20" t="s">
        <v>40</v>
      </c>
      <c r="R261" s="2">
        <f t="shared" si="133"/>
        <v>6085613.1800000006</v>
      </c>
      <c r="S261" s="2">
        <v>4907516.82</v>
      </c>
      <c r="T261" s="2">
        <v>1178096.3600000001</v>
      </c>
      <c r="U261" s="2">
        <f t="shared" si="139"/>
        <v>0</v>
      </c>
      <c r="V261" s="2">
        <v>0</v>
      </c>
      <c r="W261" s="2">
        <v>0</v>
      </c>
      <c r="X261" s="2">
        <f t="shared" si="135"/>
        <v>1160556.47</v>
      </c>
      <c r="Y261" s="2">
        <v>866032.38</v>
      </c>
      <c r="Z261" s="2">
        <v>294524.09000000003</v>
      </c>
      <c r="AA261" s="2">
        <f t="shared" si="136"/>
        <v>0</v>
      </c>
      <c r="AB261" s="2">
        <v>0</v>
      </c>
      <c r="AC261" s="2">
        <v>0</v>
      </c>
      <c r="AD261" s="2">
        <f t="shared" si="137"/>
        <v>7246169.6500000004</v>
      </c>
      <c r="AE261" s="2">
        <v>0</v>
      </c>
      <c r="AF261" s="2">
        <f t="shared" si="138"/>
        <v>7246169.6500000004</v>
      </c>
      <c r="AG261" s="39" t="s">
        <v>69</v>
      </c>
      <c r="AH261" s="34" t="s">
        <v>982</v>
      </c>
      <c r="AI261" s="35">
        <f>1069040.51+48010.21+146560.3+232128.61+452279.37</f>
        <v>1948019</v>
      </c>
      <c r="AJ261" s="36">
        <v>0</v>
      </c>
      <c r="AK261" s="28">
        <f t="shared" ref="AK261:AK324" si="140">R261-AI261</f>
        <v>4137594.1800000006</v>
      </c>
      <c r="AL261" s="28">
        <f t="shared" ref="AL261:AL324" si="141">U261-AJ261</f>
        <v>0</v>
      </c>
      <c r="AM261" s="29">
        <f t="shared" ref="AM261:AM324" si="142">AI261/R261</f>
        <v>0.32010233683633499</v>
      </c>
    </row>
    <row r="262" spans="1:39" ht="192" customHeight="1" x14ac:dyDescent="0.25">
      <c r="A262" s="10">
        <v>259</v>
      </c>
      <c r="B262" s="37">
        <v>119991</v>
      </c>
      <c r="C262" s="20">
        <v>48</v>
      </c>
      <c r="D262" s="20" t="s">
        <v>254</v>
      </c>
      <c r="E262" s="14" t="s">
        <v>851</v>
      </c>
      <c r="F262" s="15" t="s">
        <v>983</v>
      </c>
      <c r="G262" s="15" t="s">
        <v>984</v>
      </c>
      <c r="H262" s="20" t="s">
        <v>35</v>
      </c>
      <c r="I262" s="55" t="s">
        <v>985</v>
      </c>
      <c r="J262" s="30">
        <v>43004</v>
      </c>
      <c r="K262" s="30">
        <v>43916</v>
      </c>
      <c r="L262" s="31">
        <f t="shared" si="132"/>
        <v>83.9838628091575</v>
      </c>
      <c r="M262" s="20" t="s">
        <v>259</v>
      </c>
      <c r="N262" s="20" t="s">
        <v>229</v>
      </c>
      <c r="O262" s="20" t="s">
        <v>229</v>
      </c>
      <c r="P262" s="32" t="s">
        <v>260</v>
      </c>
      <c r="Q262" s="20" t="s">
        <v>40</v>
      </c>
      <c r="R262" s="2">
        <f t="shared" si="133"/>
        <v>12597407.540000001</v>
      </c>
      <c r="S262" s="2">
        <v>10158711.630000001</v>
      </c>
      <c r="T262" s="2">
        <v>2438695.91</v>
      </c>
      <c r="U262" s="2">
        <f t="shared" si="139"/>
        <v>0</v>
      </c>
      <c r="V262" s="2">
        <v>0</v>
      </c>
      <c r="W262" s="2">
        <v>0</v>
      </c>
      <c r="X262" s="2">
        <f t="shared" si="135"/>
        <v>2402387.7999999998</v>
      </c>
      <c r="Y262" s="2">
        <v>1792713.82</v>
      </c>
      <c r="Z262" s="2">
        <v>609673.98</v>
      </c>
      <c r="AA262" s="2">
        <f t="shared" si="136"/>
        <v>0</v>
      </c>
      <c r="AB262" s="2">
        <v>0</v>
      </c>
      <c r="AC262" s="2">
        <v>0</v>
      </c>
      <c r="AD262" s="2">
        <f t="shared" si="137"/>
        <v>14999795.34</v>
      </c>
      <c r="AE262" s="2">
        <v>2999990</v>
      </c>
      <c r="AF262" s="2">
        <f t="shared" si="138"/>
        <v>17999785.34</v>
      </c>
      <c r="AG262" s="39" t="s">
        <v>41</v>
      </c>
      <c r="AH262" s="25" t="s">
        <v>35</v>
      </c>
      <c r="AI262" s="35">
        <v>0</v>
      </c>
      <c r="AJ262" s="123">
        <v>0</v>
      </c>
      <c r="AK262" s="28">
        <f t="shared" si="140"/>
        <v>12597407.540000001</v>
      </c>
      <c r="AL262" s="28">
        <f t="shared" si="141"/>
        <v>0</v>
      </c>
      <c r="AM262" s="29">
        <f t="shared" si="142"/>
        <v>0</v>
      </c>
    </row>
    <row r="263" spans="1:39" ht="192" customHeight="1" x14ac:dyDescent="0.25">
      <c r="A263" s="10">
        <v>260</v>
      </c>
      <c r="B263" s="37">
        <v>119992</v>
      </c>
      <c r="C263" s="20">
        <v>49</v>
      </c>
      <c r="D263" s="20" t="s">
        <v>254</v>
      </c>
      <c r="E263" s="14" t="s">
        <v>851</v>
      </c>
      <c r="F263" s="15" t="s">
        <v>986</v>
      </c>
      <c r="G263" s="15" t="s">
        <v>984</v>
      </c>
      <c r="H263" s="20" t="s">
        <v>35</v>
      </c>
      <c r="I263" s="55" t="s">
        <v>987</v>
      </c>
      <c r="J263" s="30">
        <v>43004</v>
      </c>
      <c r="K263" s="30">
        <v>43916</v>
      </c>
      <c r="L263" s="31">
        <f t="shared" si="132"/>
        <v>83.98386278575461</v>
      </c>
      <c r="M263" s="20" t="s">
        <v>259</v>
      </c>
      <c r="N263" s="20" t="s">
        <v>229</v>
      </c>
      <c r="O263" s="20" t="s">
        <v>229</v>
      </c>
      <c r="P263" s="32" t="s">
        <v>260</v>
      </c>
      <c r="Q263" s="20" t="s">
        <v>40</v>
      </c>
      <c r="R263" s="2">
        <f t="shared" si="133"/>
        <v>11755282.280000001</v>
      </c>
      <c r="S263" s="2">
        <v>9479610.9800000004</v>
      </c>
      <c r="T263" s="2">
        <v>2275671.2999999998</v>
      </c>
      <c r="U263" s="2">
        <f t="shared" si="139"/>
        <v>0</v>
      </c>
      <c r="V263" s="2">
        <v>0</v>
      </c>
      <c r="W263" s="2">
        <v>0</v>
      </c>
      <c r="X263" s="2">
        <f t="shared" si="135"/>
        <v>2241790.36</v>
      </c>
      <c r="Y263" s="2">
        <v>1672872.53</v>
      </c>
      <c r="Z263" s="2">
        <v>568917.82999999996</v>
      </c>
      <c r="AA263" s="2">
        <f t="shared" si="136"/>
        <v>0</v>
      </c>
      <c r="AB263" s="2">
        <v>0</v>
      </c>
      <c r="AC263" s="2">
        <v>0</v>
      </c>
      <c r="AD263" s="2">
        <f t="shared" si="137"/>
        <v>13997072.640000001</v>
      </c>
      <c r="AE263" s="2">
        <v>0</v>
      </c>
      <c r="AF263" s="2">
        <f t="shared" si="138"/>
        <v>13997072.640000001</v>
      </c>
      <c r="AG263" s="39" t="s">
        <v>41</v>
      </c>
      <c r="AH263" s="25" t="s">
        <v>35</v>
      </c>
      <c r="AI263" s="35">
        <v>0</v>
      </c>
      <c r="AJ263" s="123">
        <v>0</v>
      </c>
      <c r="AK263" s="28">
        <f t="shared" si="140"/>
        <v>11755282.280000001</v>
      </c>
      <c r="AL263" s="28">
        <f t="shared" si="141"/>
        <v>0</v>
      </c>
      <c r="AM263" s="29">
        <f t="shared" si="142"/>
        <v>0</v>
      </c>
    </row>
    <row r="264" spans="1:39" ht="192" customHeight="1" x14ac:dyDescent="0.25">
      <c r="A264" s="10">
        <v>261</v>
      </c>
      <c r="B264" s="37">
        <v>119731</v>
      </c>
      <c r="C264" s="20">
        <v>51</v>
      </c>
      <c r="D264" s="20" t="s">
        <v>254</v>
      </c>
      <c r="E264" s="14" t="s">
        <v>851</v>
      </c>
      <c r="F264" s="15" t="s">
        <v>988</v>
      </c>
      <c r="G264" s="15" t="s">
        <v>912</v>
      </c>
      <c r="H264" s="20" t="s">
        <v>35</v>
      </c>
      <c r="I264" s="55" t="s">
        <v>989</v>
      </c>
      <c r="J264" s="30">
        <v>42956</v>
      </c>
      <c r="K264" s="30">
        <v>44236</v>
      </c>
      <c r="L264" s="31">
        <f t="shared" si="132"/>
        <v>83.983862780427785</v>
      </c>
      <c r="M264" s="20" t="s">
        <v>259</v>
      </c>
      <c r="N264" s="20" t="s">
        <v>229</v>
      </c>
      <c r="O264" s="20" t="s">
        <v>229</v>
      </c>
      <c r="P264" s="32" t="s">
        <v>260</v>
      </c>
      <c r="Q264" s="20" t="s">
        <v>40</v>
      </c>
      <c r="R264" s="2">
        <f t="shared" si="133"/>
        <v>10449475.91</v>
      </c>
      <c r="S264" s="2">
        <v>8426591.9100000001</v>
      </c>
      <c r="T264" s="2">
        <v>2022884</v>
      </c>
      <c r="U264" s="2">
        <f t="shared" si="139"/>
        <v>0</v>
      </c>
      <c r="V264" s="2">
        <v>0</v>
      </c>
      <c r="W264" s="2">
        <v>0</v>
      </c>
      <c r="X264" s="2">
        <f t="shared" si="135"/>
        <v>1992766.64</v>
      </c>
      <c r="Y264" s="2">
        <v>1487045.64</v>
      </c>
      <c r="Z264" s="2">
        <v>505721</v>
      </c>
      <c r="AA264" s="2">
        <f t="shared" si="136"/>
        <v>0</v>
      </c>
      <c r="AB264" s="2">
        <v>0</v>
      </c>
      <c r="AC264" s="2">
        <v>0</v>
      </c>
      <c r="AD264" s="2">
        <f t="shared" si="137"/>
        <v>12442242.550000001</v>
      </c>
      <c r="AE264" s="2">
        <v>0</v>
      </c>
      <c r="AF264" s="2">
        <f t="shared" si="138"/>
        <v>12442242.550000001</v>
      </c>
      <c r="AG264" s="39" t="s">
        <v>69</v>
      </c>
      <c r="AH264" s="25" t="s">
        <v>990</v>
      </c>
      <c r="AI264" s="35">
        <f>751571.65+520506.47</f>
        <v>1272078.1200000001</v>
      </c>
      <c r="AJ264" s="123">
        <v>0</v>
      </c>
      <c r="AK264" s="28">
        <f t="shared" si="140"/>
        <v>9177397.7899999991</v>
      </c>
      <c r="AL264" s="28">
        <f t="shared" si="141"/>
        <v>0</v>
      </c>
      <c r="AM264" s="29">
        <f t="shared" si="142"/>
        <v>0.12173606896233326</v>
      </c>
    </row>
    <row r="265" spans="1:39" ht="192" customHeight="1" x14ac:dyDescent="0.25">
      <c r="A265" s="10">
        <v>262</v>
      </c>
      <c r="B265" s="37">
        <v>119741</v>
      </c>
      <c r="C265" s="20">
        <v>63</v>
      </c>
      <c r="D265" s="20" t="s">
        <v>933</v>
      </c>
      <c r="E265" s="14" t="s">
        <v>934</v>
      </c>
      <c r="F265" s="15" t="s">
        <v>991</v>
      </c>
      <c r="G265" s="15" t="s">
        <v>992</v>
      </c>
      <c r="H265" s="20" t="s">
        <v>35</v>
      </c>
      <c r="I265" s="55" t="s">
        <v>993</v>
      </c>
      <c r="J265" s="30">
        <v>43063</v>
      </c>
      <c r="K265" s="30">
        <v>44067</v>
      </c>
      <c r="L265" s="31">
        <f t="shared" si="132"/>
        <v>83.983862837339956</v>
      </c>
      <c r="M265" s="20" t="s">
        <v>259</v>
      </c>
      <c r="N265" s="20" t="s">
        <v>229</v>
      </c>
      <c r="O265" s="20" t="s">
        <v>229</v>
      </c>
      <c r="P265" s="32" t="s">
        <v>260</v>
      </c>
      <c r="Q265" s="20" t="s">
        <v>40</v>
      </c>
      <c r="R265" s="2">
        <f t="shared" si="133"/>
        <v>2267315.5699999998</v>
      </c>
      <c r="S265" s="2">
        <v>1828392.47</v>
      </c>
      <c r="T265" s="2">
        <v>438923.1</v>
      </c>
      <c r="U265" s="2">
        <f t="shared" si="139"/>
        <v>0</v>
      </c>
      <c r="V265" s="2">
        <v>0</v>
      </c>
      <c r="W265" s="2">
        <v>0</v>
      </c>
      <c r="X265" s="2">
        <f t="shared" si="135"/>
        <v>432388.27</v>
      </c>
      <c r="Y265" s="2">
        <v>322657.49</v>
      </c>
      <c r="Z265" s="2">
        <v>109730.78</v>
      </c>
      <c r="AA265" s="2">
        <f t="shared" si="136"/>
        <v>0</v>
      </c>
      <c r="AB265" s="2">
        <v>0</v>
      </c>
      <c r="AC265" s="2">
        <v>0</v>
      </c>
      <c r="AD265" s="2">
        <f t="shared" si="137"/>
        <v>2699703.84</v>
      </c>
      <c r="AE265" s="2">
        <v>0</v>
      </c>
      <c r="AF265" s="2">
        <f t="shared" si="138"/>
        <v>2699703.84</v>
      </c>
      <c r="AG265" s="39" t="s">
        <v>69</v>
      </c>
      <c r="AH265" s="25" t="s">
        <v>994</v>
      </c>
      <c r="AI265" s="35">
        <v>1030343.44</v>
      </c>
      <c r="AJ265" s="123">
        <v>0</v>
      </c>
      <c r="AK265" s="28">
        <f t="shared" si="140"/>
        <v>1236972.1299999999</v>
      </c>
      <c r="AL265" s="28">
        <f t="shared" si="141"/>
        <v>0</v>
      </c>
      <c r="AM265" s="29">
        <f t="shared" si="142"/>
        <v>0.4544331868192481</v>
      </c>
    </row>
    <row r="266" spans="1:39" ht="192" customHeight="1" x14ac:dyDescent="0.25">
      <c r="A266" s="10">
        <v>263</v>
      </c>
      <c r="B266" s="37">
        <v>119983</v>
      </c>
      <c r="C266" s="20">
        <v>58</v>
      </c>
      <c r="D266" s="20" t="s">
        <v>254</v>
      </c>
      <c r="E266" s="14" t="s">
        <v>851</v>
      </c>
      <c r="F266" s="15" t="s">
        <v>995</v>
      </c>
      <c r="G266" s="32" t="s">
        <v>930</v>
      </c>
      <c r="H266" s="20" t="s">
        <v>996</v>
      </c>
      <c r="I266" s="55" t="s">
        <v>997</v>
      </c>
      <c r="J266" s="30">
        <v>42963</v>
      </c>
      <c r="K266" s="30">
        <v>44059</v>
      </c>
      <c r="L266" s="31">
        <f t="shared" si="132"/>
        <v>83.983862872994763</v>
      </c>
      <c r="M266" s="20" t="s">
        <v>259</v>
      </c>
      <c r="N266" s="20" t="s">
        <v>229</v>
      </c>
      <c r="O266" s="20" t="s">
        <v>229</v>
      </c>
      <c r="P266" s="32" t="s">
        <v>260</v>
      </c>
      <c r="Q266" s="20" t="s">
        <v>40</v>
      </c>
      <c r="R266" s="2">
        <f t="shared" si="133"/>
        <v>8062160.4699999997</v>
      </c>
      <c r="S266" s="2">
        <v>6501430</v>
      </c>
      <c r="T266" s="2">
        <v>1560730.47</v>
      </c>
      <c r="U266" s="2">
        <f t="shared" si="139"/>
        <v>0</v>
      </c>
      <c r="V266" s="2">
        <v>0</v>
      </c>
      <c r="W266" s="2">
        <v>0</v>
      </c>
      <c r="X266" s="2">
        <f t="shared" si="135"/>
        <v>1537493.79</v>
      </c>
      <c r="Y266" s="2">
        <v>1147311.17</v>
      </c>
      <c r="Z266" s="2">
        <v>390182.62</v>
      </c>
      <c r="AA266" s="2">
        <f t="shared" si="136"/>
        <v>0</v>
      </c>
      <c r="AB266" s="2">
        <v>0</v>
      </c>
      <c r="AC266" s="2">
        <v>0</v>
      </c>
      <c r="AD266" s="2">
        <f t="shared" si="137"/>
        <v>9599654.2599999998</v>
      </c>
      <c r="AE266" s="2">
        <v>655333</v>
      </c>
      <c r="AF266" s="2">
        <f t="shared" si="138"/>
        <v>10254987.26</v>
      </c>
      <c r="AG266" s="39" t="s">
        <v>69</v>
      </c>
      <c r="AH266" s="25" t="s">
        <v>998</v>
      </c>
      <c r="AI266" s="35">
        <f>27068+159937+61959.1+719797.57+221414.47+187753.57</f>
        <v>1377929.71</v>
      </c>
      <c r="AJ266" s="123">
        <v>0</v>
      </c>
      <c r="AK266" s="28">
        <f t="shared" si="140"/>
        <v>6684230.7599999998</v>
      </c>
      <c r="AL266" s="28">
        <f t="shared" si="141"/>
        <v>0</v>
      </c>
      <c r="AM266" s="29">
        <f t="shared" si="142"/>
        <v>0.17091320808205149</v>
      </c>
    </row>
    <row r="267" spans="1:39" ht="192" customHeight="1" x14ac:dyDescent="0.25">
      <c r="A267" s="10">
        <v>264</v>
      </c>
      <c r="B267" s="37">
        <v>119957</v>
      </c>
      <c r="C267" s="20">
        <v>136</v>
      </c>
      <c r="D267" s="20" t="s">
        <v>999</v>
      </c>
      <c r="E267" s="14" t="s">
        <v>1000</v>
      </c>
      <c r="F267" s="15" t="s">
        <v>1001</v>
      </c>
      <c r="G267" s="15" t="s">
        <v>952</v>
      </c>
      <c r="H267" s="20" t="s">
        <v>1002</v>
      </c>
      <c r="I267" s="55" t="s">
        <v>1003</v>
      </c>
      <c r="J267" s="30">
        <v>43047</v>
      </c>
      <c r="K267" s="30">
        <v>44204</v>
      </c>
      <c r="L267" s="31">
        <f t="shared" si="132"/>
        <v>83.983862631165763</v>
      </c>
      <c r="M267" s="20" t="s">
        <v>259</v>
      </c>
      <c r="N267" s="20" t="s">
        <v>229</v>
      </c>
      <c r="O267" s="20" t="s">
        <v>229</v>
      </c>
      <c r="P267" s="32" t="s">
        <v>260</v>
      </c>
      <c r="Q267" s="20" t="s">
        <v>40</v>
      </c>
      <c r="R267" s="2">
        <f t="shared" si="133"/>
        <v>30804926.460000001</v>
      </c>
      <c r="S267" s="2">
        <v>24841489.309999999</v>
      </c>
      <c r="T267" s="2">
        <v>5963437.1500000004</v>
      </c>
      <c r="U267" s="2">
        <f t="shared" si="139"/>
        <v>0</v>
      </c>
      <c r="V267" s="2">
        <v>0</v>
      </c>
      <c r="W267" s="2">
        <v>0</v>
      </c>
      <c r="X267" s="2">
        <f t="shared" si="135"/>
        <v>5874651.6099999994</v>
      </c>
      <c r="Y267" s="2">
        <v>4383792.3</v>
      </c>
      <c r="Z267" s="2">
        <v>1490859.31</v>
      </c>
      <c r="AA267" s="2">
        <f t="shared" si="136"/>
        <v>0</v>
      </c>
      <c r="AB267" s="2">
        <v>0</v>
      </c>
      <c r="AC267" s="2">
        <v>0</v>
      </c>
      <c r="AD267" s="2">
        <f t="shared" si="137"/>
        <v>36679578.07</v>
      </c>
      <c r="AE267" s="2">
        <v>0</v>
      </c>
      <c r="AF267" s="2">
        <f t="shared" si="138"/>
        <v>36679578.07</v>
      </c>
      <c r="AG267" s="39" t="s">
        <v>69</v>
      </c>
      <c r="AH267" s="25" t="s">
        <v>1004</v>
      </c>
      <c r="AI267" s="35">
        <f>2761684.65+10585240.81+72837.53</f>
        <v>13419762.99</v>
      </c>
      <c r="AJ267" s="123">
        <v>0</v>
      </c>
      <c r="AK267" s="28">
        <f t="shared" si="140"/>
        <v>17385163.469999999</v>
      </c>
      <c r="AL267" s="28">
        <f t="shared" si="141"/>
        <v>0</v>
      </c>
      <c r="AM267" s="29">
        <f t="shared" si="142"/>
        <v>0.43563691046058739</v>
      </c>
    </row>
    <row r="268" spans="1:39" ht="192" customHeight="1" x14ac:dyDescent="0.25">
      <c r="A268" s="10">
        <v>265</v>
      </c>
      <c r="B268" s="37">
        <v>110215</v>
      </c>
      <c r="C268" s="20">
        <v>139</v>
      </c>
      <c r="D268" s="20" t="s">
        <v>254</v>
      </c>
      <c r="E268" s="14" t="s">
        <v>1005</v>
      </c>
      <c r="F268" s="32" t="s">
        <v>1006</v>
      </c>
      <c r="G268" s="32" t="s">
        <v>1007</v>
      </c>
      <c r="H268" s="20" t="s">
        <v>46</v>
      </c>
      <c r="I268" s="112" t="s">
        <v>1008</v>
      </c>
      <c r="J268" s="30">
        <v>43357</v>
      </c>
      <c r="K268" s="30">
        <v>43844</v>
      </c>
      <c r="L268" s="31">
        <f t="shared" si="132"/>
        <v>82.304183894733001</v>
      </c>
      <c r="M268" s="20" t="s">
        <v>855</v>
      </c>
      <c r="N268" s="20" t="s">
        <v>1009</v>
      </c>
      <c r="O268" s="20" t="s">
        <v>1009</v>
      </c>
      <c r="P268" s="32" t="s">
        <v>850</v>
      </c>
      <c r="Q268" s="62" t="s">
        <v>40</v>
      </c>
      <c r="R268" s="2">
        <f t="shared" si="133"/>
        <v>799287.37</v>
      </c>
      <c r="S268" s="2">
        <v>644555.61</v>
      </c>
      <c r="T268" s="2">
        <v>154731.76</v>
      </c>
      <c r="U268" s="2">
        <f t="shared" si="139"/>
        <v>152428.06</v>
      </c>
      <c r="V268" s="2">
        <v>113745.12</v>
      </c>
      <c r="W268" s="2">
        <v>38682.94</v>
      </c>
      <c r="X268" s="2">
        <f t="shared" si="135"/>
        <v>0</v>
      </c>
      <c r="Y268" s="2"/>
      <c r="Z268" s="2"/>
      <c r="AA268" s="2">
        <f t="shared" si="136"/>
        <v>19422.77</v>
      </c>
      <c r="AB268" s="2">
        <v>15475.55</v>
      </c>
      <c r="AC268" s="2">
        <v>3947.22</v>
      </c>
      <c r="AD268" s="2">
        <f t="shared" si="137"/>
        <v>971138.2</v>
      </c>
      <c r="AE268" s="2">
        <v>0</v>
      </c>
      <c r="AF268" s="2">
        <f t="shared" si="138"/>
        <v>971138.2</v>
      </c>
      <c r="AG268" s="39" t="s">
        <v>41</v>
      </c>
      <c r="AH268" s="34" t="s">
        <v>1010</v>
      </c>
      <c r="AI268" s="35">
        <f>97000-12225.11+76329.94+54447.72+71579.61+92674.11+104473.49+126688.56+96579.85-13634.34-3831.78</f>
        <v>690082.05</v>
      </c>
      <c r="AJ268" s="36">
        <f>12225.11+10383.44+13650.58+17673.4+19923.6+24160.13+18418.25+13634.34+1533.19</f>
        <v>131602.04</v>
      </c>
      <c r="AK268" s="28">
        <f t="shared" si="140"/>
        <v>109205.31999999995</v>
      </c>
      <c r="AL268" s="28">
        <f t="shared" si="141"/>
        <v>20826.01999999999</v>
      </c>
      <c r="AM268" s="29">
        <f t="shared" si="142"/>
        <v>0.86337164316758819</v>
      </c>
    </row>
    <row r="269" spans="1:39" ht="192" customHeight="1" x14ac:dyDescent="0.25">
      <c r="A269" s="10">
        <v>266</v>
      </c>
      <c r="B269" s="37">
        <v>111983</v>
      </c>
      <c r="C269" s="20">
        <v>238</v>
      </c>
      <c r="D269" s="20" t="s">
        <v>254</v>
      </c>
      <c r="E269" s="14" t="s">
        <v>1005</v>
      </c>
      <c r="F269" s="63" t="s">
        <v>1011</v>
      </c>
      <c r="G269" s="15" t="s">
        <v>1012</v>
      </c>
      <c r="H269" s="20" t="s">
        <v>132</v>
      </c>
      <c r="I269" s="16" t="s">
        <v>1013</v>
      </c>
      <c r="J269" s="30">
        <v>43270</v>
      </c>
      <c r="K269" s="30">
        <v>43880</v>
      </c>
      <c r="L269" s="31">
        <f t="shared" si="132"/>
        <v>82.304184684756876</v>
      </c>
      <c r="M269" s="20" t="s">
        <v>855</v>
      </c>
      <c r="N269" s="20" t="s">
        <v>229</v>
      </c>
      <c r="O269" s="20" t="s">
        <v>229</v>
      </c>
      <c r="P269" s="32" t="s">
        <v>850</v>
      </c>
      <c r="Q269" s="20" t="s">
        <v>40</v>
      </c>
      <c r="R269" s="2">
        <f t="shared" si="133"/>
        <v>768299.49</v>
      </c>
      <c r="S269" s="2">
        <v>619566.6</v>
      </c>
      <c r="T269" s="2">
        <v>148732.89000000001</v>
      </c>
      <c r="U269" s="2">
        <f t="shared" si="139"/>
        <v>146518.51</v>
      </c>
      <c r="V269" s="2">
        <v>109335.29</v>
      </c>
      <c r="W269" s="2">
        <v>37183.22</v>
      </c>
      <c r="X269" s="2">
        <f t="shared" si="135"/>
        <v>0</v>
      </c>
      <c r="Y269" s="2"/>
      <c r="Z269" s="2"/>
      <c r="AA269" s="2">
        <f t="shared" si="136"/>
        <v>18669.759999999998</v>
      </c>
      <c r="AB269" s="2">
        <v>14875.55</v>
      </c>
      <c r="AC269" s="2">
        <v>3794.21</v>
      </c>
      <c r="AD269" s="2">
        <f t="shared" si="137"/>
        <v>933487.76</v>
      </c>
      <c r="AE269" s="2">
        <v>0</v>
      </c>
      <c r="AF269" s="2">
        <f t="shared" si="138"/>
        <v>933487.76</v>
      </c>
      <c r="AG269" s="39" t="s">
        <v>628</v>
      </c>
      <c r="AH269" s="34" t="s">
        <v>1014</v>
      </c>
      <c r="AI269" s="35">
        <f>412300.12+97046.16+93000+18147.29+37314.74</f>
        <v>657808.31000000006</v>
      </c>
      <c r="AJ269" s="36">
        <f>11017.56+15316.94+17051+17506.62+36242.76+21196.3+7116.12</f>
        <v>125447.3</v>
      </c>
      <c r="AK269" s="28">
        <f t="shared" si="140"/>
        <v>110491.17999999993</v>
      </c>
      <c r="AL269" s="28">
        <f t="shared" si="141"/>
        <v>21071.210000000006</v>
      </c>
      <c r="AM269" s="29">
        <f t="shared" si="142"/>
        <v>0.85618735735461715</v>
      </c>
    </row>
    <row r="270" spans="1:39" ht="192" customHeight="1" x14ac:dyDescent="0.25">
      <c r="A270" s="10">
        <v>267</v>
      </c>
      <c r="B270" s="37">
        <v>115784</v>
      </c>
      <c r="C270" s="20">
        <v>388</v>
      </c>
      <c r="D270" s="124" t="s">
        <v>254</v>
      </c>
      <c r="E270" s="14" t="s">
        <v>1015</v>
      </c>
      <c r="F270" s="63" t="s">
        <v>1016</v>
      </c>
      <c r="G270" s="32" t="s">
        <v>257</v>
      </c>
      <c r="H270" s="20" t="s">
        <v>46</v>
      </c>
      <c r="I270" s="112" t="s">
        <v>1017</v>
      </c>
      <c r="J270" s="30">
        <v>43297</v>
      </c>
      <c r="K270" s="30">
        <v>44271</v>
      </c>
      <c r="L270" s="31">
        <f t="shared" si="132"/>
        <v>83.98386251542432</v>
      </c>
      <c r="M270" s="20" t="s">
        <v>855</v>
      </c>
      <c r="N270" s="20" t="s">
        <v>228</v>
      </c>
      <c r="O270" s="20" t="s">
        <v>228</v>
      </c>
      <c r="P270" s="32" t="s">
        <v>260</v>
      </c>
      <c r="Q270" s="20" t="s">
        <v>40</v>
      </c>
      <c r="R270" s="2">
        <f t="shared" si="133"/>
        <v>2474673.0699999998</v>
      </c>
      <c r="S270" s="2">
        <v>1995608.24</v>
      </c>
      <c r="T270" s="2">
        <v>479064.83</v>
      </c>
      <c r="U270" s="2">
        <f t="shared" si="139"/>
        <v>0</v>
      </c>
      <c r="V270" s="2"/>
      <c r="W270" s="2"/>
      <c r="X270" s="2">
        <f t="shared" si="135"/>
        <v>471932.38</v>
      </c>
      <c r="Y270" s="2">
        <v>352166.15</v>
      </c>
      <c r="Z270" s="2">
        <v>119766.23</v>
      </c>
      <c r="AA270" s="2">
        <f t="shared" si="136"/>
        <v>0</v>
      </c>
      <c r="AB270" s="2">
        <v>0</v>
      </c>
      <c r="AC270" s="2">
        <v>0</v>
      </c>
      <c r="AD270" s="2">
        <f t="shared" si="137"/>
        <v>2946605.4499999997</v>
      </c>
      <c r="AE270" s="2">
        <v>0</v>
      </c>
      <c r="AF270" s="2">
        <f t="shared" si="138"/>
        <v>2946605.4499999997</v>
      </c>
      <c r="AG270" s="39" t="s">
        <v>69</v>
      </c>
      <c r="AH270" s="34" t="s">
        <v>132</v>
      </c>
      <c r="AI270" s="35">
        <f>215200.57+51505.91+106050.63</f>
        <v>372757.11</v>
      </c>
      <c r="AJ270" s="36">
        <v>0</v>
      </c>
      <c r="AK270" s="28">
        <f t="shared" si="140"/>
        <v>2101915.96</v>
      </c>
      <c r="AL270" s="28">
        <f t="shared" si="141"/>
        <v>0</v>
      </c>
      <c r="AM270" s="29">
        <f t="shared" si="142"/>
        <v>0.15062883033676849</v>
      </c>
    </row>
    <row r="271" spans="1:39" ht="192" customHeight="1" x14ac:dyDescent="0.25">
      <c r="A271" s="10">
        <v>268</v>
      </c>
      <c r="B271" s="37">
        <v>120082</v>
      </c>
      <c r="C271" s="20">
        <v>56</v>
      </c>
      <c r="D271" s="20" t="s">
        <v>861</v>
      </c>
      <c r="E271" s="14" t="s">
        <v>862</v>
      </c>
      <c r="F271" s="15" t="s">
        <v>1018</v>
      </c>
      <c r="G271" s="15" t="s">
        <v>1019</v>
      </c>
      <c r="H271" s="20" t="s">
        <v>1020</v>
      </c>
      <c r="I271" s="55" t="s">
        <v>1021</v>
      </c>
      <c r="J271" s="30">
        <v>43006</v>
      </c>
      <c r="K271" s="30">
        <v>44405</v>
      </c>
      <c r="L271" s="31">
        <f t="shared" si="132"/>
        <v>83.98386279749451</v>
      </c>
      <c r="M271" s="20" t="s">
        <v>259</v>
      </c>
      <c r="N271" s="20" t="s">
        <v>229</v>
      </c>
      <c r="O271" s="20" t="s">
        <v>229</v>
      </c>
      <c r="P271" s="32" t="s">
        <v>260</v>
      </c>
      <c r="Q271" s="20" t="s">
        <v>40</v>
      </c>
      <c r="R271" s="2">
        <f t="shared" si="133"/>
        <v>5145385.2700000005</v>
      </c>
      <c r="S271" s="2">
        <v>4149304.93</v>
      </c>
      <c r="T271" s="2">
        <v>996080.34</v>
      </c>
      <c r="U271" s="2">
        <f t="shared" si="139"/>
        <v>0</v>
      </c>
      <c r="V271" s="2">
        <v>0</v>
      </c>
      <c r="W271" s="2">
        <v>0</v>
      </c>
      <c r="X271" s="2">
        <f t="shared" si="135"/>
        <v>981250.37</v>
      </c>
      <c r="Y271" s="2">
        <v>732230.28</v>
      </c>
      <c r="Z271" s="2">
        <v>249020.09</v>
      </c>
      <c r="AA271" s="2">
        <f t="shared" si="136"/>
        <v>0</v>
      </c>
      <c r="AB271" s="2">
        <v>0</v>
      </c>
      <c r="AC271" s="2">
        <v>0</v>
      </c>
      <c r="AD271" s="2">
        <f t="shared" si="137"/>
        <v>6126635.6400000006</v>
      </c>
      <c r="AE271" s="2">
        <v>0</v>
      </c>
      <c r="AF271" s="2">
        <f t="shared" si="138"/>
        <v>6126635.6400000006</v>
      </c>
      <c r="AG271" s="39" t="s">
        <v>69</v>
      </c>
      <c r="AH271" s="25" t="s">
        <v>35</v>
      </c>
      <c r="AI271" s="35">
        <f>15818.36+6578.46+48495.02+338393.1</f>
        <v>409284.93999999994</v>
      </c>
      <c r="AJ271" s="36">
        <v>0</v>
      </c>
      <c r="AK271" s="28">
        <f t="shared" si="140"/>
        <v>4736100.33</v>
      </c>
      <c r="AL271" s="28">
        <f t="shared" si="141"/>
        <v>0</v>
      </c>
      <c r="AM271" s="29">
        <f t="shared" si="142"/>
        <v>7.9544080476601497E-2</v>
      </c>
    </row>
    <row r="272" spans="1:39" ht="192" customHeight="1" x14ac:dyDescent="0.25">
      <c r="A272" s="10">
        <v>269</v>
      </c>
      <c r="B272" s="37">
        <v>120126</v>
      </c>
      <c r="C272" s="20">
        <v>57</v>
      </c>
      <c r="D272" s="20" t="s">
        <v>861</v>
      </c>
      <c r="E272" s="14" t="s">
        <v>862</v>
      </c>
      <c r="F272" s="15" t="s">
        <v>1022</v>
      </c>
      <c r="G272" s="15" t="s">
        <v>916</v>
      </c>
      <c r="H272" s="20" t="s">
        <v>35</v>
      </c>
      <c r="I272" s="55" t="s">
        <v>1023</v>
      </c>
      <c r="J272" s="30">
        <v>43060</v>
      </c>
      <c r="K272" s="30">
        <v>44095</v>
      </c>
      <c r="L272" s="31">
        <f t="shared" si="132"/>
        <v>83.98386273060467</v>
      </c>
      <c r="M272" s="20" t="s">
        <v>259</v>
      </c>
      <c r="N272" s="20" t="s">
        <v>229</v>
      </c>
      <c r="O272" s="20" t="s">
        <v>229</v>
      </c>
      <c r="P272" s="32" t="s">
        <v>260</v>
      </c>
      <c r="Q272" s="20" t="s">
        <v>40</v>
      </c>
      <c r="R272" s="2">
        <f t="shared" si="133"/>
        <v>2709276.16</v>
      </c>
      <c r="S272" s="2">
        <v>2184795.1800000002</v>
      </c>
      <c r="T272" s="2">
        <v>524480.98</v>
      </c>
      <c r="U272" s="2">
        <f t="shared" si="139"/>
        <v>0</v>
      </c>
      <c r="V272" s="2">
        <v>0</v>
      </c>
      <c r="W272" s="2">
        <v>0</v>
      </c>
      <c r="X272" s="2">
        <f t="shared" si="135"/>
        <v>516672.34</v>
      </c>
      <c r="Y272" s="2">
        <v>385552.09</v>
      </c>
      <c r="Z272" s="2">
        <v>131120.25</v>
      </c>
      <c r="AA272" s="2">
        <f t="shared" si="136"/>
        <v>0</v>
      </c>
      <c r="AB272" s="2">
        <v>0</v>
      </c>
      <c r="AC272" s="2">
        <v>0</v>
      </c>
      <c r="AD272" s="2">
        <f t="shared" si="137"/>
        <v>3225948.5</v>
      </c>
      <c r="AE272" s="2">
        <v>0</v>
      </c>
      <c r="AF272" s="2">
        <f t="shared" si="138"/>
        <v>3225948.5</v>
      </c>
      <c r="AG272" s="39" t="s">
        <v>69</v>
      </c>
      <c r="AH272" s="41" t="s">
        <v>1024</v>
      </c>
      <c r="AI272" s="35">
        <v>159377.85</v>
      </c>
      <c r="AJ272" s="36">
        <v>0</v>
      </c>
      <c r="AK272" s="28">
        <f t="shared" si="140"/>
        <v>2549898.31</v>
      </c>
      <c r="AL272" s="28">
        <f t="shared" si="141"/>
        <v>0</v>
      </c>
      <c r="AM272" s="29">
        <f t="shared" si="142"/>
        <v>5.8826727357317463E-2</v>
      </c>
    </row>
    <row r="273" spans="1:39" ht="192" customHeight="1" x14ac:dyDescent="0.25">
      <c r="A273" s="10">
        <v>270</v>
      </c>
      <c r="B273" s="37">
        <v>116172</v>
      </c>
      <c r="C273" s="20">
        <v>391</v>
      </c>
      <c r="D273" s="20" t="s">
        <v>254</v>
      </c>
      <c r="E273" s="14" t="s">
        <v>1015</v>
      </c>
      <c r="F273" s="63" t="s">
        <v>1025</v>
      </c>
      <c r="G273" s="32" t="s">
        <v>833</v>
      </c>
      <c r="H273" s="32" t="s">
        <v>1026</v>
      </c>
      <c r="I273" s="16" t="s">
        <v>1027</v>
      </c>
      <c r="J273" s="30">
        <v>43230</v>
      </c>
      <c r="K273" s="30">
        <v>44387</v>
      </c>
      <c r="L273" s="31">
        <f t="shared" si="132"/>
        <v>83.983862781809307</v>
      </c>
      <c r="M273" s="20" t="s">
        <v>855</v>
      </c>
      <c r="N273" s="20" t="s">
        <v>856</v>
      </c>
      <c r="O273" s="20" t="s">
        <v>856</v>
      </c>
      <c r="P273" s="32" t="s">
        <v>260</v>
      </c>
      <c r="Q273" s="20" t="s">
        <v>40</v>
      </c>
      <c r="R273" s="2">
        <f t="shared" si="133"/>
        <v>6564977.1999999993</v>
      </c>
      <c r="S273" s="2">
        <v>5294082.1399999997</v>
      </c>
      <c r="T273" s="2">
        <v>1270895.06</v>
      </c>
      <c r="U273" s="2">
        <f t="shared" si="139"/>
        <v>0</v>
      </c>
      <c r="V273" s="2">
        <v>0</v>
      </c>
      <c r="W273" s="2">
        <v>0</v>
      </c>
      <c r="X273" s="2">
        <f t="shared" si="135"/>
        <v>1251973.56</v>
      </c>
      <c r="Y273" s="2">
        <v>934249.79</v>
      </c>
      <c r="Z273" s="2">
        <v>317723.77</v>
      </c>
      <c r="AA273" s="2">
        <f t="shared" si="136"/>
        <v>0</v>
      </c>
      <c r="AB273" s="2">
        <v>0</v>
      </c>
      <c r="AC273" s="2">
        <v>0</v>
      </c>
      <c r="AD273" s="2">
        <f t="shared" si="137"/>
        <v>7816950.7599999998</v>
      </c>
      <c r="AE273" s="2">
        <v>0</v>
      </c>
      <c r="AF273" s="2">
        <f t="shared" si="138"/>
        <v>7816950.7599999998</v>
      </c>
      <c r="AG273" s="39" t="s">
        <v>69</v>
      </c>
      <c r="AH273" s="34" t="s">
        <v>1028</v>
      </c>
      <c r="AI273" s="35">
        <v>306350.64</v>
      </c>
      <c r="AJ273" s="36">
        <v>0</v>
      </c>
      <c r="AK273" s="28">
        <f t="shared" si="140"/>
        <v>6258626.5599999996</v>
      </c>
      <c r="AL273" s="28">
        <f t="shared" si="141"/>
        <v>0</v>
      </c>
      <c r="AM273" s="29">
        <f t="shared" si="142"/>
        <v>4.6664387501604732E-2</v>
      </c>
    </row>
    <row r="274" spans="1:39" ht="192" customHeight="1" x14ac:dyDescent="0.25">
      <c r="A274" s="10">
        <v>271</v>
      </c>
      <c r="B274" s="37">
        <v>118963</v>
      </c>
      <c r="C274" s="20">
        <v>34</v>
      </c>
      <c r="D274" s="20" t="s">
        <v>54</v>
      </c>
      <c r="E274" s="14" t="s">
        <v>1029</v>
      </c>
      <c r="F274" s="15" t="s">
        <v>1030</v>
      </c>
      <c r="G274" s="15" t="s">
        <v>952</v>
      </c>
      <c r="H274" s="20" t="s">
        <v>1031</v>
      </c>
      <c r="I274" s="55" t="s">
        <v>1032</v>
      </c>
      <c r="J274" s="30">
        <v>42629</v>
      </c>
      <c r="K274" s="30">
        <v>43540</v>
      </c>
      <c r="L274" s="31">
        <f t="shared" si="132"/>
        <v>83.983862803496507</v>
      </c>
      <c r="M274" s="20" t="s">
        <v>259</v>
      </c>
      <c r="N274" s="20" t="s">
        <v>229</v>
      </c>
      <c r="O274" s="20" t="s">
        <v>229</v>
      </c>
      <c r="P274" s="32" t="s">
        <v>260</v>
      </c>
      <c r="Q274" s="20" t="s">
        <v>40</v>
      </c>
      <c r="R274" s="2">
        <f t="shared" si="133"/>
        <v>4117071.25</v>
      </c>
      <c r="S274" s="2">
        <v>3320059.26</v>
      </c>
      <c r="T274" s="2">
        <v>797011.99</v>
      </c>
      <c r="U274" s="2">
        <f t="shared" si="139"/>
        <v>0</v>
      </c>
      <c r="V274" s="2">
        <v>0</v>
      </c>
      <c r="W274" s="2">
        <v>0</v>
      </c>
      <c r="X274" s="2">
        <f t="shared" si="135"/>
        <v>785145.81</v>
      </c>
      <c r="Y274" s="2">
        <v>585892.81000000006</v>
      </c>
      <c r="Z274" s="2">
        <v>199253</v>
      </c>
      <c r="AA274" s="2">
        <f t="shared" si="136"/>
        <v>0</v>
      </c>
      <c r="AB274" s="2">
        <v>0</v>
      </c>
      <c r="AC274" s="2">
        <v>0</v>
      </c>
      <c r="AD274" s="2">
        <f t="shared" si="137"/>
        <v>4902217.0600000005</v>
      </c>
      <c r="AE274" s="2">
        <v>0</v>
      </c>
      <c r="AF274" s="2">
        <f t="shared" si="138"/>
        <v>4902217.0600000005</v>
      </c>
      <c r="AG274" s="24" t="s">
        <v>41</v>
      </c>
      <c r="AH274" s="34" t="s">
        <v>1033</v>
      </c>
      <c r="AI274" s="35">
        <f>1460741.83+228438.52+391513.86+234930.38+421082.6+869050.66+18896.37</f>
        <v>3624654.22</v>
      </c>
      <c r="AJ274" s="36">
        <v>0</v>
      </c>
      <c r="AK274" s="28">
        <f t="shared" si="140"/>
        <v>492417.0299999998</v>
      </c>
      <c r="AL274" s="28">
        <f t="shared" si="141"/>
        <v>0</v>
      </c>
      <c r="AM274" s="29">
        <f t="shared" si="142"/>
        <v>0.88039628170146444</v>
      </c>
    </row>
    <row r="275" spans="1:39" ht="192" customHeight="1" x14ac:dyDescent="0.25">
      <c r="A275" s="10">
        <v>272</v>
      </c>
      <c r="B275" s="37">
        <v>118964</v>
      </c>
      <c r="C275" s="20">
        <v>35</v>
      </c>
      <c r="D275" s="20" t="s">
        <v>54</v>
      </c>
      <c r="E275" s="14" t="s">
        <v>1029</v>
      </c>
      <c r="F275" s="15" t="s">
        <v>1034</v>
      </c>
      <c r="G275" s="15" t="s">
        <v>952</v>
      </c>
      <c r="H275" s="20" t="s">
        <v>1035</v>
      </c>
      <c r="I275" s="55" t="s">
        <v>1036</v>
      </c>
      <c r="J275" s="30">
        <v>42670</v>
      </c>
      <c r="K275" s="30">
        <v>43796</v>
      </c>
      <c r="L275" s="31">
        <f t="shared" si="132"/>
        <v>83.983860041638508</v>
      </c>
      <c r="M275" s="20" t="s">
        <v>259</v>
      </c>
      <c r="N275" s="20" t="s">
        <v>229</v>
      </c>
      <c r="O275" s="20" t="s">
        <v>229</v>
      </c>
      <c r="P275" s="32" t="s">
        <v>260</v>
      </c>
      <c r="Q275" s="20" t="s">
        <v>40</v>
      </c>
      <c r="R275" s="2">
        <f t="shared" si="133"/>
        <v>1279634.26</v>
      </c>
      <c r="S275" s="2">
        <v>1031913.55</v>
      </c>
      <c r="T275" s="2">
        <v>247720.71</v>
      </c>
      <c r="U275" s="2">
        <f t="shared" si="139"/>
        <v>0</v>
      </c>
      <c r="V275" s="2">
        <v>0</v>
      </c>
      <c r="W275" s="2">
        <v>0</v>
      </c>
      <c r="X275" s="2">
        <f t="shared" si="135"/>
        <v>244032.62</v>
      </c>
      <c r="Y275" s="2">
        <v>182102.42</v>
      </c>
      <c r="Z275" s="2">
        <v>61930.2</v>
      </c>
      <c r="AA275" s="2">
        <f t="shared" si="136"/>
        <v>0</v>
      </c>
      <c r="AB275" s="2">
        <v>0</v>
      </c>
      <c r="AC275" s="2">
        <v>0</v>
      </c>
      <c r="AD275" s="2">
        <f t="shared" si="137"/>
        <v>1523666.88</v>
      </c>
      <c r="AE275" s="2">
        <v>0</v>
      </c>
      <c r="AF275" s="2">
        <f t="shared" si="138"/>
        <v>1523666.88</v>
      </c>
      <c r="AG275" s="24" t="s">
        <v>41</v>
      </c>
      <c r="AH275" s="34" t="s">
        <v>1037</v>
      </c>
      <c r="AI275" s="35">
        <f>122689.41+119337.51+49801.59+108022.55+173686.44+582492.4</f>
        <v>1156029.8999999999</v>
      </c>
      <c r="AJ275" s="36">
        <v>0</v>
      </c>
      <c r="AK275" s="28">
        <f t="shared" si="140"/>
        <v>123604.3600000001</v>
      </c>
      <c r="AL275" s="28">
        <f t="shared" si="141"/>
        <v>0</v>
      </c>
      <c r="AM275" s="29">
        <f t="shared" si="142"/>
        <v>0.90340649366483816</v>
      </c>
    </row>
    <row r="276" spans="1:39" ht="192" customHeight="1" x14ac:dyDescent="0.25">
      <c r="A276" s="10">
        <v>273</v>
      </c>
      <c r="B276" s="37">
        <v>119981</v>
      </c>
      <c r="C276" s="20">
        <v>36</v>
      </c>
      <c r="D276" s="20" t="s">
        <v>54</v>
      </c>
      <c r="E276" s="14" t="s">
        <v>1029</v>
      </c>
      <c r="F276" s="15" t="s">
        <v>1038</v>
      </c>
      <c r="G276" s="15" t="s">
        <v>948</v>
      </c>
      <c r="H276" s="20" t="s">
        <v>35</v>
      </c>
      <c r="I276" s="55" t="s">
        <v>1039</v>
      </c>
      <c r="J276" s="30">
        <v>42579</v>
      </c>
      <c r="K276" s="30">
        <v>43462</v>
      </c>
      <c r="L276" s="31">
        <f t="shared" si="132"/>
        <v>83.983863111728837</v>
      </c>
      <c r="M276" s="20" t="s">
        <v>259</v>
      </c>
      <c r="N276" s="20" t="s">
        <v>229</v>
      </c>
      <c r="O276" s="20" t="s">
        <v>229</v>
      </c>
      <c r="P276" s="32" t="s">
        <v>260</v>
      </c>
      <c r="Q276" s="20" t="s">
        <v>40</v>
      </c>
      <c r="R276" s="2">
        <f t="shared" si="133"/>
        <v>1627939.8599999999</v>
      </c>
      <c r="S276" s="2">
        <v>1312791.6599999999</v>
      </c>
      <c r="T276" s="2">
        <v>315148.2</v>
      </c>
      <c r="U276" s="2">
        <f t="shared" si="139"/>
        <v>0</v>
      </c>
      <c r="V276" s="2">
        <v>0</v>
      </c>
      <c r="W276" s="2">
        <v>0</v>
      </c>
      <c r="X276" s="2">
        <f t="shared" si="135"/>
        <v>310456.15999999997</v>
      </c>
      <c r="Y276" s="2">
        <v>231669.11</v>
      </c>
      <c r="Z276" s="2">
        <v>78787.05</v>
      </c>
      <c r="AA276" s="2">
        <f t="shared" si="136"/>
        <v>0</v>
      </c>
      <c r="AB276" s="2">
        <v>0</v>
      </c>
      <c r="AC276" s="2">
        <v>0</v>
      </c>
      <c r="AD276" s="2">
        <f t="shared" si="137"/>
        <v>1938396.0199999998</v>
      </c>
      <c r="AE276" s="2">
        <v>0</v>
      </c>
      <c r="AF276" s="2">
        <f t="shared" si="138"/>
        <v>1938396.0199999998</v>
      </c>
      <c r="AG276" s="24" t="s">
        <v>41</v>
      </c>
      <c r="AH276" s="34" t="s">
        <v>1040</v>
      </c>
      <c r="AI276" s="35">
        <f>559604.06+125761.16+33457.13+622518.23+7475.79+33855.21+3996.8</f>
        <v>1386668.3800000001</v>
      </c>
      <c r="AJ276" s="36">
        <v>0</v>
      </c>
      <c r="AK276" s="28">
        <f t="shared" si="140"/>
        <v>241271.47999999975</v>
      </c>
      <c r="AL276" s="28">
        <f t="shared" si="141"/>
        <v>0</v>
      </c>
      <c r="AM276" s="29">
        <f t="shared" si="142"/>
        <v>0.85179337030300384</v>
      </c>
    </row>
    <row r="277" spans="1:39" ht="192" customHeight="1" x14ac:dyDescent="0.25">
      <c r="A277" s="10">
        <v>274</v>
      </c>
      <c r="B277" s="37">
        <v>120414</v>
      </c>
      <c r="C277" s="20">
        <v>61</v>
      </c>
      <c r="D277" s="20" t="s">
        <v>933</v>
      </c>
      <c r="E277" s="14" t="s">
        <v>934</v>
      </c>
      <c r="F277" s="15" t="s">
        <v>1041</v>
      </c>
      <c r="G277" s="32" t="s">
        <v>853</v>
      </c>
      <c r="H277" s="20" t="s">
        <v>1042</v>
      </c>
      <c r="I277" s="55" t="s">
        <v>1043</v>
      </c>
      <c r="J277" s="30">
        <v>42893</v>
      </c>
      <c r="K277" s="30">
        <v>44050</v>
      </c>
      <c r="L277" s="31">
        <f t="shared" si="132"/>
        <v>83.395347070002629</v>
      </c>
      <c r="M277" s="20" t="s">
        <v>259</v>
      </c>
      <c r="N277" s="20" t="s">
        <v>229</v>
      </c>
      <c r="O277" s="20" t="s">
        <v>229</v>
      </c>
      <c r="P277" s="32" t="s">
        <v>260</v>
      </c>
      <c r="Q277" s="20" t="s">
        <v>40</v>
      </c>
      <c r="R277" s="2">
        <f t="shared" si="133"/>
        <v>9816719.1999999993</v>
      </c>
      <c r="S277" s="2">
        <v>7916328.7599999998</v>
      </c>
      <c r="T277" s="2">
        <v>1900390.44</v>
      </c>
      <c r="U277" s="2">
        <f t="shared" si="139"/>
        <v>647352.26</v>
      </c>
      <c r="V277" s="2">
        <v>483068.28</v>
      </c>
      <c r="W277" s="2">
        <v>164283.98000000001</v>
      </c>
      <c r="X277" s="2">
        <f t="shared" si="135"/>
        <v>1307231.79</v>
      </c>
      <c r="Y277" s="2">
        <v>979654.51000000013</v>
      </c>
      <c r="Z277" s="2">
        <v>327577.27999999997</v>
      </c>
      <c r="AA277" s="2">
        <f t="shared" si="136"/>
        <v>0</v>
      </c>
      <c r="AB277" s="2">
        <v>0</v>
      </c>
      <c r="AC277" s="2">
        <v>0</v>
      </c>
      <c r="AD277" s="2">
        <f t="shared" si="137"/>
        <v>11771303.25</v>
      </c>
      <c r="AE277" s="2">
        <v>0</v>
      </c>
      <c r="AF277" s="2">
        <f t="shared" si="138"/>
        <v>11771303.25</v>
      </c>
      <c r="AG277" s="39" t="s">
        <v>69</v>
      </c>
      <c r="AH277" s="34" t="s">
        <v>1044</v>
      </c>
      <c r="AI277" s="35">
        <v>2217957.44</v>
      </c>
      <c r="AJ277" s="36">
        <v>116391.22</v>
      </c>
      <c r="AK277" s="28">
        <f t="shared" si="140"/>
        <v>7598761.7599999998</v>
      </c>
      <c r="AL277" s="28">
        <f t="shared" si="141"/>
        <v>530961.04</v>
      </c>
      <c r="AM277" s="29">
        <f t="shared" si="142"/>
        <v>0.22593673047101115</v>
      </c>
    </row>
    <row r="278" spans="1:39" ht="192" customHeight="1" x14ac:dyDescent="0.25">
      <c r="A278" s="10">
        <v>275</v>
      </c>
      <c r="B278" s="37">
        <v>116103</v>
      </c>
      <c r="C278" s="20">
        <v>393</v>
      </c>
      <c r="D278" s="20" t="s">
        <v>254</v>
      </c>
      <c r="E278" s="14" t="s">
        <v>1015</v>
      </c>
      <c r="F278" s="32" t="s">
        <v>1045</v>
      </c>
      <c r="G278" s="15" t="s">
        <v>880</v>
      </c>
      <c r="H278" s="15" t="s">
        <v>1046</v>
      </c>
      <c r="I278" s="16" t="s">
        <v>1047</v>
      </c>
      <c r="J278" s="30">
        <v>43453</v>
      </c>
      <c r="K278" s="30">
        <v>44246</v>
      </c>
      <c r="L278" s="31">
        <f t="shared" si="132"/>
        <v>83.983862913229757</v>
      </c>
      <c r="M278" s="20" t="s">
        <v>855</v>
      </c>
      <c r="N278" s="20" t="s">
        <v>228</v>
      </c>
      <c r="O278" s="20" t="s">
        <v>228</v>
      </c>
      <c r="P278" s="32" t="s">
        <v>260</v>
      </c>
      <c r="Q278" s="20" t="s">
        <v>40</v>
      </c>
      <c r="R278" s="2">
        <f t="shared" si="133"/>
        <v>6662642.3300000001</v>
      </c>
      <c r="S278" s="2">
        <v>5372840.5599999996</v>
      </c>
      <c r="T278" s="2">
        <v>1289801.77</v>
      </c>
      <c r="U278" s="2">
        <f t="shared" si="139"/>
        <v>545363.38</v>
      </c>
      <c r="V278" s="2">
        <v>403028.12</v>
      </c>
      <c r="W278" s="2">
        <v>142335.26</v>
      </c>
      <c r="X278" s="2">
        <f t="shared" si="135"/>
        <v>725235.3899999999</v>
      </c>
      <c r="Y278" s="2">
        <v>545120.19999999995</v>
      </c>
      <c r="Z278" s="2">
        <v>180115.19</v>
      </c>
      <c r="AA278" s="2">
        <f t="shared" si="136"/>
        <v>0</v>
      </c>
      <c r="AB278" s="2">
        <v>0</v>
      </c>
      <c r="AC278" s="2">
        <v>0</v>
      </c>
      <c r="AD278" s="2">
        <f t="shared" si="137"/>
        <v>7933241.0999999996</v>
      </c>
      <c r="AE278" s="42">
        <v>0</v>
      </c>
      <c r="AF278" s="2">
        <f t="shared" si="138"/>
        <v>7933241.0999999996</v>
      </c>
      <c r="AG278" s="39" t="s">
        <v>69</v>
      </c>
      <c r="AH278" s="34"/>
      <c r="AI278" s="35">
        <f>389096.78-1942.82+576398.08+532462.27+389096.78</f>
        <v>1885111.09</v>
      </c>
      <c r="AJ278" s="36">
        <f>30580.48+37794.48+82045.63</f>
        <v>150420.59000000003</v>
      </c>
      <c r="AK278" s="28">
        <f t="shared" si="140"/>
        <v>4777531.24</v>
      </c>
      <c r="AL278" s="28">
        <f t="shared" si="141"/>
        <v>394942.79</v>
      </c>
      <c r="AM278" s="29">
        <f t="shared" si="142"/>
        <v>0.28293745883849658</v>
      </c>
    </row>
    <row r="279" spans="1:39" ht="192" customHeight="1" x14ac:dyDescent="0.25">
      <c r="A279" s="10">
        <v>276</v>
      </c>
      <c r="B279" s="37">
        <v>116097</v>
      </c>
      <c r="C279" s="20">
        <v>394</v>
      </c>
      <c r="D279" s="124" t="s">
        <v>254</v>
      </c>
      <c r="E279" s="14" t="s">
        <v>1015</v>
      </c>
      <c r="F279" s="112" t="s">
        <v>1048</v>
      </c>
      <c r="G279" s="32" t="s">
        <v>930</v>
      </c>
      <c r="H279" s="20" t="s">
        <v>1049</v>
      </c>
      <c r="I279" s="112" t="s">
        <v>1050</v>
      </c>
      <c r="J279" s="30">
        <v>43284</v>
      </c>
      <c r="K279" s="30">
        <v>44077</v>
      </c>
      <c r="L279" s="31">
        <f t="shared" si="132"/>
        <v>83.983862774791262</v>
      </c>
      <c r="M279" s="20" t="s">
        <v>855</v>
      </c>
      <c r="N279" s="20" t="s">
        <v>228</v>
      </c>
      <c r="O279" s="20" t="s">
        <v>228</v>
      </c>
      <c r="P279" s="32" t="s">
        <v>260</v>
      </c>
      <c r="Q279" s="20" t="s">
        <v>40</v>
      </c>
      <c r="R279" s="2">
        <f t="shared" si="133"/>
        <v>6396515.5899999999</v>
      </c>
      <c r="S279" s="2">
        <v>5158232.53</v>
      </c>
      <c r="T279" s="2">
        <v>1238283.06</v>
      </c>
      <c r="U279" s="2">
        <f t="shared" si="139"/>
        <v>472527.32999999996</v>
      </c>
      <c r="V279" s="2">
        <v>349201.67</v>
      </c>
      <c r="W279" s="2">
        <v>123325.66</v>
      </c>
      <c r="X279" s="2">
        <f t="shared" si="135"/>
        <v>747319.77</v>
      </c>
      <c r="Y279" s="2">
        <v>561074.66</v>
      </c>
      <c r="Z279" s="2">
        <v>186245.11</v>
      </c>
      <c r="AA279" s="2">
        <f t="shared" si="136"/>
        <v>0</v>
      </c>
      <c r="AB279" s="2">
        <v>0</v>
      </c>
      <c r="AC279" s="2">
        <v>0</v>
      </c>
      <c r="AD279" s="2">
        <f t="shared" si="137"/>
        <v>7616362.6899999995</v>
      </c>
      <c r="AE279" s="2">
        <v>0</v>
      </c>
      <c r="AF279" s="2">
        <f t="shared" si="138"/>
        <v>7616362.6899999995</v>
      </c>
      <c r="AG279" s="39" t="s">
        <v>69</v>
      </c>
      <c r="AH279" s="34" t="s">
        <v>35</v>
      </c>
      <c r="AI279" s="35">
        <f>253980+93643.83+161611.12+512990.05</f>
        <v>1022225</v>
      </c>
      <c r="AJ279" s="36">
        <f>4416.62+33006.45+50458.66</f>
        <v>87881.73000000001</v>
      </c>
      <c r="AK279" s="28">
        <f t="shared" si="140"/>
        <v>5374290.5899999999</v>
      </c>
      <c r="AL279" s="28">
        <f t="shared" si="141"/>
        <v>384645.6</v>
      </c>
      <c r="AM279" s="29">
        <f t="shared" si="142"/>
        <v>0.15980966287303303</v>
      </c>
    </row>
    <row r="280" spans="1:39" ht="192" customHeight="1" x14ac:dyDescent="0.25">
      <c r="A280" s="10">
        <v>277</v>
      </c>
      <c r="B280" s="37">
        <v>122485</v>
      </c>
      <c r="C280" s="20">
        <v>38</v>
      </c>
      <c r="D280" s="14" t="s">
        <v>1051</v>
      </c>
      <c r="E280" s="14" t="s">
        <v>1052</v>
      </c>
      <c r="F280" s="15" t="s">
        <v>1053</v>
      </c>
      <c r="G280" s="32" t="s">
        <v>853</v>
      </c>
      <c r="H280" s="20" t="s">
        <v>35</v>
      </c>
      <c r="I280" s="55" t="s">
        <v>1054</v>
      </c>
      <c r="J280" s="30">
        <v>42488</v>
      </c>
      <c r="K280" s="30">
        <v>45288</v>
      </c>
      <c r="L280" s="31">
        <f t="shared" si="132"/>
        <v>84.695097599999997</v>
      </c>
      <c r="M280" s="20" t="s">
        <v>259</v>
      </c>
      <c r="N280" s="20" t="s">
        <v>229</v>
      </c>
      <c r="O280" s="20" t="s">
        <v>229</v>
      </c>
      <c r="P280" s="32" t="s">
        <v>260</v>
      </c>
      <c r="Q280" s="20" t="s">
        <v>1055</v>
      </c>
      <c r="R280" s="2">
        <f t="shared" si="133"/>
        <v>16939019.52</v>
      </c>
      <c r="S280" s="2">
        <v>15963331.810000001</v>
      </c>
      <c r="T280" s="2">
        <v>975687.71</v>
      </c>
      <c r="U280" s="2">
        <f t="shared" si="139"/>
        <v>0</v>
      </c>
      <c r="V280" s="2">
        <v>0</v>
      </c>
      <c r="W280" s="2">
        <v>0</v>
      </c>
      <c r="X280" s="2">
        <f t="shared" si="135"/>
        <v>3060980.48</v>
      </c>
      <c r="Y280" s="2">
        <v>2817058.55</v>
      </c>
      <c r="Z280" s="2">
        <v>243921.93</v>
      </c>
      <c r="AA280" s="2">
        <f t="shared" si="136"/>
        <v>0</v>
      </c>
      <c r="AB280" s="2">
        <v>0</v>
      </c>
      <c r="AC280" s="2">
        <v>0</v>
      </c>
      <c r="AD280" s="2">
        <f t="shared" si="137"/>
        <v>20000000</v>
      </c>
      <c r="AE280" s="2">
        <v>200000</v>
      </c>
      <c r="AF280" s="2">
        <f t="shared" si="138"/>
        <v>20200000</v>
      </c>
      <c r="AG280" s="39" t="s">
        <v>69</v>
      </c>
      <c r="AH280" s="34" t="s">
        <v>1056</v>
      </c>
      <c r="AI280" s="105">
        <f>367086.52+3723.41+1413.34+18873.79+125767.27</f>
        <v>516864.33</v>
      </c>
      <c r="AJ280" s="125">
        <v>0</v>
      </c>
      <c r="AK280" s="28">
        <f t="shared" si="140"/>
        <v>16422155.189999999</v>
      </c>
      <c r="AL280" s="28">
        <f t="shared" si="141"/>
        <v>0</v>
      </c>
      <c r="AM280" s="29">
        <f t="shared" si="142"/>
        <v>3.0513237757931341E-2</v>
      </c>
    </row>
    <row r="281" spans="1:39" ht="192" customHeight="1" x14ac:dyDescent="0.25">
      <c r="A281" s="10">
        <v>278</v>
      </c>
      <c r="B281" s="37">
        <v>122484</v>
      </c>
      <c r="C281" s="20">
        <v>39</v>
      </c>
      <c r="D281" s="14" t="s">
        <v>1057</v>
      </c>
      <c r="E281" s="14" t="s">
        <v>1052</v>
      </c>
      <c r="F281" s="15" t="s">
        <v>1058</v>
      </c>
      <c r="G281" s="32" t="s">
        <v>853</v>
      </c>
      <c r="H281" s="20" t="s">
        <v>35</v>
      </c>
      <c r="I281" s="55" t="s">
        <v>1059</v>
      </c>
      <c r="J281" s="30">
        <v>42488</v>
      </c>
      <c r="K281" s="30">
        <v>45288</v>
      </c>
      <c r="L281" s="31">
        <f t="shared" si="132"/>
        <v>84.695097596566526</v>
      </c>
      <c r="M281" s="20" t="s">
        <v>259</v>
      </c>
      <c r="N281" s="20" t="s">
        <v>229</v>
      </c>
      <c r="O281" s="20" t="s">
        <v>229</v>
      </c>
      <c r="P281" s="32" t="s">
        <v>260</v>
      </c>
      <c r="Q281" s="20" t="s">
        <v>1060</v>
      </c>
      <c r="R281" s="2">
        <f t="shared" si="133"/>
        <v>59201873.219999999</v>
      </c>
      <c r="S281" s="2">
        <v>55791844.670000002</v>
      </c>
      <c r="T281" s="2">
        <v>3410028.55</v>
      </c>
      <c r="U281" s="2">
        <f t="shared" si="139"/>
        <v>0</v>
      </c>
      <c r="V281" s="2">
        <v>0</v>
      </c>
      <c r="W281" s="2">
        <v>0</v>
      </c>
      <c r="X281" s="2">
        <f t="shared" si="135"/>
        <v>10698126.780000001</v>
      </c>
      <c r="Y281" s="2">
        <v>9845619.6400000006</v>
      </c>
      <c r="Z281" s="2">
        <v>852507.14</v>
      </c>
      <c r="AA281" s="2">
        <f t="shared" si="136"/>
        <v>0</v>
      </c>
      <c r="AB281" s="2">
        <v>0</v>
      </c>
      <c r="AC281" s="2">
        <v>0</v>
      </c>
      <c r="AD281" s="2">
        <f t="shared" si="137"/>
        <v>69900000</v>
      </c>
      <c r="AE281" s="2">
        <v>600000</v>
      </c>
      <c r="AF281" s="2">
        <f t="shared" si="138"/>
        <v>70500000</v>
      </c>
      <c r="AG281" s="39" t="s">
        <v>69</v>
      </c>
      <c r="AH281" s="34" t="s">
        <v>1061</v>
      </c>
      <c r="AI281" s="35">
        <f>1614958.09+116790.02+175736.29+210865.38+813289.51+430129.67+188786.97+358624.07+959420.67</f>
        <v>4868600.67</v>
      </c>
      <c r="AJ281" s="36">
        <v>0</v>
      </c>
      <c r="AK281" s="28">
        <f t="shared" si="140"/>
        <v>54333272.549999997</v>
      </c>
      <c r="AL281" s="28">
        <f t="shared" si="141"/>
        <v>0</v>
      </c>
      <c r="AM281" s="29">
        <f t="shared" si="142"/>
        <v>8.2237274011715808E-2</v>
      </c>
    </row>
    <row r="282" spans="1:39" ht="192" customHeight="1" x14ac:dyDescent="0.25">
      <c r="A282" s="10">
        <v>279</v>
      </c>
      <c r="B282" s="37">
        <v>112483</v>
      </c>
      <c r="C282" s="20">
        <v>40</v>
      </c>
      <c r="D282" s="14" t="s">
        <v>1057</v>
      </c>
      <c r="E282" s="14" t="s">
        <v>1052</v>
      </c>
      <c r="F282" s="15" t="s">
        <v>1062</v>
      </c>
      <c r="G282" s="32" t="s">
        <v>853</v>
      </c>
      <c r="H282" s="20" t="s">
        <v>35</v>
      </c>
      <c r="I282" s="55" t="s">
        <v>1063</v>
      </c>
      <c r="J282" s="30">
        <v>42488</v>
      </c>
      <c r="K282" s="30">
        <v>44314</v>
      </c>
      <c r="L282" s="31">
        <f t="shared" si="132"/>
        <v>84.695097592232997</v>
      </c>
      <c r="M282" s="20" t="s">
        <v>259</v>
      </c>
      <c r="N282" s="20" t="s">
        <v>229</v>
      </c>
      <c r="O282" s="20" t="s">
        <v>229</v>
      </c>
      <c r="P282" s="32" t="s">
        <v>260</v>
      </c>
      <c r="Q282" s="20" t="s">
        <v>1064</v>
      </c>
      <c r="R282" s="2">
        <f t="shared" si="133"/>
        <v>87235950.519999996</v>
      </c>
      <c r="S282" s="2">
        <v>82211158.810000002</v>
      </c>
      <c r="T282" s="2">
        <v>5024791.71</v>
      </c>
      <c r="U282" s="2">
        <f t="shared" si="139"/>
        <v>0</v>
      </c>
      <c r="V282" s="2">
        <v>0</v>
      </c>
      <c r="W282" s="2">
        <v>0</v>
      </c>
      <c r="X282" s="2">
        <f t="shared" si="135"/>
        <v>15764049.48</v>
      </c>
      <c r="Y282" s="2">
        <v>14507851.550000001</v>
      </c>
      <c r="Z282" s="2">
        <v>1256197.93</v>
      </c>
      <c r="AA282" s="2">
        <f t="shared" si="136"/>
        <v>0</v>
      </c>
      <c r="AB282" s="2">
        <v>0</v>
      </c>
      <c r="AC282" s="2">
        <v>0</v>
      </c>
      <c r="AD282" s="2">
        <f t="shared" si="137"/>
        <v>103000000</v>
      </c>
      <c r="AE282" s="2">
        <v>1936000</v>
      </c>
      <c r="AF282" s="2">
        <f t="shared" si="138"/>
        <v>104936000</v>
      </c>
      <c r="AG282" s="39" t="s">
        <v>69</v>
      </c>
      <c r="AH282" s="34" t="s">
        <v>1065</v>
      </c>
      <c r="AI282" s="35">
        <f>18028067.88+2522724.79+2940219.11+5150825.51+1054081.31+2107332.6+2141049.72+3309298.32+2248406.68+2224614.98+1120536.47</f>
        <v>42847157.369999997</v>
      </c>
      <c r="AJ282" s="36">
        <v>0</v>
      </c>
      <c r="AK282" s="28">
        <f t="shared" si="140"/>
        <v>44388793.149999999</v>
      </c>
      <c r="AL282" s="28">
        <f t="shared" si="141"/>
        <v>0</v>
      </c>
      <c r="AM282" s="29">
        <f t="shared" si="142"/>
        <v>0.49116398817912482</v>
      </c>
    </row>
    <row r="283" spans="1:39" ht="192" customHeight="1" x14ac:dyDescent="0.25">
      <c r="A283" s="10">
        <v>280</v>
      </c>
      <c r="B283" s="37">
        <v>109937</v>
      </c>
      <c r="C283" s="20">
        <v>162</v>
      </c>
      <c r="D283" s="20" t="s">
        <v>254</v>
      </c>
      <c r="E283" s="14" t="s">
        <v>1005</v>
      </c>
      <c r="F283" s="15" t="s">
        <v>1066</v>
      </c>
      <c r="G283" s="15" t="s">
        <v>1067</v>
      </c>
      <c r="H283" s="20" t="s">
        <v>35</v>
      </c>
      <c r="I283" s="61" t="s">
        <v>1068</v>
      </c>
      <c r="J283" s="30">
        <v>43173</v>
      </c>
      <c r="K283" s="30">
        <v>43660</v>
      </c>
      <c r="L283" s="31">
        <f t="shared" si="132"/>
        <v>82.304184778160604</v>
      </c>
      <c r="M283" s="20" t="s">
        <v>855</v>
      </c>
      <c r="N283" s="20" t="s">
        <v>228</v>
      </c>
      <c r="O283" s="20" t="s">
        <v>1069</v>
      </c>
      <c r="P283" s="32" t="s">
        <v>850</v>
      </c>
      <c r="Q283" s="20" t="s">
        <v>40</v>
      </c>
      <c r="R283" s="2">
        <f t="shared" si="133"/>
        <v>762655.8600000001</v>
      </c>
      <c r="S283" s="2">
        <v>147617.44</v>
      </c>
      <c r="T283" s="2">
        <v>615038.42000000004</v>
      </c>
      <c r="U283" s="2">
        <f t="shared" si="139"/>
        <v>145442.25</v>
      </c>
      <c r="V283" s="2">
        <v>36906.06</v>
      </c>
      <c r="W283" s="2">
        <v>108536.19</v>
      </c>
      <c r="X283" s="2">
        <f t="shared" si="135"/>
        <v>0</v>
      </c>
      <c r="Y283" s="2"/>
      <c r="Z283" s="2"/>
      <c r="AA283" s="2">
        <f t="shared" si="136"/>
        <v>18532.61</v>
      </c>
      <c r="AB283" s="2">
        <v>3765.78</v>
      </c>
      <c r="AC283" s="2">
        <v>14766.83</v>
      </c>
      <c r="AD283" s="2">
        <f t="shared" si="137"/>
        <v>926630.72000000009</v>
      </c>
      <c r="AE283" s="2">
        <v>0</v>
      </c>
      <c r="AF283" s="2">
        <f t="shared" si="138"/>
        <v>926630.72000000009</v>
      </c>
      <c r="AG283" s="24" t="s">
        <v>41</v>
      </c>
      <c r="AH283" s="34"/>
      <c r="AI283" s="35">
        <f>340951.1+52774.1+61862.22+16616.16+1069.94+8813.14+48351.34+107449.24-8088.73+50503.68+13263.31-13913.75</f>
        <v>679651.75</v>
      </c>
      <c r="AJ283" s="36">
        <f>47349.74+21861.72+3168.79+9424.88+1680.7+20491.06+8088.73+2529.39+15017.84</f>
        <v>129612.84999999998</v>
      </c>
      <c r="AK283" s="28">
        <f t="shared" si="140"/>
        <v>83004.110000000102</v>
      </c>
      <c r="AL283" s="28">
        <f t="shared" si="141"/>
        <v>15829.400000000023</v>
      </c>
      <c r="AM283" s="29">
        <f t="shared" si="142"/>
        <v>0.89116439753049281</v>
      </c>
    </row>
    <row r="284" spans="1:39" ht="192" customHeight="1" x14ac:dyDescent="0.25">
      <c r="A284" s="10">
        <v>281</v>
      </c>
      <c r="B284" s="37">
        <v>112093</v>
      </c>
      <c r="C284" s="20">
        <v>344</v>
      </c>
      <c r="D284" s="20" t="s">
        <v>254</v>
      </c>
      <c r="E284" s="14" t="s">
        <v>1005</v>
      </c>
      <c r="F284" s="15" t="s">
        <v>1070</v>
      </c>
      <c r="G284" s="15" t="s">
        <v>1860</v>
      </c>
      <c r="H284" s="20" t="s">
        <v>46</v>
      </c>
      <c r="I284" s="16" t="s">
        <v>1071</v>
      </c>
      <c r="J284" s="30">
        <v>43188</v>
      </c>
      <c r="K284" s="30">
        <v>43553</v>
      </c>
      <c r="L284" s="31">
        <f t="shared" si="132"/>
        <v>82.304184346141142</v>
      </c>
      <c r="M284" s="20" t="s">
        <v>855</v>
      </c>
      <c r="N284" s="20" t="s">
        <v>856</v>
      </c>
      <c r="O284" s="20" t="s">
        <v>856</v>
      </c>
      <c r="P284" s="32" t="s">
        <v>850</v>
      </c>
      <c r="Q284" s="20" t="s">
        <v>40</v>
      </c>
      <c r="R284" s="2">
        <f t="shared" si="133"/>
        <v>624137.28</v>
      </c>
      <c r="S284" s="2">
        <v>503312.34</v>
      </c>
      <c r="T284" s="2">
        <v>120824.94</v>
      </c>
      <c r="U284" s="2">
        <f t="shared" si="139"/>
        <v>119026.06000000001</v>
      </c>
      <c r="V284" s="2">
        <v>88819.82</v>
      </c>
      <c r="W284" s="2">
        <v>30206.240000000002</v>
      </c>
      <c r="X284" s="2">
        <f t="shared" si="135"/>
        <v>0</v>
      </c>
      <c r="Y284" s="2"/>
      <c r="Z284" s="2"/>
      <c r="AA284" s="2">
        <f t="shared" si="136"/>
        <v>15166.61</v>
      </c>
      <c r="AB284" s="2">
        <v>12084.34</v>
      </c>
      <c r="AC284" s="2">
        <v>3082.27</v>
      </c>
      <c r="AD284" s="2">
        <f t="shared" si="137"/>
        <v>758329.95000000007</v>
      </c>
      <c r="AE284" s="2">
        <v>0</v>
      </c>
      <c r="AF284" s="2">
        <f t="shared" si="138"/>
        <v>758329.95000000007</v>
      </c>
      <c r="AG284" s="24" t="s">
        <v>41</v>
      </c>
      <c r="AH284" s="34" t="s">
        <v>173</v>
      </c>
      <c r="AI284" s="35">
        <f>281863.03+67706.32-7048.99+70335.64+92451.16+65330.18-30787.09</f>
        <v>539850.25000000012</v>
      </c>
      <c r="AJ284" s="36">
        <f>53450.47+7048.99+3931.35+17630.9+12458.8+8431.63</f>
        <v>102952.14</v>
      </c>
      <c r="AK284" s="28">
        <f t="shared" si="140"/>
        <v>84287.029999999912</v>
      </c>
      <c r="AL284" s="28">
        <f t="shared" si="141"/>
        <v>16073.920000000013</v>
      </c>
      <c r="AM284" s="29">
        <f t="shared" si="142"/>
        <v>0.86495434145513639</v>
      </c>
    </row>
    <row r="285" spans="1:39" ht="192" customHeight="1" x14ac:dyDescent="0.25">
      <c r="A285" s="10">
        <v>282</v>
      </c>
      <c r="B285" s="37">
        <v>110829</v>
      </c>
      <c r="C285" s="20">
        <v>345</v>
      </c>
      <c r="D285" s="20" t="s">
        <v>254</v>
      </c>
      <c r="E285" s="14" t="s">
        <v>1005</v>
      </c>
      <c r="F285" s="15" t="s">
        <v>1072</v>
      </c>
      <c r="G285" s="15" t="s">
        <v>1073</v>
      </c>
      <c r="H285" s="20" t="s">
        <v>35</v>
      </c>
      <c r="I285" s="16" t="s">
        <v>1074</v>
      </c>
      <c r="J285" s="30">
        <v>43188</v>
      </c>
      <c r="K285" s="30">
        <v>43737</v>
      </c>
      <c r="L285" s="31">
        <f t="shared" si="132"/>
        <v>82.304186026137842</v>
      </c>
      <c r="M285" s="20" t="s">
        <v>855</v>
      </c>
      <c r="N285" s="20" t="s">
        <v>856</v>
      </c>
      <c r="O285" s="20" t="s">
        <v>856</v>
      </c>
      <c r="P285" s="32" t="s">
        <v>850</v>
      </c>
      <c r="Q285" s="20" t="s">
        <v>40</v>
      </c>
      <c r="R285" s="2">
        <f t="shared" si="133"/>
        <v>757586.23</v>
      </c>
      <c r="S285" s="2">
        <v>610927.28</v>
      </c>
      <c r="T285" s="2">
        <v>146658.95000000001</v>
      </c>
      <c r="U285" s="2">
        <f t="shared" si="139"/>
        <v>144475.43</v>
      </c>
      <c r="V285" s="2">
        <v>107810.7</v>
      </c>
      <c r="W285" s="2">
        <v>36664.730000000003</v>
      </c>
      <c r="X285" s="2">
        <f t="shared" si="135"/>
        <v>0</v>
      </c>
      <c r="Y285" s="2"/>
      <c r="Z285" s="2"/>
      <c r="AA285" s="2">
        <f t="shared" si="136"/>
        <v>18409.420000000002</v>
      </c>
      <c r="AB285" s="2">
        <v>14668.12</v>
      </c>
      <c r="AC285" s="2">
        <v>3741.3</v>
      </c>
      <c r="AD285" s="2">
        <f t="shared" si="137"/>
        <v>920471.08</v>
      </c>
      <c r="AE285" s="2">
        <v>0</v>
      </c>
      <c r="AF285" s="2">
        <f t="shared" si="138"/>
        <v>920471.08</v>
      </c>
      <c r="AG285" s="24" t="s">
        <v>41</v>
      </c>
      <c r="AH285" s="34" t="s">
        <v>173</v>
      </c>
      <c r="AI285" s="35">
        <f>89285.71-11964.69+140134-555.33+108178.82+21252.58+36085.35+107586.93+34575.24+28193.27+63018.42+70571.37</f>
        <v>686361.67</v>
      </c>
      <c r="AJ285" s="36">
        <f>11964.69+11960.22+17298.63+11541.66+4052.98+14039.69+5043.38+6593.66+21646.1+12017.89+14733.7</f>
        <v>130892.6</v>
      </c>
      <c r="AK285" s="28">
        <f t="shared" si="140"/>
        <v>71224.559999999939</v>
      </c>
      <c r="AL285" s="28">
        <f t="shared" si="141"/>
        <v>13582.829999999987</v>
      </c>
      <c r="AM285" s="29">
        <f t="shared" si="142"/>
        <v>0.90598488042740699</v>
      </c>
    </row>
    <row r="286" spans="1:39" ht="192" customHeight="1" x14ac:dyDescent="0.25">
      <c r="A286" s="10">
        <v>283</v>
      </c>
      <c r="B286" s="37">
        <v>111077</v>
      </c>
      <c r="C286" s="20">
        <v>352</v>
      </c>
      <c r="D286" s="20" t="s">
        <v>254</v>
      </c>
      <c r="E286" s="14" t="s">
        <v>1005</v>
      </c>
      <c r="F286" s="15" t="s">
        <v>1075</v>
      </c>
      <c r="G286" s="15" t="s">
        <v>1076</v>
      </c>
      <c r="H286" s="20" t="s">
        <v>35</v>
      </c>
      <c r="I286" s="16" t="s">
        <v>1077</v>
      </c>
      <c r="J286" s="30">
        <v>43188</v>
      </c>
      <c r="K286" s="30">
        <v>43675</v>
      </c>
      <c r="L286" s="31">
        <f t="shared" si="132"/>
        <v>82.304186243592014</v>
      </c>
      <c r="M286" s="20" t="s">
        <v>855</v>
      </c>
      <c r="N286" s="20" t="s">
        <v>856</v>
      </c>
      <c r="O286" s="20" t="s">
        <v>856</v>
      </c>
      <c r="P286" s="32" t="s">
        <v>850</v>
      </c>
      <c r="Q286" s="20" t="s">
        <v>40</v>
      </c>
      <c r="R286" s="2">
        <f t="shared" si="133"/>
        <v>704316.51</v>
      </c>
      <c r="S286" s="2">
        <v>567969.9</v>
      </c>
      <c r="T286" s="2">
        <v>136346.60999999999</v>
      </c>
      <c r="U286" s="2">
        <f t="shared" si="139"/>
        <v>134316.63</v>
      </c>
      <c r="V286" s="33">
        <v>100229.98</v>
      </c>
      <c r="W286" s="33">
        <v>34086.65</v>
      </c>
      <c r="X286" s="2">
        <f t="shared" si="135"/>
        <v>0</v>
      </c>
      <c r="Y286" s="2"/>
      <c r="Z286" s="2"/>
      <c r="AA286" s="2">
        <f t="shared" si="136"/>
        <v>17114.96</v>
      </c>
      <c r="AB286" s="2">
        <v>13636.73</v>
      </c>
      <c r="AC286" s="2">
        <v>3478.23</v>
      </c>
      <c r="AD286" s="2">
        <f t="shared" si="137"/>
        <v>855748.1</v>
      </c>
      <c r="AE286" s="2"/>
      <c r="AF286" s="2">
        <f t="shared" si="138"/>
        <v>855748.1</v>
      </c>
      <c r="AG286" s="24" t="s">
        <v>41</v>
      </c>
      <c r="AH286" s="34" t="s">
        <v>173</v>
      </c>
      <c r="AI286" s="35">
        <f>85000+43282.16-11040.21+106472.55+153782.22-13315.84+83140.14+113279.69+50909.88+28913.1</f>
        <v>640423.68999999994</v>
      </c>
      <c r="AJ286" s="36">
        <f>8254.12+14104.5+20304.84+13117.11+13315.84+21603+25918.68+5513.87</f>
        <v>122131.95999999999</v>
      </c>
      <c r="AK286" s="28">
        <f t="shared" si="140"/>
        <v>63892.820000000065</v>
      </c>
      <c r="AL286" s="28">
        <f t="shared" si="141"/>
        <v>12184.670000000013</v>
      </c>
      <c r="AM286" s="29">
        <f t="shared" si="142"/>
        <v>0.90928393826803799</v>
      </c>
    </row>
    <row r="287" spans="1:39" ht="192" customHeight="1" x14ac:dyDescent="0.25">
      <c r="A287" s="10">
        <v>284</v>
      </c>
      <c r="B287" s="37">
        <v>111631</v>
      </c>
      <c r="C287" s="20">
        <v>170</v>
      </c>
      <c r="D287" s="20" t="s">
        <v>254</v>
      </c>
      <c r="E287" s="14" t="s">
        <v>1005</v>
      </c>
      <c r="F287" s="15" t="s">
        <v>1078</v>
      </c>
      <c r="G287" s="15" t="s">
        <v>1079</v>
      </c>
      <c r="H287" s="20" t="s">
        <v>1080</v>
      </c>
      <c r="I287" s="16" t="s">
        <v>1081</v>
      </c>
      <c r="J287" s="30">
        <v>43189</v>
      </c>
      <c r="K287" s="30">
        <v>43676</v>
      </c>
      <c r="L287" s="31">
        <f t="shared" si="132"/>
        <v>82.304185177297953</v>
      </c>
      <c r="M287" s="20" t="s">
        <v>855</v>
      </c>
      <c r="N287" s="20" t="s">
        <v>856</v>
      </c>
      <c r="O287" s="20" t="s">
        <v>856</v>
      </c>
      <c r="P287" s="32" t="s">
        <v>850</v>
      </c>
      <c r="Q287" s="20" t="s">
        <v>40</v>
      </c>
      <c r="R287" s="2">
        <f t="shared" si="133"/>
        <v>822209.74</v>
      </c>
      <c r="S287" s="2">
        <v>663040.52</v>
      </c>
      <c r="T287" s="2">
        <v>159169.22</v>
      </c>
      <c r="U287" s="2">
        <f t="shared" si="139"/>
        <v>156799.45000000001</v>
      </c>
      <c r="V287" s="2">
        <v>117007.15</v>
      </c>
      <c r="W287" s="2">
        <v>39792.300000000003</v>
      </c>
      <c r="X287" s="2">
        <f t="shared" si="135"/>
        <v>0</v>
      </c>
      <c r="Y287" s="2"/>
      <c r="Z287" s="2"/>
      <c r="AA287" s="2">
        <f t="shared" si="136"/>
        <v>19979.79</v>
      </c>
      <c r="AB287" s="2">
        <v>15919.35</v>
      </c>
      <c r="AC287" s="2">
        <v>4060.44</v>
      </c>
      <c r="AD287" s="2">
        <f t="shared" si="137"/>
        <v>998988.98</v>
      </c>
      <c r="AE287" s="2"/>
      <c r="AF287" s="2">
        <f t="shared" si="138"/>
        <v>998988.98</v>
      </c>
      <c r="AG287" s="24" t="s">
        <v>41</v>
      </c>
      <c r="AH287" s="34" t="s">
        <v>173</v>
      </c>
      <c r="AI287" s="35">
        <f>754429.65-15109.91</f>
        <v>739319.74</v>
      </c>
      <c r="AJ287" s="36">
        <f>3863.19+15778.83+29070.82+6799.58+5078.36+35041.94+6132.52+4911.69+2424.38+19247+12643.54</f>
        <v>140991.85</v>
      </c>
      <c r="AK287" s="28">
        <f t="shared" si="140"/>
        <v>82890</v>
      </c>
      <c r="AL287" s="28">
        <f t="shared" si="141"/>
        <v>15807.600000000006</v>
      </c>
      <c r="AM287" s="29">
        <f t="shared" si="142"/>
        <v>0.89918630737699601</v>
      </c>
    </row>
    <row r="288" spans="1:39" ht="192" customHeight="1" x14ac:dyDescent="0.25">
      <c r="A288" s="10">
        <v>285</v>
      </c>
      <c r="B288" s="37">
        <v>112405</v>
      </c>
      <c r="C288" s="20">
        <v>171</v>
      </c>
      <c r="D288" s="20" t="s">
        <v>254</v>
      </c>
      <c r="E288" s="14" t="s">
        <v>1005</v>
      </c>
      <c r="F288" s="15" t="s">
        <v>1082</v>
      </c>
      <c r="G288" s="15" t="s">
        <v>1083</v>
      </c>
      <c r="H288" s="20" t="s">
        <v>1084</v>
      </c>
      <c r="I288" s="16" t="s">
        <v>1085</v>
      </c>
      <c r="J288" s="30">
        <v>43186</v>
      </c>
      <c r="K288" s="30">
        <v>43673</v>
      </c>
      <c r="L288" s="31">
        <f t="shared" si="132"/>
        <v>82.304185365731513</v>
      </c>
      <c r="M288" s="20" t="s">
        <v>855</v>
      </c>
      <c r="N288" s="20" t="s">
        <v>856</v>
      </c>
      <c r="O288" s="20" t="s">
        <v>856</v>
      </c>
      <c r="P288" s="32" t="s">
        <v>850</v>
      </c>
      <c r="Q288" s="20" t="s">
        <v>40</v>
      </c>
      <c r="R288" s="2">
        <f t="shared" si="133"/>
        <v>723131.98</v>
      </c>
      <c r="S288" s="2">
        <v>583142.93999999994</v>
      </c>
      <c r="T288" s="2">
        <v>139989.04</v>
      </c>
      <c r="U288" s="2">
        <f t="shared" si="139"/>
        <v>137904.84</v>
      </c>
      <c r="V288" s="2">
        <v>102907.58</v>
      </c>
      <c r="W288" s="2">
        <v>34997.26</v>
      </c>
      <c r="X288" s="2">
        <f t="shared" si="135"/>
        <v>0</v>
      </c>
      <c r="Y288" s="2"/>
      <c r="Z288" s="2"/>
      <c r="AA288" s="2">
        <f t="shared" si="136"/>
        <v>17572.18</v>
      </c>
      <c r="AB288" s="2">
        <v>14001.03</v>
      </c>
      <c r="AC288" s="2">
        <v>3571.15</v>
      </c>
      <c r="AD288" s="2">
        <f t="shared" si="137"/>
        <v>878609</v>
      </c>
      <c r="AE288" s="2"/>
      <c r="AF288" s="2">
        <f t="shared" si="138"/>
        <v>878609</v>
      </c>
      <c r="AG288" s="24" t="s">
        <v>41</v>
      </c>
      <c r="AH288" s="34"/>
      <c r="AI288" s="35">
        <f>208329.69+72239-12893.42+110533+33743.88+27302.86+184981.92+10195.84+16264.07</f>
        <v>650696.84</v>
      </c>
      <c r="AJ288" s="36">
        <f>36750.34+12893.42+5726.93+6435.14+21177.89+19305.83+1944.4+19857.12</f>
        <v>124091.06999999999</v>
      </c>
      <c r="AK288" s="28">
        <f t="shared" si="140"/>
        <v>72435.140000000014</v>
      </c>
      <c r="AL288" s="28">
        <f t="shared" si="141"/>
        <v>13813.770000000004</v>
      </c>
      <c r="AM288" s="29">
        <f t="shared" si="142"/>
        <v>0.89983136964845611</v>
      </c>
    </row>
    <row r="289" spans="1:39" ht="192" customHeight="1" x14ac:dyDescent="0.25">
      <c r="A289" s="10">
        <v>286</v>
      </c>
      <c r="B289" s="37">
        <v>109810</v>
      </c>
      <c r="C289" s="20">
        <v>257</v>
      </c>
      <c r="D289" s="20" t="s">
        <v>254</v>
      </c>
      <c r="E289" s="14" t="s">
        <v>1005</v>
      </c>
      <c r="F289" s="15" t="s">
        <v>1086</v>
      </c>
      <c r="G289" s="15" t="s">
        <v>1087</v>
      </c>
      <c r="H289" s="20" t="s">
        <v>35</v>
      </c>
      <c r="I289" s="16" t="s">
        <v>1088</v>
      </c>
      <c r="J289" s="30">
        <v>43192</v>
      </c>
      <c r="K289" s="30">
        <v>43679</v>
      </c>
      <c r="L289" s="31">
        <f t="shared" ref="L289:L352" si="143">R289/AD289*100</f>
        <v>82.304188283311021</v>
      </c>
      <c r="M289" s="20" t="s">
        <v>855</v>
      </c>
      <c r="N289" s="20" t="s">
        <v>856</v>
      </c>
      <c r="O289" s="20" t="s">
        <v>856</v>
      </c>
      <c r="P289" s="32" t="s">
        <v>850</v>
      </c>
      <c r="Q289" s="20" t="s">
        <v>40</v>
      </c>
      <c r="R289" s="2">
        <f t="shared" ref="R289:R348" si="144">S289+T289</f>
        <v>821139.01</v>
      </c>
      <c r="S289" s="33">
        <v>662177.06999999995</v>
      </c>
      <c r="T289" s="33">
        <v>158961.94</v>
      </c>
      <c r="U289" s="2">
        <f t="shared" si="139"/>
        <v>156595.26</v>
      </c>
      <c r="V289" s="33">
        <v>116854.78</v>
      </c>
      <c r="W289" s="33">
        <v>39740.480000000003</v>
      </c>
      <c r="X289" s="2">
        <f t="shared" ref="X289:X328" si="145">Y289+Z289</f>
        <v>0</v>
      </c>
      <c r="Y289" s="2"/>
      <c r="Z289" s="2"/>
      <c r="AA289" s="2">
        <f t="shared" ref="AA289:AA352" si="146">AB289+AC289</f>
        <v>19953.73</v>
      </c>
      <c r="AB289" s="2">
        <v>15898.58</v>
      </c>
      <c r="AC289" s="2">
        <v>4055.15</v>
      </c>
      <c r="AD289" s="2">
        <f t="shared" ref="AD289:AD352" si="147">R289+U289+X289+AA289</f>
        <v>997688</v>
      </c>
      <c r="AE289" s="2"/>
      <c r="AF289" s="2">
        <f t="shared" ref="AF289:AF352" si="148">AD289+AE289</f>
        <v>997688</v>
      </c>
      <c r="AG289" s="24" t="s">
        <v>41</v>
      </c>
      <c r="AH289" s="34"/>
      <c r="AI289" s="35">
        <v>768017.32</v>
      </c>
      <c r="AJ289" s="36">
        <v>146464.70000000001</v>
      </c>
      <c r="AK289" s="28">
        <f t="shared" si="140"/>
        <v>53121.690000000061</v>
      </c>
      <c r="AL289" s="28">
        <f t="shared" si="141"/>
        <v>10130.559999999998</v>
      </c>
      <c r="AM289" s="29">
        <f t="shared" si="142"/>
        <v>0.93530731173032433</v>
      </c>
    </row>
    <row r="290" spans="1:39" ht="192" customHeight="1" x14ac:dyDescent="0.25">
      <c r="A290" s="10">
        <v>287</v>
      </c>
      <c r="B290" s="37">
        <v>112956</v>
      </c>
      <c r="C290" s="20">
        <v>273</v>
      </c>
      <c r="D290" s="20" t="s">
        <v>254</v>
      </c>
      <c r="E290" s="14" t="s">
        <v>1005</v>
      </c>
      <c r="F290" s="15" t="s">
        <v>1089</v>
      </c>
      <c r="G290" s="126" t="s">
        <v>1090</v>
      </c>
      <c r="H290" s="20" t="s">
        <v>1091</v>
      </c>
      <c r="I290" s="16" t="s">
        <v>1092</v>
      </c>
      <c r="J290" s="30">
        <v>43192</v>
      </c>
      <c r="K290" s="30">
        <v>43679</v>
      </c>
      <c r="L290" s="31">
        <f t="shared" si="143"/>
        <v>82.304175027233867</v>
      </c>
      <c r="M290" s="20" t="s">
        <v>855</v>
      </c>
      <c r="N290" s="20" t="s">
        <v>856</v>
      </c>
      <c r="O290" s="20" t="s">
        <v>856</v>
      </c>
      <c r="P290" s="32" t="s">
        <v>850</v>
      </c>
      <c r="Q290" s="20" t="s">
        <v>40</v>
      </c>
      <c r="R290" s="2">
        <f t="shared" si="144"/>
        <v>710350.38</v>
      </c>
      <c r="S290" s="2">
        <v>572835.76</v>
      </c>
      <c r="T290" s="2">
        <v>137514.62</v>
      </c>
      <c r="U290" s="2">
        <f t="shared" si="139"/>
        <v>135467.44</v>
      </c>
      <c r="V290" s="2">
        <v>101088.74</v>
      </c>
      <c r="W290" s="2">
        <v>34378.699999999997</v>
      </c>
      <c r="X290" s="2">
        <f t="shared" si="145"/>
        <v>0</v>
      </c>
      <c r="Y290" s="2">
        <v>0</v>
      </c>
      <c r="Z290" s="2">
        <v>0</v>
      </c>
      <c r="AA290" s="2">
        <f t="shared" si="146"/>
        <v>17261.579999999998</v>
      </c>
      <c r="AB290" s="2">
        <v>13753.55</v>
      </c>
      <c r="AC290" s="2">
        <v>3508.03</v>
      </c>
      <c r="AD290" s="2">
        <f t="shared" si="147"/>
        <v>863079.4</v>
      </c>
      <c r="AE290" s="2"/>
      <c r="AF290" s="2">
        <f t="shared" si="148"/>
        <v>863079.4</v>
      </c>
      <c r="AG290" s="24" t="s">
        <v>41</v>
      </c>
      <c r="AH290" s="34" t="s">
        <v>35</v>
      </c>
      <c r="AI290" s="35">
        <f>629253.72-17069.05</f>
        <v>612184.66999999993</v>
      </c>
      <c r="AJ290" s="36">
        <f>109991.49+6755.11</f>
        <v>116746.6</v>
      </c>
      <c r="AK290" s="28">
        <f t="shared" si="140"/>
        <v>98165.710000000079</v>
      </c>
      <c r="AL290" s="28">
        <f t="shared" si="141"/>
        <v>18720.839999999997</v>
      </c>
      <c r="AM290" s="29">
        <f t="shared" si="142"/>
        <v>0.8618066340726106</v>
      </c>
    </row>
    <row r="291" spans="1:39" ht="192" customHeight="1" x14ac:dyDescent="0.25">
      <c r="A291" s="10">
        <v>288</v>
      </c>
      <c r="B291" s="37">
        <v>112066</v>
      </c>
      <c r="C291" s="20">
        <v>262</v>
      </c>
      <c r="D291" s="20" t="s">
        <v>254</v>
      </c>
      <c r="E291" s="14" t="s">
        <v>1005</v>
      </c>
      <c r="F291" s="15" t="s">
        <v>1093</v>
      </c>
      <c r="G291" s="15" t="s">
        <v>1094</v>
      </c>
      <c r="H291" s="20" t="s">
        <v>1095</v>
      </c>
      <c r="I291" s="16" t="s">
        <v>1096</v>
      </c>
      <c r="J291" s="30">
        <v>43193</v>
      </c>
      <c r="K291" s="30">
        <v>43680</v>
      </c>
      <c r="L291" s="31">
        <f t="shared" si="143"/>
        <v>82.304184459884823</v>
      </c>
      <c r="M291" s="20" t="s">
        <v>855</v>
      </c>
      <c r="N291" s="20" t="s">
        <v>856</v>
      </c>
      <c r="O291" s="20" t="s">
        <v>856</v>
      </c>
      <c r="P291" s="32" t="s">
        <v>850</v>
      </c>
      <c r="Q291" s="20" t="s">
        <v>40</v>
      </c>
      <c r="R291" s="2">
        <f t="shared" si="144"/>
        <v>822673.27</v>
      </c>
      <c r="S291" s="2">
        <v>663414.31999999995</v>
      </c>
      <c r="T291" s="2">
        <v>159258.95000000001</v>
      </c>
      <c r="U291" s="2">
        <f t="shared" si="139"/>
        <v>156887.87</v>
      </c>
      <c r="V291" s="2">
        <v>117073.13</v>
      </c>
      <c r="W291" s="2">
        <v>39814.74</v>
      </c>
      <c r="X291" s="2">
        <f t="shared" si="145"/>
        <v>0</v>
      </c>
      <c r="Y291" s="2"/>
      <c r="Z291" s="2"/>
      <c r="AA291" s="2">
        <f t="shared" si="146"/>
        <v>19991.04</v>
      </c>
      <c r="AB291" s="2">
        <v>15928.31</v>
      </c>
      <c r="AC291" s="2">
        <v>4062.73</v>
      </c>
      <c r="AD291" s="2">
        <f t="shared" si="147"/>
        <v>999552.18</v>
      </c>
      <c r="AE291" s="2"/>
      <c r="AF291" s="2">
        <f t="shared" si="148"/>
        <v>999552.18</v>
      </c>
      <c r="AG291" s="24" t="s">
        <v>41</v>
      </c>
      <c r="AH291" s="34" t="s">
        <v>35</v>
      </c>
      <c r="AI291" s="35">
        <v>639101.23</v>
      </c>
      <c r="AJ291" s="36">
        <v>121879.75</v>
      </c>
      <c r="AK291" s="28">
        <f t="shared" si="140"/>
        <v>183572.04000000004</v>
      </c>
      <c r="AL291" s="28">
        <f t="shared" si="141"/>
        <v>35008.119999999995</v>
      </c>
      <c r="AM291" s="29">
        <f t="shared" si="142"/>
        <v>0.77685911686421993</v>
      </c>
    </row>
    <row r="292" spans="1:39" ht="192" customHeight="1" x14ac:dyDescent="0.25">
      <c r="A292" s="10">
        <v>289</v>
      </c>
      <c r="B292" s="37">
        <v>121460</v>
      </c>
      <c r="C292" s="20">
        <v>59</v>
      </c>
      <c r="D292" s="20" t="s">
        <v>254</v>
      </c>
      <c r="E292" s="14" t="s">
        <v>851</v>
      </c>
      <c r="F292" s="63" t="s">
        <v>1097</v>
      </c>
      <c r="G292" s="32" t="s">
        <v>853</v>
      </c>
      <c r="H292" s="20" t="s">
        <v>46</v>
      </c>
      <c r="I292" s="16" t="s">
        <v>1098</v>
      </c>
      <c r="J292" s="30">
        <v>43207</v>
      </c>
      <c r="K292" s="30">
        <v>44303</v>
      </c>
      <c r="L292" s="31">
        <f t="shared" si="143"/>
        <v>83.983862875663178</v>
      </c>
      <c r="M292" s="20" t="s">
        <v>855</v>
      </c>
      <c r="N292" s="20" t="s">
        <v>856</v>
      </c>
      <c r="O292" s="20" t="s">
        <v>856</v>
      </c>
      <c r="P292" s="32" t="s">
        <v>260</v>
      </c>
      <c r="Q292" s="20" t="s">
        <v>40</v>
      </c>
      <c r="R292" s="2">
        <f t="shared" si="144"/>
        <v>6972160.9399999995</v>
      </c>
      <c r="S292" s="2">
        <v>5622440.3499999996</v>
      </c>
      <c r="T292" s="2">
        <v>1349720.59</v>
      </c>
      <c r="U292" s="2">
        <f t="shared" si="139"/>
        <v>0</v>
      </c>
      <c r="V292" s="2">
        <v>0</v>
      </c>
      <c r="W292" s="2">
        <v>0</v>
      </c>
      <c r="X292" s="2">
        <f t="shared" si="145"/>
        <v>1329625.5</v>
      </c>
      <c r="Y292" s="33">
        <v>992195.35</v>
      </c>
      <c r="Z292" s="2">
        <v>337430.15</v>
      </c>
      <c r="AA292" s="2">
        <f t="shared" si="146"/>
        <v>0</v>
      </c>
      <c r="AB292" s="2">
        <v>0</v>
      </c>
      <c r="AC292" s="2">
        <v>0</v>
      </c>
      <c r="AD292" s="2">
        <f t="shared" si="147"/>
        <v>8301786.4399999995</v>
      </c>
      <c r="AE292" s="2">
        <v>0</v>
      </c>
      <c r="AF292" s="2">
        <f t="shared" si="148"/>
        <v>8301786.4399999995</v>
      </c>
      <c r="AG292" s="39" t="s">
        <v>69</v>
      </c>
      <c r="AH292" s="34" t="s">
        <v>1099</v>
      </c>
      <c r="AI292" s="35">
        <v>897869.37</v>
      </c>
      <c r="AJ292" s="36">
        <v>0</v>
      </c>
      <c r="AK292" s="28">
        <f t="shared" si="140"/>
        <v>6074291.5699999994</v>
      </c>
      <c r="AL292" s="28">
        <f t="shared" si="141"/>
        <v>0</v>
      </c>
      <c r="AM292" s="29">
        <f t="shared" si="142"/>
        <v>0.12877920887465918</v>
      </c>
    </row>
    <row r="293" spans="1:39" ht="192" customHeight="1" x14ac:dyDescent="0.25">
      <c r="A293" s="10">
        <v>290</v>
      </c>
      <c r="B293" s="37">
        <v>109749</v>
      </c>
      <c r="C293" s="20">
        <v>253</v>
      </c>
      <c r="D293" s="20" t="s">
        <v>254</v>
      </c>
      <c r="E293" s="14" t="s">
        <v>1005</v>
      </c>
      <c r="F293" s="63" t="s">
        <v>1100</v>
      </c>
      <c r="G293" s="127" t="s">
        <v>1101</v>
      </c>
      <c r="H293" s="20" t="s">
        <v>35</v>
      </c>
      <c r="I293" s="16" t="s">
        <v>1102</v>
      </c>
      <c r="J293" s="30">
        <v>43208</v>
      </c>
      <c r="K293" s="30">
        <v>43695</v>
      </c>
      <c r="L293" s="31">
        <f t="shared" si="143"/>
        <v>82.304185790916577</v>
      </c>
      <c r="M293" s="20" t="s">
        <v>855</v>
      </c>
      <c r="N293" s="20" t="s">
        <v>1103</v>
      </c>
      <c r="O293" s="20" t="s">
        <v>1103</v>
      </c>
      <c r="P293" s="32" t="s">
        <v>850</v>
      </c>
      <c r="Q293" s="20" t="s">
        <v>40</v>
      </c>
      <c r="R293" s="2">
        <f t="shared" si="144"/>
        <v>808649.72</v>
      </c>
      <c r="S293" s="33">
        <v>652105.54</v>
      </c>
      <c r="T293" s="33">
        <v>156544.18</v>
      </c>
      <c r="U293" s="2">
        <f t="shared" si="139"/>
        <v>154213.49</v>
      </c>
      <c r="V293" s="33">
        <v>115077.45</v>
      </c>
      <c r="W293" s="33">
        <v>39136.04</v>
      </c>
      <c r="X293" s="2">
        <f t="shared" si="145"/>
        <v>0</v>
      </c>
      <c r="Y293" s="2">
        <v>0</v>
      </c>
      <c r="Z293" s="2">
        <v>0</v>
      </c>
      <c r="AA293" s="2">
        <f t="shared" si="146"/>
        <v>19650.27</v>
      </c>
      <c r="AB293" s="2">
        <v>15656.8</v>
      </c>
      <c r="AC293" s="2">
        <v>3993.47</v>
      </c>
      <c r="AD293" s="2">
        <f t="shared" si="147"/>
        <v>982513.48</v>
      </c>
      <c r="AE293" s="2"/>
      <c r="AF293" s="2">
        <f t="shared" si="148"/>
        <v>982513.48</v>
      </c>
      <c r="AG293" s="24" t="s">
        <v>41</v>
      </c>
      <c r="AH293" s="34"/>
      <c r="AI293" s="35">
        <f>320855.76+13409.42+153292.16+833.72+98250+85029.68+131034.25-5408.6</f>
        <v>797296.39</v>
      </c>
      <c r="AJ293" s="36">
        <f>63706.03+10496.81+18895.75+16215.58+24988.88+17705.3</f>
        <v>152008.34999999998</v>
      </c>
      <c r="AK293" s="28">
        <f t="shared" si="140"/>
        <v>11353.329999999958</v>
      </c>
      <c r="AL293" s="28">
        <f t="shared" si="141"/>
        <v>2205.140000000014</v>
      </c>
      <c r="AM293" s="29">
        <f t="shared" si="142"/>
        <v>0.98596013858757048</v>
      </c>
    </row>
    <row r="294" spans="1:39" ht="192" customHeight="1" x14ac:dyDescent="0.25">
      <c r="A294" s="10">
        <v>291</v>
      </c>
      <c r="B294" s="37">
        <v>109967</v>
      </c>
      <c r="C294" s="20">
        <v>177</v>
      </c>
      <c r="D294" s="20" t="s">
        <v>254</v>
      </c>
      <c r="E294" s="14" t="s">
        <v>1005</v>
      </c>
      <c r="F294" s="63" t="s">
        <v>1104</v>
      </c>
      <c r="G294" s="15" t="s">
        <v>1105</v>
      </c>
      <c r="H294" s="20" t="s">
        <v>35</v>
      </c>
      <c r="I294" s="16" t="s">
        <v>1106</v>
      </c>
      <c r="J294" s="30">
        <v>43208</v>
      </c>
      <c r="K294" s="30">
        <v>43695</v>
      </c>
      <c r="L294" s="31">
        <f t="shared" si="143"/>
        <v>82.304184597190911</v>
      </c>
      <c r="M294" s="20" t="s">
        <v>855</v>
      </c>
      <c r="N294" s="20" t="s">
        <v>856</v>
      </c>
      <c r="O294" s="20" t="s">
        <v>856</v>
      </c>
      <c r="P294" s="32" t="s">
        <v>850</v>
      </c>
      <c r="Q294" s="20" t="s">
        <v>40</v>
      </c>
      <c r="R294" s="2">
        <f t="shared" si="144"/>
        <v>804452.45</v>
      </c>
      <c r="S294" s="2">
        <v>648720.82999999996</v>
      </c>
      <c r="T294" s="2">
        <v>155731.62</v>
      </c>
      <c r="U294" s="2">
        <f t="shared" si="139"/>
        <v>153413.06</v>
      </c>
      <c r="V294" s="2">
        <v>114480.15</v>
      </c>
      <c r="W294" s="2">
        <v>38932.910000000003</v>
      </c>
      <c r="X294" s="2">
        <f t="shared" si="145"/>
        <v>0</v>
      </c>
      <c r="Y294" s="128"/>
      <c r="Z294" s="128"/>
      <c r="AA294" s="2">
        <f t="shared" si="146"/>
        <v>19548.28</v>
      </c>
      <c r="AB294" s="2">
        <v>15575.51</v>
      </c>
      <c r="AC294" s="2">
        <v>3972.77</v>
      </c>
      <c r="AD294" s="2">
        <f t="shared" si="147"/>
        <v>977413.79</v>
      </c>
      <c r="AE294" s="2"/>
      <c r="AF294" s="2">
        <f t="shared" si="148"/>
        <v>977413.79</v>
      </c>
      <c r="AG294" s="24" t="s">
        <v>41</v>
      </c>
      <c r="AH294" s="34" t="s">
        <v>1107</v>
      </c>
      <c r="AI294" s="35">
        <f>312590.47-8868.28+88856.3+55475.75+73233.76+50351.94+43692.49-8964.67+55972.79-7971.42+22143.49</f>
        <v>676512.61999999988</v>
      </c>
      <c r="AJ294" s="36">
        <f>40972.78+16948.54+8885.07+13966.04+9602.34+8332.37+8964.67+7971.42+13371.02</f>
        <v>129014.24999999999</v>
      </c>
      <c r="AK294" s="28">
        <f t="shared" si="140"/>
        <v>127939.83000000007</v>
      </c>
      <c r="AL294" s="28">
        <f t="shared" si="141"/>
        <v>24398.810000000012</v>
      </c>
      <c r="AM294" s="29">
        <f t="shared" si="142"/>
        <v>0.84096035756992216</v>
      </c>
    </row>
    <row r="295" spans="1:39" ht="192" customHeight="1" x14ac:dyDescent="0.25">
      <c r="A295" s="10">
        <v>292</v>
      </c>
      <c r="B295" s="37">
        <v>112811</v>
      </c>
      <c r="C295" s="20">
        <v>196</v>
      </c>
      <c r="D295" s="20" t="s">
        <v>254</v>
      </c>
      <c r="E295" s="14" t="s">
        <v>1005</v>
      </c>
      <c r="F295" s="63" t="s">
        <v>1108</v>
      </c>
      <c r="G295" s="15" t="s">
        <v>1109</v>
      </c>
      <c r="H295" s="20" t="s">
        <v>35</v>
      </c>
      <c r="I295" s="16" t="s">
        <v>1110</v>
      </c>
      <c r="J295" s="30">
        <v>43208</v>
      </c>
      <c r="K295" s="30">
        <v>43573</v>
      </c>
      <c r="L295" s="31">
        <f t="shared" si="143"/>
        <v>82.304184666338784</v>
      </c>
      <c r="M295" s="20" t="s">
        <v>855</v>
      </c>
      <c r="N295" s="20" t="s">
        <v>856</v>
      </c>
      <c r="O295" s="20" t="s">
        <v>856</v>
      </c>
      <c r="P295" s="32" t="s">
        <v>850</v>
      </c>
      <c r="Q295" s="20" t="s">
        <v>40</v>
      </c>
      <c r="R295" s="2">
        <f t="shared" si="144"/>
        <v>760931.29</v>
      </c>
      <c r="S295" s="2">
        <v>613624.79</v>
      </c>
      <c r="T295" s="2">
        <v>147306.5</v>
      </c>
      <c r="U295" s="2">
        <f t="shared" si="139"/>
        <v>145113.35999999999</v>
      </c>
      <c r="V295" s="2">
        <v>108286.73</v>
      </c>
      <c r="W295" s="2">
        <v>36826.629999999997</v>
      </c>
      <c r="X295" s="2">
        <f t="shared" si="145"/>
        <v>0</v>
      </c>
      <c r="Y295" s="2">
        <v>0</v>
      </c>
      <c r="Z295" s="2">
        <v>0</v>
      </c>
      <c r="AA295" s="2">
        <f t="shared" si="146"/>
        <v>18490.71</v>
      </c>
      <c r="AB295" s="2">
        <v>14732.89</v>
      </c>
      <c r="AC295" s="2">
        <v>3757.82</v>
      </c>
      <c r="AD295" s="2">
        <f t="shared" si="147"/>
        <v>924535.36</v>
      </c>
      <c r="AE295" s="2"/>
      <c r="AF295" s="2">
        <f t="shared" si="148"/>
        <v>924535.36</v>
      </c>
      <c r="AG295" s="24" t="s">
        <v>41</v>
      </c>
      <c r="AH295" s="34"/>
      <c r="AI295" s="35">
        <f>91800+75057.16+74073.77+121742.1-7175.16+205568.39+83432.56-15293.57</f>
        <v>629205.25000000012</v>
      </c>
      <c r="AJ295" s="36">
        <f>14189.24+14126.23+23216.82+16262.9+21571.65+15911+14714.69</f>
        <v>119992.53</v>
      </c>
      <c r="AK295" s="28">
        <f t="shared" si="140"/>
        <v>131726.03999999992</v>
      </c>
      <c r="AL295" s="28">
        <f t="shared" si="141"/>
        <v>25120.829999999987</v>
      </c>
      <c r="AM295" s="29">
        <f t="shared" si="142"/>
        <v>0.82688839093474531</v>
      </c>
    </row>
    <row r="296" spans="1:39" ht="192" customHeight="1" x14ac:dyDescent="0.25">
      <c r="A296" s="10">
        <v>293</v>
      </c>
      <c r="B296" s="37">
        <v>112080</v>
      </c>
      <c r="C296" s="20">
        <v>354</v>
      </c>
      <c r="D296" s="20" t="s">
        <v>254</v>
      </c>
      <c r="E296" s="14" t="s">
        <v>1005</v>
      </c>
      <c r="F296" s="63" t="s">
        <v>1111</v>
      </c>
      <c r="G296" s="63" t="s">
        <v>1112</v>
      </c>
      <c r="H296" s="20" t="s">
        <v>35</v>
      </c>
      <c r="I296" s="16" t="s">
        <v>1113</v>
      </c>
      <c r="J296" s="30">
        <v>43214</v>
      </c>
      <c r="K296" s="30">
        <v>43793</v>
      </c>
      <c r="L296" s="31">
        <f t="shared" si="143"/>
        <v>82.304185109241828</v>
      </c>
      <c r="M296" s="20" t="s">
        <v>855</v>
      </c>
      <c r="N296" s="20" t="s">
        <v>856</v>
      </c>
      <c r="O296" s="20" t="s">
        <v>856</v>
      </c>
      <c r="P296" s="32" t="s">
        <v>850</v>
      </c>
      <c r="Q296" s="20" t="s">
        <v>40</v>
      </c>
      <c r="R296" s="2">
        <f t="shared" si="144"/>
        <v>570578.29</v>
      </c>
      <c r="S296" s="2">
        <v>460121.68</v>
      </c>
      <c r="T296" s="2">
        <v>110456.61</v>
      </c>
      <c r="U296" s="2">
        <f t="shared" si="139"/>
        <v>108812.1</v>
      </c>
      <c r="V296" s="2">
        <v>81197.94</v>
      </c>
      <c r="W296" s="2">
        <v>27614.16</v>
      </c>
      <c r="X296" s="2">
        <f t="shared" si="145"/>
        <v>0</v>
      </c>
      <c r="Y296" s="2">
        <v>0</v>
      </c>
      <c r="Z296" s="2">
        <v>0</v>
      </c>
      <c r="AA296" s="2">
        <f t="shared" si="146"/>
        <v>13865.11</v>
      </c>
      <c r="AB296" s="2">
        <v>11047.34</v>
      </c>
      <c r="AC296" s="2">
        <v>2817.77</v>
      </c>
      <c r="AD296" s="2">
        <f t="shared" si="147"/>
        <v>693255.5</v>
      </c>
      <c r="AE296" s="2">
        <v>0</v>
      </c>
      <c r="AF296" s="2">
        <f t="shared" si="148"/>
        <v>693255.5</v>
      </c>
      <c r="AG296" s="24" t="s">
        <v>41</v>
      </c>
      <c r="AH296" s="34" t="s">
        <v>1114</v>
      </c>
      <c r="AI296" s="35">
        <f>314971.26+69325.55+97282.65-5135.32</f>
        <v>476444.13999999996</v>
      </c>
      <c r="AJ296" s="36">
        <f>60066.57+25498.8+5294.87</f>
        <v>90860.239999999991</v>
      </c>
      <c r="AK296" s="28">
        <f t="shared" si="140"/>
        <v>94134.150000000081</v>
      </c>
      <c r="AL296" s="28">
        <f t="shared" si="141"/>
        <v>17951.860000000015</v>
      </c>
      <c r="AM296" s="29">
        <f t="shared" si="142"/>
        <v>0.83501974812255808</v>
      </c>
    </row>
    <row r="297" spans="1:39" ht="192" customHeight="1" x14ac:dyDescent="0.25">
      <c r="A297" s="10">
        <v>294</v>
      </c>
      <c r="B297" s="37">
        <v>111113</v>
      </c>
      <c r="C297" s="20">
        <v>252</v>
      </c>
      <c r="D297" s="20" t="s">
        <v>254</v>
      </c>
      <c r="E297" s="14" t="s">
        <v>1005</v>
      </c>
      <c r="F297" s="63" t="s">
        <v>1115</v>
      </c>
      <c r="G297" s="63" t="s">
        <v>1116</v>
      </c>
      <c r="H297" s="20" t="s">
        <v>1117</v>
      </c>
      <c r="I297" s="16" t="s">
        <v>1118</v>
      </c>
      <c r="J297" s="30">
        <v>43214</v>
      </c>
      <c r="K297" s="30">
        <v>43579</v>
      </c>
      <c r="L297" s="31">
        <f t="shared" si="143"/>
        <v>82.304185972255567</v>
      </c>
      <c r="M297" s="20" t="s">
        <v>855</v>
      </c>
      <c r="N297" s="20" t="s">
        <v>1119</v>
      </c>
      <c r="O297" s="20" t="s">
        <v>1120</v>
      </c>
      <c r="P297" s="32" t="s">
        <v>850</v>
      </c>
      <c r="Q297" s="20" t="s">
        <v>40</v>
      </c>
      <c r="R297" s="2">
        <f t="shared" si="144"/>
        <v>793396.18</v>
      </c>
      <c r="S297" s="2">
        <v>639804.9</v>
      </c>
      <c r="T297" s="2">
        <v>153591.28</v>
      </c>
      <c r="U297" s="2">
        <f t="shared" si="139"/>
        <v>151304.57</v>
      </c>
      <c r="V297" s="2">
        <v>112906.75</v>
      </c>
      <c r="W297" s="2">
        <v>38397.82</v>
      </c>
      <c r="X297" s="2">
        <f t="shared" si="145"/>
        <v>0</v>
      </c>
      <c r="Y297" s="2">
        <v>0</v>
      </c>
      <c r="Z297" s="2">
        <v>0</v>
      </c>
      <c r="AA297" s="2">
        <f t="shared" si="146"/>
        <v>19279.599999999999</v>
      </c>
      <c r="AB297" s="2">
        <v>15361.46</v>
      </c>
      <c r="AC297" s="2">
        <v>3918.14</v>
      </c>
      <c r="AD297" s="2">
        <f t="shared" si="147"/>
        <v>963980.35</v>
      </c>
      <c r="AE297" s="2">
        <v>0</v>
      </c>
      <c r="AF297" s="2">
        <f t="shared" si="148"/>
        <v>963980.35</v>
      </c>
      <c r="AG297" s="24" t="s">
        <v>41</v>
      </c>
      <c r="AH297" s="34" t="s">
        <v>35</v>
      </c>
      <c r="AI297" s="35">
        <f>360374.76+80428.02+85558.08+11319.22+96397+20389.47+84094.42</f>
        <v>738560.97</v>
      </c>
      <c r="AJ297" s="36">
        <f>36349.9+31943.22+13703.1+20542.02+22271.75+16037.23</f>
        <v>140847.22</v>
      </c>
      <c r="AK297" s="28">
        <f t="shared" si="140"/>
        <v>54835.210000000079</v>
      </c>
      <c r="AL297" s="28">
        <f t="shared" si="141"/>
        <v>10457.350000000006</v>
      </c>
      <c r="AM297" s="29">
        <f t="shared" si="142"/>
        <v>0.93088546254407212</v>
      </c>
    </row>
    <row r="298" spans="1:39" ht="192" customHeight="1" x14ac:dyDescent="0.25">
      <c r="A298" s="10">
        <v>295</v>
      </c>
      <c r="B298" s="37">
        <v>109880</v>
      </c>
      <c r="C298" s="20">
        <v>261</v>
      </c>
      <c r="D298" s="20" t="s">
        <v>254</v>
      </c>
      <c r="E298" s="14" t="s">
        <v>1005</v>
      </c>
      <c r="F298" s="63" t="s">
        <v>1121</v>
      </c>
      <c r="G298" s="14" t="s">
        <v>1122</v>
      </c>
      <c r="H298" s="32" t="s">
        <v>1123</v>
      </c>
      <c r="I298" s="16" t="s">
        <v>1124</v>
      </c>
      <c r="J298" s="30">
        <v>43214</v>
      </c>
      <c r="K298" s="30">
        <v>43640</v>
      </c>
      <c r="L298" s="31">
        <f t="shared" si="143"/>
        <v>82.304184374786118</v>
      </c>
      <c r="M298" s="20" t="s">
        <v>855</v>
      </c>
      <c r="N298" s="20" t="s">
        <v>397</v>
      </c>
      <c r="O298" s="20" t="s">
        <v>401</v>
      </c>
      <c r="P298" s="32" t="s">
        <v>850</v>
      </c>
      <c r="Q298" s="20" t="s">
        <v>40</v>
      </c>
      <c r="R298" s="2">
        <f t="shared" si="144"/>
        <v>782828.76</v>
      </c>
      <c r="S298" s="2">
        <v>631283.18999999994</v>
      </c>
      <c r="T298" s="2">
        <v>151545.57</v>
      </c>
      <c r="U298" s="2">
        <f t="shared" si="139"/>
        <v>149289.32</v>
      </c>
      <c r="V298" s="2">
        <v>111402.93</v>
      </c>
      <c r="W298" s="2">
        <v>37886.39</v>
      </c>
      <c r="X298" s="2">
        <f t="shared" si="145"/>
        <v>0</v>
      </c>
      <c r="Y298" s="2"/>
      <c r="Z298" s="2"/>
      <c r="AA298" s="2">
        <f t="shared" si="146"/>
        <v>19022.82</v>
      </c>
      <c r="AB298" s="2">
        <v>15156.86</v>
      </c>
      <c r="AC298" s="2">
        <v>3865.96</v>
      </c>
      <c r="AD298" s="2">
        <f t="shared" si="147"/>
        <v>951140.9</v>
      </c>
      <c r="AE298" s="2"/>
      <c r="AF298" s="2">
        <f t="shared" si="148"/>
        <v>951140.9</v>
      </c>
      <c r="AG298" s="24" t="s">
        <v>41</v>
      </c>
      <c r="AH298" s="34" t="s">
        <v>132</v>
      </c>
      <c r="AI298" s="35">
        <v>734392.74</v>
      </c>
      <c r="AJ298" s="36">
        <v>140052.42000000001</v>
      </c>
      <c r="AK298" s="28">
        <f t="shared" si="140"/>
        <v>48436.020000000019</v>
      </c>
      <c r="AL298" s="28">
        <f t="shared" si="141"/>
        <v>9236.8999999999942</v>
      </c>
      <c r="AM298" s="29">
        <f t="shared" si="142"/>
        <v>0.93812692829527622</v>
      </c>
    </row>
    <row r="299" spans="1:39" ht="192" customHeight="1" x14ac:dyDescent="0.25">
      <c r="A299" s="10">
        <v>296</v>
      </c>
      <c r="B299" s="37">
        <v>110309</v>
      </c>
      <c r="C299" s="20">
        <v>304</v>
      </c>
      <c r="D299" s="20" t="s">
        <v>254</v>
      </c>
      <c r="E299" s="14" t="s">
        <v>1005</v>
      </c>
      <c r="F299" s="15" t="s">
        <v>1125</v>
      </c>
      <c r="G299" s="15" t="s">
        <v>1126</v>
      </c>
      <c r="H299" s="20" t="s">
        <v>35</v>
      </c>
      <c r="I299" s="16" t="s">
        <v>1127</v>
      </c>
      <c r="J299" s="30">
        <v>43217</v>
      </c>
      <c r="K299" s="30">
        <v>43888</v>
      </c>
      <c r="L299" s="31">
        <f t="shared" si="143"/>
        <v>82.304189246721677</v>
      </c>
      <c r="M299" s="20" t="s">
        <v>855</v>
      </c>
      <c r="N299" s="20" t="s">
        <v>1128</v>
      </c>
      <c r="O299" s="20" t="s">
        <v>1128</v>
      </c>
      <c r="P299" s="32" t="s">
        <v>850</v>
      </c>
      <c r="Q299" s="20" t="s">
        <v>40</v>
      </c>
      <c r="R299" s="2">
        <f t="shared" si="144"/>
        <v>822248.62</v>
      </c>
      <c r="S299" s="2">
        <v>663071.87</v>
      </c>
      <c r="T299" s="2">
        <v>159176.75</v>
      </c>
      <c r="U299" s="2">
        <f t="shared" si="139"/>
        <v>156806.83000000002</v>
      </c>
      <c r="V299" s="2">
        <v>117012.66</v>
      </c>
      <c r="W299" s="2">
        <v>39794.17</v>
      </c>
      <c r="X299" s="2">
        <f t="shared" si="145"/>
        <v>0</v>
      </c>
      <c r="Y299" s="2">
        <v>0</v>
      </c>
      <c r="Z299" s="2">
        <v>0</v>
      </c>
      <c r="AA299" s="2">
        <f t="shared" si="146"/>
        <v>19980.72</v>
      </c>
      <c r="AB299" s="2">
        <v>15920.08</v>
      </c>
      <c r="AC299" s="2">
        <v>4060.64</v>
      </c>
      <c r="AD299" s="2">
        <f t="shared" si="147"/>
        <v>999036.16999999993</v>
      </c>
      <c r="AE299" s="2">
        <v>0</v>
      </c>
      <c r="AF299" s="2">
        <f t="shared" si="148"/>
        <v>999036.16999999993</v>
      </c>
      <c r="AG299" s="39" t="s">
        <v>628</v>
      </c>
      <c r="AH299" s="34" t="s">
        <v>1129</v>
      </c>
      <c r="AI299" s="35">
        <v>553062.27999999991</v>
      </c>
      <c r="AJ299" s="36">
        <v>105471.71999999999</v>
      </c>
      <c r="AK299" s="28">
        <f t="shared" si="140"/>
        <v>269186.34000000008</v>
      </c>
      <c r="AL299" s="28">
        <f t="shared" si="141"/>
        <v>51335.11000000003</v>
      </c>
      <c r="AM299" s="29">
        <f t="shared" si="142"/>
        <v>0.67262171872054943</v>
      </c>
    </row>
    <row r="300" spans="1:39" ht="192" customHeight="1" x14ac:dyDescent="0.25">
      <c r="A300" s="10">
        <v>297</v>
      </c>
      <c r="B300" s="37">
        <v>112122</v>
      </c>
      <c r="C300" s="20">
        <v>172</v>
      </c>
      <c r="D300" s="20" t="s">
        <v>254</v>
      </c>
      <c r="E300" s="14" t="s">
        <v>1005</v>
      </c>
      <c r="F300" s="81" t="s">
        <v>1130</v>
      </c>
      <c r="G300" s="15" t="s">
        <v>1131</v>
      </c>
      <c r="H300" s="20" t="s">
        <v>35</v>
      </c>
      <c r="I300" s="16" t="s">
        <v>1132</v>
      </c>
      <c r="J300" s="30">
        <v>43217</v>
      </c>
      <c r="K300" s="30">
        <v>43796</v>
      </c>
      <c r="L300" s="31">
        <f t="shared" si="143"/>
        <v>82.30418763248349</v>
      </c>
      <c r="M300" s="20" t="s">
        <v>855</v>
      </c>
      <c r="N300" s="20" t="s">
        <v>397</v>
      </c>
      <c r="O300" s="20" t="s">
        <v>401</v>
      </c>
      <c r="P300" s="32" t="s">
        <v>850</v>
      </c>
      <c r="Q300" s="20" t="s">
        <v>40</v>
      </c>
      <c r="R300" s="2">
        <f t="shared" si="144"/>
        <v>773010.27999999991</v>
      </c>
      <c r="S300" s="2">
        <v>623365.43999999994</v>
      </c>
      <c r="T300" s="2">
        <v>149644.84</v>
      </c>
      <c r="U300" s="2">
        <f t="shared" si="139"/>
        <v>147416.85999999999</v>
      </c>
      <c r="V300" s="2">
        <v>110005.65</v>
      </c>
      <c r="W300" s="2">
        <v>37411.21</v>
      </c>
      <c r="X300" s="2">
        <f t="shared" si="145"/>
        <v>0</v>
      </c>
      <c r="Y300" s="2">
        <v>0</v>
      </c>
      <c r="Z300" s="2">
        <v>0</v>
      </c>
      <c r="AA300" s="2">
        <f t="shared" si="146"/>
        <v>18784.22</v>
      </c>
      <c r="AB300" s="2">
        <v>14966.74</v>
      </c>
      <c r="AC300" s="2">
        <v>3817.48</v>
      </c>
      <c r="AD300" s="2">
        <f t="shared" si="147"/>
        <v>939211.35999999987</v>
      </c>
      <c r="AE300" s="2">
        <v>0</v>
      </c>
      <c r="AF300" s="2">
        <f t="shared" si="148"/>
        <v>939211.35999999987</v>
      </c>
      <c r="AG300" s="24" t="s">
        <v>41</v>
      </c>
      <c r="AH300" s="34" t="s">
        <v>1133</v>
      </c>
      <c r="AI300" s="35">
        <v>733967.87</v>
      </c>
      <c r="AJ300" s="36">
        <v>138744.60999999999</v>
      </c>
      <c r="AK300" s="28">
        <f t="shared" si="140"/>
        <v>39042.409999999916</v>
      </c>
      <c r="AL300" s="28">
        <f t="shared" si="141"/>
        <v>8672.25</v>
      </c>
      <c r="AM300" s="29">
        <f t="shared" si="142"/>
        <v>0.94949302614707798</v>
      </c>
    </row>
    <row r="301" spans="1:39" ht="192" customHeight="1" x14ac:dyDescent="0.25">
      <c r="A301" s="10">
        <v>298</v>
      </c>
      <c r="B301" s="37">
        <v>111683</v>
      </c>
      <c r="C301" s="20">
        <v>339</v>
      </c>
      <c r="D301" s="20" t="s">
        <v>254</v>
      </c>
      <c r="E301" s="14" t="s">
        <v>1005</v>
      </c>
      <c r="F301" s="15" t="s">
        <v>1134</v>
      </c>
      <c r="G301" s="15" t="s">
        <v>1135</v>
      </c>
      <c r="H301" s="20" t="s">
        <v>35</v>
      </c>
      <c r="I301" s="16" t="s">
        <v>1136</v>
      </c>
      <c r="J301" s="30">
        <v>43227</v>
      </c>
      <c r="K301" s="30">
        <v>43868</v>
      </c>
      <c r="L301" s="31">
        <f t="shared" si="143"/>
        <v>82.304181640652189</v>
      </c>
      <c r="M301" s="20" t="s">
        <v>855</v>
      </c>
      <c r="N301" s="20" t="s">
        <v>228</v>
      </c>
      <c r="O301" s="20" t="s">
        <v>228</v>
      </c>
      <c r="P301" s="32" t="s">
        <v>850</v>
      </c>
      <c r="Q301" s="20" t="s">
        <v>40</v>
      </c>
      <c r="R301" s="2">
        <f t="shared" si="144"/>
        <v>791387.4800000001</v>
      </c>
      <c r="S301" s="2">
        <v>638185.06000000006</v>
      </c>
      <c r="T301" s="7">
        <v>153202.42000000001</v>
      </c>
      <c r="U301" s="2">
        <f t="shared" si="139"/>
        <v>150921.54999999999</v>
      </c>
      <c r="V301" s="6">
        <v>112620.91</v>
      </c>
      <c r="W301" s="2">
        <v>38300.639999999999</v>
      </c>
      <c r="X301" s="2">
        <f t="shared" si="145"/>
        <v>0</v>
      </c>
      <c r="Y301" s="2">
        <v>0</v>
      </c>
      <c r="Z301" s="2">
        <v>0</v>
      </c>
      <c r="AA301" s="2">
        <f t="shared" si="146"/>
        <v>19230.79</v>
      </c>
      <c r="AB301" s="2">
        <v>15322.58</v>
      </c>
      <c r="AC301" s="2">
        <v>3908.21</v>
      </c>
      <c r="AD301" s="2">
        <f t="shared" si="147"/>
        <v>961539.82000000007</v>
      </c>
      <c r="AE301" s="2"/>
      <c r="AF301" s="2">
        <f t="shared" si="148"/>
        <v>961539.82000000007</v>
      </c>
      <c r="AG301" s="39" t="s">
        <v>628</v>
      </c>
      <c r="AH301" s="34" t="s">
        <v>1137</v>
      </c>
      <c r="AI301" s="35">
        <f>197162.71+172481.19+20945.29+96000+68397.19</f>
        <v>554986.38</v>
      </c>
      <c r="AJ301" s="36">
        <f>37599.88+14585.36+22302.07+31351.36</f>
        <v>105838.67</v>
      </c>
      <c r="AK301" s="28">
        <f t="shared" si="140"/>
        <v>236401.10000000009</v>
      </c>
      <c r="AL301" s="28">
        <f t="shared" si="141"/>
        <v>45082.87999999999</v>
      </c>
      <c r="AM301" s="29">
        <f t="shared" si="142"/>
        <v>0.70128273952476472</v>
      </c>
    </row>
    <row r="302" spans="1:39" ht="192" customHeight="1" x14ac:dyDescent="0.25">
      <c r="A302" s="10">
        <v>299</v>
      </c>
      <c r="B302" s="37">
        <v>112332</v>
      </c>
      <c r="C302" s="20">
        <v>351</v>
      </c>
      <c r="D302" s="20" t="s">
        <v>254</v>
      </c>
      <c r="E302" s="14" t="s">
        <v>1005</v>
      </c>
      <c r="F302" s="32" t="s">
        <v>1138</v>
      </c>
      <c r="G302" s="129" t="s">
        <v>1139</v>
      </c>
      <c r="H302" s="81" t="s">
        <v>1140</v>
      </c>
      <c r="I302" s="16" t="s">
        <v>1141</v>
      </c>
      <c r="J302" s="30">
        <v>43227</v>
      </c>
      <c r="K302" s="30">
        <v>43715</v>
      </c>
      <c r="L302" s="31">
        <f t="shared" si="143"/>
        <v>82.803274340618188</v>
      </c>
      <c r="M302" s="20" t="s">
        <v>855</v>
      </c>
      <c r="N302" s="20" t="s">
        <v>1142</v>
      </c>
      <c r="O302" s="20" t="s">
        <v>1143</v>
      </c>
      <c r="P302" s="32" t="s">
        <v>850</v>
      </c>
      <c r="Q302" s="20" t="s">
        <v>40</v>
      </c>
      <c r="R302" s="2">
        <f t="shared" si="144"/>
        <v>789905.57000000007</v>
      </c>
      <c r="S302" s="2">
        <v>636990.03</v>
      </c>
      <c r="T302" s="2">
        <v>152915.54</v>
      </c>
      <c r="U302" s="2">
        <f t="shared" si="139"/>
        <v>144969.85</v>
      </c>
      <c r="V302" s="2">
        <v>107893.05</v>
      </c>
      <c r="W302" s="2">
        <v>37076.800000000003</v>
      </c>
      <c r="X302" s="2">
        <f t="shared" si="145"/>
        <v>0</v>
      </c>
      <c r="Y302" s="2">
        <v>0</v>
      </c>
      <c r="Z302" s="2">
        <v>0</v>
      </c>
      <c r="AA302" s="2">
        <f t="shared" si="146"/>
        <v>19079.09</v>
      </c>
      <c r="AB302" s="2">
        <v>15201.71</v>
      </c>
      <c r="AC302" s="2">
        <v>3877.38</v>
      </c>
      <c r="AD302" s="2">
        <f t="shared" si="147"/>
        <v>953954.51</v>
      </c>
      <c r="AE302" s="2">
        <v>0</v>
      </c>
      <c r="AF302" s="2">
        <f t="shared" si="148"/>
        <v>953954.51</v>
      </c>
      <c r="AG302" s="24" t="s">
        <v>41</v>
      </c>
      <c r="AH302" s="34" t="s">
        <v>35</v>
      </c>
      <c r="AI302" s="35">
        <f>103189.19-10344.17+64585.92+101525.85+67050.25+55900.12+82485.04+159943.99</f>
        <v>624336.18999999994</v>
      </c>
      <c r="AJ302" s="36">
        <f>6891.88+10344.17+32148.26+10660.44+28517.1+27035.36</f>
        <v>115597.21</v>
      </c>
      <c r="AK302" s="28">
        <f t="shared" si="140"/>
        <v>165569.38000000012</v>
      </c>
      <c r="AL302" s="28">
        <f t="shared" si="141"/>
        <v>29372.639999999999</v>
      </c>
      <c r="AM302" s="29">
        <f t="shared" si="142"/>
        <v>0.79039345171347497</v>
      </c>
    </row>
    <row r="303" spans="1:39" ht="192" customHeight="1" x14ac:dyDescent="0.25">
      <c r="A303" s="10">
        <v>300</v>
      </c>
      <c r="B303" s="37">
        <v>115657</v>
      </c>
      <c r="C303" s="20">
        <v>390</v>
      </c>
      <c r="D303" s="20" t="s">
        <v>254</v>
      </c>
      <c r="E303" s="14" t="s">
        <v>1015</v>
      </c>
      <c r="F303" s="15" t="s">
        <v>1144</v>
      </c>
      <c r="G303" s="15" t="s">
        <v>885</v>
      </c>
      <c r="H303" s="20" t="s">
        <v>1145</v>
      </c>
      <c r="I303" s="16" t="s">
        <v>1146</v>
      </c>
      <c r="J303" s="30">
        <v>43223</v>
      </c>
      <c r="K303" s="30">
        <v>44015</v>
      </c>
      <c r="L303" s="31">
        <f t="shared" si="143"/>
        <v>83.983862800906138</v>
      </c>
      <c r="M303" s="20" t="s">
        <v>855</v>
      </c>
      <c r="N303" s="20" t="s">
        <v>856</v>
      </c>
      <c r="O303" s="20" t="s">
        <v>856</v>
      </c>
      <c r="P303" s="32" t="s">
        <v>260</v>
      </c>
      <c r="Q303" s="20" t="s">
        <v>40</v>
      </c>
      <c r="R303" s="2">
        <f t="shared" si="144"/>
        <v>5309367.55</v>
      </c>
      <c r="S303" s="2">
        <v>4281542.3499999996</v>
      </c>
      <c r="T303" s="2">
        <v>1027825.2</v>
      </c>
      <c r="U303" s="2">
        <f t="shared" si="139"/>
        <v>0</v>
      </c>
      <c r="V303" s="2">
        <v>0</v>
      </c>
      <c r="W303" s="2">
        <v>0</v>
      </c>
      <c r="X303" s="2">
        <f t="shared" si="145"/>
        <v>1012522.6000000001</v>
      </c>
      <c r="Y303" s="2">
        <v>755566.3</v>
      </c>
      <c r="Z303" s="2">
        <v>256956.3</v>
      </c>
      <c r="AA303" s="2">
        <f t="shared" si="146"/>
        <v>0</v>
      </c>
      <c r="AB303" s="2">
        <v>0</v>
      </c>
      <c r="AC303" s="2">
        <v>0</v>
      </c>
      <c r="AD303" s="2">
        <f t="shared" si="147"/>
        <v>6321890.1500000004</v>
      </c>
      <c r="AE303" s="2">
        <v>0</v>
      </c>
      <c r="AF303" s="2">
        <f t="shared" si="148"/>
        <v>6321890.1500000004</v>
      </c>
      <c r="AG303" s="39" t="s">
        <v>69</v>
      </c>
      <c r="AH303" s="34" t="s">
        <v>1147</v>
      </c>
      <c r="AI303" s="35">
        <f>1180382.36+873156.96+622255.36</f>
        <v>2675794.6800000002</v>
      </c>
      <c r="AJ303" s="36">
        <v>0</v>
      </c>
      <c r="AK303" s="28">
        <f t="shared" si="140"/>
        <v>2633572.8699999996</v>
      </c>
      <c r="AL303" s="28">
        <f t="shared" si="141"/>
        <v>0</v>
      </c>
      <c r="AM303" s="29">
        <f t="shared" si="142"/>
        <v>0.50397616190651562</v>
      </c>
    </row>
    <row r="304" spans="1:39" ht="192" customHeight="1" x14ac:dyDescent="0.25">
      <c r="A304" s="10">
        <v>301</v>
      </c>
      <c r="B304" s="37">
        <v>116294</v>
      </c>
      <c r="C304" s="20">
        <v>395</v>
      </c>
      <c r="D304" s="124" t="s">
        <v>254</v>
      </c>
      <c r="E304" s="14" t="s">
        <v>1015</v>
      </c>
      <c r="F304" s="15" t="s">
        <v>1148</v>
      </c>
      <c r="G304" s="32" t="s">
        <v>930</v>
      </c>
      <c r="H304" s="20" t="s">
        <v>1149</v>
      </c>
      <c r="I304" s="112" t="s">
        <v>1150</v>
      </c>
      <c r="J304" s="30">
        <v>43307</v>
      </c>
      <c r="K304" s="30">
        <v>44100</v>
      </c>
      <c r="L304" s="31">
        <f t="shared" si="143"/>
        <v>83.983862768208695</v>
      </c>
      <c r="M304" s="20" t="s">
        <v>855</v>
      </c>
      <c r="N304" s="20" t="s">
        <v>229</v>
      </c>
      <c r="O304" s="20" t="s">
        <v>229</v>
      </c>
      <c r="P304" s="32" t="s">
        <v>260</v>
      </c>
      <c r="Q304" s="20" t="s">
        <v>40</v>
      </c>
      <c r="R304" s="2">
        <f t="shared" si="144"/>
        <v>10337095.59</v>
      </c>
      <c r="S304" s="2">
        <v>8335966.9800000004</v>
      </c>
      <c r="T304" s="2">
        <v>2001128.61</v>
      </c>
      <c r="U304" s="2">
        <f t="shared" si="139"/>
        <v>861007.51</v>
      </c>
      <c r="V304" s="2">
        <v>636291.80000000005</v>
      </c>
      <c r="W304" s="2">
        <v>224715.71</v>
      </c>
      <c r="X304" s="2">
        <f t="shared" si="145"/>
        <v>1110327.6499999999</v>
      </c>
      <c r="Y304" s="2">
        <v>834761.2</v>
      </c>
      <c r="Z304" s="2">
        <v>275566.45</v>
      </c>
      <c r="AA304" s="2">
        <f t="shared" si="146"/>
        <v>0</v>
      </c>
      <c r="AB304" s="2">
        <v>0</v>
      </c>
      <c r="AC304" s="2">
        <v>0</v>
      </c>
      <c r="AD304" s="2">
        <f t="shared" si="147"/>
        <v>12308430.75</v>
      </c>
      <c r="AE304" s="2"/>
      <c r="AF304" s="2">
        <f t="shared" si="148"/>
        <v>12308430.75</v>
      </c>
      <c r="AG304" s="39" t="s">
        <v>69</v>
      </c>
      <c r="AH304" s="34"/>
      <c r="AI304" s="35">
        <f>567275.05+242142.38+389249.89</f>
        <v>1198667.32</v>
      </c>
      <c r="AJ304" s="36">
        <f>37941.44+64466.26+39373.95</f>
        <v>141781.65000000002</v>
      </c>
      <c r="AK304" s="28">
        <f t="shared" si="140"/>
        <v>9138428.2699999996</v>
      </c>
      <c r="AL304" s="28">
        <f t="shared" si="141"/>
        <v>719225.86</v>
      </c>
      <c r="AM304" s="29">
        <f t="shared" si="142"/>
        <v>0.11595784420911988</v>
      </c>
    </row>
    <row r="305" spans="1:39" ht="192" customHeight="1" x14ac:dyDescent="0.25">
      <c r="A305" s="10">
        <v>302</v>
      </c>
      <c r="B305" s="37">
        <v>115539</v>
      </c>
      <c r="C305" s="20">
        <v>396</v>
      </c>
      <c r="D305" s="20" t="s">
        <v>254</v>
      </c>
      <c r="E305" s="14" t="s">
        <v>1015</v>
      </c>
      <c r="F305" s="15" t="s">
        <v>1151</v>
      </c>
      <c r="G305" s="15" t="s">
        <v>1152</v>
      </c>
      <c r="H305" s="20" t="s">
        <v>1049</v>
      </c>
      <c r="I305" s="16" t="s">
        <v>1153</v>
      </c>
      <c r="J305" s="30">
        <v>43249</v>
      </c>
      <c r="K305" s="30">
        <v>44041</v>
      </c>
      <c r="L305" s="31">
        <f t="shared" si="143"/>
        <v>83.983861240799271</v>
      </c>
      <c r="M305" s="20" t="s">
        <v>855</v>
      </c>
      <c r="N305" s="20" t="s">
        <v>229</v>
      </c>
      <c r="O305" s="20" t="s">
        <v>229</v>
      </c>
      <c r="P305" s="32" t="s">
        <v>260</v>
      </c>
      <c r="Q305" s="20" t="s">
        <v>40</v>
      </c>
      <c r="R305" s="2">
        <f t="shared" si="144"/>
        <v>2264152.09</v>
      </c>
      <c r="S305" s="2">
        <v>1825841.4</v>
      </c>
      <c r="T305" s="2">
        <v>438310.69</v>
      </c>
      <c r="U305" s="2">
        <f t="shared" si="139"/>
        <v>159763.60999999999</v>
      </c>
      <c r="V305" s="2">
        <v>118066.66</v>
      </c>
      <c r="W305" s="2">
        <v>41696.949999999997</v>
      </c>
      <c r="X305" s="2">
        <f t="shared" si="145"/>
        <v>272021.42</v>
      </c>
      <c r="Y305" s="2">
        <v>204140.68</v>
      </c>
      <c r="Z305" s="2">
        <v>67880.740000000005</v>
      </c>
      <c r="AA305" s="2">
        <f t="shared" si="146"/>
        <v>0</v>
      </c>
      <c r="AB305" s="2">
        <v>0</v>
      </c>
      <c r="AC305" s="2">
        <v>0</v>
      </c>
      <c r="AD305" s="2">
        <f t="shared" si="147"/>
        <v>2695937.1199999996</v>
      </c>
      <c r="AE305" s="2">
        <v>0</v>
      </c>
      <c r="AF305" s="2">
        <f t="shared" si="148"/>
        <v>2695937.1199999996</v>
      </c>
      <c r="AG305" s="39" t="s">
        <v>69</v>
      </c>
      <c r="AH305" s="34"/>
      <c r="AI305" s="35">
        <f>331641.17-13183.87</f>
        <v>318457.3</v>
      </c>
      <c r="AJ305" s="36">
        <v>13183.87</v>
      </c>
      <c r="AK305" s="28">
        <f t="shared" si="140"/>
        <v>1945694.7899999998</v>
      </c>
      <c r="AL305" s="28">
        <f t="shared" si="141"/>
        <v>146579.74</v>
      </c>
      <c r="AM305" s="29">
        <f t="shared" si="142"/>
        <v>0.14065190293819882</v>
      </c>
    </row>
    <row r="306" spans="1:39" ht="192" customHeight="1" x14ac:dyDescent="0.25">
      <c r="A306" s="10">
        <v>303</v>
      </c>
      <c r="B306" s="37">
        <v>111701</v>
      </c>
      <c r="C306" s="20">
        <v>251</v>
      </c>
      <c r="D306" s="20" t="s">
        <v>254</v>
      </c>
      <c r="E306" s="14" t="s">
        <v>1005</v>
      </c>
      <c r="F306" s="32" t="s">
        <v>1154</v>
      </c>
      <c r="G306" s="130" t="s">
        <v>1155</v>
      </c>
      <c r="H306" s="130" t="s">
        <v>1156</v>
      </c>
      <c r="I306" s="131" t="s">
        <v>1157</v>
      </c>
      <c r="J306" s="30">
        <v>43231</v>
      </c>
      <c r="K306" s="30">
        <v>43780</v>
      </c>
      <c r="L306" s="31">
        <f t="shared" si="143"/>
        <v>82.304186092487143</v>
      </c>
      <c r="M306" s="20" t="s">
        <v>855</v>
      </c>
      <c r="N306" s="20" t="s">
        <v>198</v>
      </c>
      <c r="O306" s="20" t="s">
        <v>198</v>
      </c>
      <c r="P306" s="32" t="s">
        <v>850</v>
      </c>
      <c r="Q306" s="20" t="s">
        <v>40</v>
      </c>
      <c r="R306" s="2">
        <f t="shared" si="144"/>
        <v>643463.74</v>
      </c>
      <c r="S306" s="132">
        <v>518897.45</v>
      </c>
      <c r="T306" s="132">
        <v>124566.29</v>
      </c>
      <c r="U306" s="2">
        <f t="shared" ref="U306:U369" si="149">V306+W306</f>
        <v>122711.73</v>
      </c>
      <c r="V306" s="132">
        <v>91570.15</v>
      </c>
      <c r="W306" s="132">
        <v>31141.58</v>
      </c>
      <c r="X306" s="2">
        <f t="shared" si="145"/>
        <v>0</v>
      </c>
      <c r="Y306" s="2"/>
      <c r="Z306" s="2"/>
      <c r="AA306" s="2">
        <f t="shared" si="146"/>
        <v>15636.21</v>
      </c>
      <c r="AB306" s="132">
        <v>12458.49</v>
      </c>
      <c r="AC306" s="132">
        <v>3177.72</v>
      </c>
      <c r="AD306" s="2">
        <f t="shared" si="147"/>
        <v>781811.67999999993</v>
      </c>
      <c r="AE306" s="2">
        <v>4162.62</v>
      </c>
      <c r="AF306" s="2">
        <f t="shared" si="148"/>
        <v>785974.29999999993</v>
      </c>
      <c r="AG306" s="24" t="s">
        <v>41</v>
      </c>
      <c r="AH306" s="34" t="s">
        <v>1158</v>
      </c>
      <c r="AI306" s="35">
        <f>95051.96+39484.25+23955.55-8000+211432.19+107515.78+78081.24</f>
        <v>547520.97</v>
      </c>
      <c r="AJ306" s="36">
        <f>15075.6+9055.47+4568.44+40321.17+20503.81+14890.48</f>
        <v>104414.96999999999</v>
      </c>
      <c r="AK306" s="28">
        <f t="shared" si="140"/>
        <v>95942.770000000019</v>
      </c>
      <c r="AL306" s="28">
        <f t="shared" si="141"/>
        <v>18296.760000000009</v>
      </c>
      <c r="AM306" s="29">
        <f t="shared" si="142"/>
        <v>0.85089638461990103</v>
      </c>
    </row>
    <row r="307" spans="1:39" ht="192" customHeight="1" x14ac:dyDescent="0.25">
      <c r="A307" s="10">
        <v>304</v>
      </c>
      <c r="B307" s="37">
        <v>111284</v>
      </c>
      <c r="C307" s="20">
        <v>182</v>
      </c>
      <c r="D307" s="20" t="s">
        <v>254</v>
      </c>
      <c r="E307" s="14" t="s">
        <v>1005</v>
      </c>
      <c r="F307" s="32" t="s">
        <v>1159</v>
      </c>
      <c r="G307" s="20" t="s">
        <v>1160</v>
      </c>
      <c r="H307" s="81"/>
      <c r="I307" s="61" t="s">
        <v>1161</v>
      </c>
      <c r="J307" s="30">
        <v>43236</v>
      </c>
      <c r="K307" s="30">
        <v>43724</v>
      </c>
      <c r="L307" s="31">
        <f t="shared" si="143"/>
        <v>82.304186150868873</v>
      </c>
      <c r="M307" s="20" t="s">
        <v>855</v>
      </c>
      <c r="N307" s="20" t="s">
        <v>338</v>
      </c>
      <c r="O307" s="20" t="s">
        <v>1162</v>
      </c>
      <c r="P307" s="32" t="s">
        <v>850</v>
      </c>
      <c r="Q307" s="20" t="s">
        <v>40</v>
      </c>
      <c r="R307" s="2">
        <f t="shared" si="144"/>
        <v>820224.26</v>
      </c>
      <c r="S307" s="2">
        <v>661439.4</v>
      </c>
      <c r="T307" s="2">
        <v>158784.85999999999</v>
      </c>
      <c r="U307" s="2">
        <f t="shared" si="149"/>
        <v>156420.81</v>
      </c>
      <c r="V307" s="2">
        <v>116724.6</v>
      </c>
      <c r="W307" s="2">
        <v>39696.21</v>
      </c>
      <c r="X307" s="2">
        <f t="shared" si="145"/>
        <v>0</v>
      </c>
      <c r="Y307" s="2"/>
      <c r="Z307" s="2"/>
      <c r="AA307" s="2">
        <f t="shared" si="146"/>
        <v>19931.53</v>
      </c>
      <c r="AB307" s="2">
        <v>15880.9</v>
      </c>
      <c r="AC307" s="2">
        <v>4050.63</v>
      </c>
      <c r="AD307" s="2">
        <f t="shared" si="147"/>
        <v>996576.60000000009</v>
      </c>
      <c r="AE307" s="2"/>
      <c r="AF307" s="2">
        <f t="shared" si="148"/>
        <v>996576.60000000009</v>
      </c>
      <c r="AG307" s="24" t="s">
        <v>41</v>
      </c>
      <c r="AH307" s="34" t="s">
        <v>35</v>
      </c>
      <c r="AI307" s="35">
        <f>589154.54+143024.16</f>
        <v>732178.70000000007</v>
      </c>
      <c r="AJ307" s="36">
        <f>93665.6+45964.48</f>
        <v>139630.08000000002</v>
      </c>
      <c r="AK307" s="28">
        <f t="shared" si="140"/>
        <v>88045.559999999939</v>
      </c>
      <c r="AL307" s="28">
        <f t="shared" si="141"/>
        <v>16790.729999999981</v>
      </c>
      <c r="AM307" s="29">
        <f t="shared" si="142"/>
        <v>0.89265672293087261</v>
      </c>
    </row>
    <row r="308" spans="1:39" ht="192" customHeight="1" x14ac:dyDescent="0.25">
      <c r="A308" s="10">
        <v>305</v>
      </c>
      <c r="B308" s="37">
        <v>116994</v>
      </c>
      <c r="C308" s="20">
        <v>399</v>
      </c>
      <c r="D308" s="20" t="s">
        <v>254</v>
      </c>
      <c r="E308" s="14" t="s">
        <v>1015</v>
      </c>
      <c r="F308" s="32" t="s">
        <v>1163</v>
      </c>
      <c r="G308" s="15" t="s">
        <v>952</v>
      </c>
      <c r="H308" s="32" t="s">
        <v>46</v>
      </c>
      <c r="I308" s="61" t="s">
        <v>1164</v>
      </c>
      <c r="J308" s="30">
        <v>43236</v>
      </c>
      <c r="K308" s="30">
        <v>44028</v>
      </c>
      <c r="L308" s="31">
        <f t="shared" si="143"/>
        <v>83.983862868396045</v>
      </c>
      <c r="M308" s="20" t="s">
        <v>855</v>
      </c>
      <c r="N308" s="20" t="s">
        <v>229</v>
      </c>
      <c r="O308" s="20" t="s">
        <v>229</v>
      </c>
      <c r="P308" s="32" t="s">
        <v>260</v>
      </c>
      <c r="Q308" s="20" t="s">
        <v>40</v>
      </c>
      <c r="R308" s="2">
        <f t="shared" si="144"/>
        <v>6570135.6299999999</v>
      </c>
      <c r="S308" s="2">
        <v>5298241.96</v>
      </c>
      <c r="T308" s="2">
        <v>1271893.67</v>
      </c>
      <c r="U308" s="2">
        <f t="shared" si="149"/>
        <v>0</v>
      </c>
      <c r="V308" s="2">
        <v>0</v>
      </c>
      <c r="W308" s="2">
        <v>0</v>
      </c>
      <c r="X308" s="2">
        <f t="shared" si="145"/>
        <v>1252957.29</v>
      </c>
      <c r="Y308" s="2">
        <v>934983.88</v>
      </c>
      <c r="Z308" s="2">
        <v>317973.40999999997</v>
      </c>
      <c r="AA308" s="2">
        <f t="shared" si="146"/>
        <v>0</v>
      </c>
      <c r="AB308" s="2">
        <v>0</v>
      </c>
      <c r="AC308" s="2">
        <v>0</v>
      </c>
      <c r="AD308" s="2">
        <f t="shared" si="147"/>
        <v>7823092.9199999999</v>
      </c>
      <c r="AE308" s="2">
        <v>0</v>
      </c>
      <c r="AF308" s="2">
        <f t="shared" si="148"/>
        <v>7823092.9199999999</v>
      </c>
      <c r="AG308" s="39" t="s">
        <v>69</v>
      </c>
      <c r="AH308" s="34"/>
      <c r="AI308" s="35">
        <f>4248.74+31166.22+89220.52+57381.15+77993.31+62439.49+102447.37</f>
        <v>424896.8</v>
      </c>
      <c r="AJ308" s="36">
        <v>0</v>
      </c>
      <c r="AK308" s="28">
        <f t="shared" si="140"/>
        <v>6145238.8300000001</v>
      </c>
      <c r="AL308" s="28">
        <f t="shared" si="141"/>
        <v>0</v>
      </c>
      <c r="AM308" s="29">
        <f t="shared" si="142"/>
        <v>6.4670932828216204E-2</v>
      </c>
    </row>
    <row r="309" spans="1:39" ht="192" customHeight="1" x14ac:dyDescent="0.25">
      <c r="A309" s="10">
        <v>306</v>
      </c>
      <c r="B309" s="37">
        <v>112921</v>
      </c>
      <c r="C309" s="20">
        <v>288</v>
      </c>
      <c r="D309" s="20" t="s">
        <v>254</v>
      </c>
      <c r="E309" s="14" t="s">
        <v>1005</v>
      </c>
      <c r="F309" s="63" t="s">
        <v>1165</v>
      </c>
      <c r="G309" s="15" t="s">
        <v>1166</v>
      </c>
      <c r="H309" s="20" t="s">
        <v>1167</v>
      </c>
      <c r="I309" s="61" t="s">
        <v>1168</v>
      </c>
      <c r="J309" s="30">
        <v>43236</v>
      </c>
      <c r="K309" s="30">
        <v>43724</v>
      </c>
      <c r="L309" s="31">
        <f t="shared" si="143"/>
        <v>82.304184477468439</v>
      </c>
      <c r="M309" s="20" t="s">
        <v>855</v>
      </c>
      <c r="N309" s="20" t="s">
        <v>1169</v>
      </c>
      <c r="O309" s="20" t="s">
        <v>1169</v>
      </c>
      <c r="P309" s="32" t="s">
        <v>850</v>
      </c>
      <c r="Q309" s="20" t="s">
        <v>40</v>
      </c>
      <c r="R309" s="2">
        <f t="shared" si="144"/>
        <v>692528.19000000006</v>
      </c>
      <c r="S309" s="2">
        <v>558463.68000000005</v>
      </c>
      <c r="T309" s="2">
        <v>134064.51</v>
      </c>
      <c r="U309" s="2">
        <f t="shared" si="149"/>
        <v>132068.54999999999</v>
      </c>
      <c r="V309" s="2">
        <v>98552.39</v>
      </c>
      <c r="W309" s="2">
        <v>33516.160000000003</v>
      </c>
      <c r="X309" s="2">
        <f t="shared" si="145"/>
        <v>0</v>
      </c>
      <c r="Y309" s="2">
        <v>0</v>
      </c>
      <c r="Z309" s="2">
        <v>0</v>
      </c>
      <c r="AA309" s="2">
        <f t="shared" si="146"/>
        <v>16828.509999999998</v>
      </c>
      <c r="AB309" s="2">
        <v>13408.49</v>
      </c>
      <c r="AC309" s="2">
        <v>3420.02</v>
      </c>
      <c r="AD309" s="2">
        <f t="shared" si="147"/>
        <v>841425.25</v>
      </c>
      <c r="AE309" s="2">
        <v>0</v>
      </c>
      <c r="AF309" s="2">
        <f t="shared" si="148"/>
        <v>841425.25</v>
      </c>
      <c r="AG309" s="24" t="s">
        <v>41</v>
      </c>
      <c r="AH309" s="34" t="s">
        <v>1170</v>
      </c>
      <c r="AI309" s="35">
        <f>59000+45054.47-7168.82+43487.54+82400+27588.29+82400+83329.15+139789.65+86231.39</f>
        <v>642111.67000000004</v>
      </c>
      <c r="AJ309" s="36">
        <f>15760.94+11008.93+20975.3+31605.35+26658.52+16444.76</f>
        <v>122453.79999999999</v>
      </c>
      <c r="AK309" s="28">
        <f t="shared" si="140"/>
        <v>50416.520000000019</v>
      </c>
      <c r="AL309" s="28">
        <f t="shared" si="141"/>
        <v>9614.75</v>
      </c>
      <c r="AM309" s="29">
        <f t="shared" si="142"/>
        <v>0.92719932455023957</v>
      </c>
    </row>
    <row r="310" spans="1:39" ht="192" customHeight="1" x14ac:dyDescent="0.25">
      <c r="A310" s="10">
        <v>307</v>
      </c>
      <c r="B310" s="37">
        <v>122235</v>
      </c>
      <c r="C310" s="20">
        <v>60</v>
      </c>
      <c r="D310" s="20" t="s">
        <v>861</v>
      </c>
      <c r="E310" s="14" t="s">
        <v>862</v>
      </c>
      <c r="F310" s="63" t="s">
        <v>1171</v>
      </c>
      <c r="G310" s="20" t="s">
        <v>1172</v>
      </c>
      <c r="H310" s="20" t="s">
        <v>35</v>
      </c>
      <c r="I310" s="61" t="s">
        <v>1173</v>
      </c>
      <c r="J310" s="30">
        <v>43236</v>
      </c>
      <c r="K310" s="30">
        <v>44302</v>
      </c>
      <c r="L310" s="31">
        <f t="shared" si="143"/>
        <v>83.983862861012312</v>
      </c>
      <c r="M310" s="20" t="s">
        <v>855</v>
      </c>
      <c r="N310" s="20" t="s">
        <v>228</v>
      </c>
      <c r="O310" s="20" t="s">
        <v>228</v>
      </c>
      <c r="P310" s="32" t="s">
        <v>260</v>
      </c>
      <c r="Q310" s="20" t="s">
        <v>40</v>
      </c>
      <c r="R310" s="2">
        <f t="shared" si="144"/>
        <v>9422880.1500000004</v>
      </c>
      <c r="S310" s="2">
        <v>7598731.8700000001</v>
      </c>
      <c r="T310" s="2">
        <v>1824148.28</v>
      </c>
      <c r="U310" s="2">
        <f t="shared" si="149"/>
        <v>0</v>
      </c>
      <c r="V310" s="2"/>
      <c r="W310" s="2"/>
      <c r="X310" s="2">
        <f t="shared" si="145"/>
        <v>1796989.75</v>
      </c>
      <c r="Y310" s="2">
        <v>1340952.68</v>
      </c>
      <c r="Z310" s="2">
        <v>456037.07</v>
      </c>
      <c r="AA310" s="2">
        <f t="shared" si="146"/>
        <v>0</v>
      </c>
      <c r="AB310" s="2">
        <v>0</v>
      </c>
      <c r="AC310" s="2">
        <v>0</v>
      </c>
      <c r="AD310" s="2">
        <f t="shared" si="147"/>
        <v>11219869.9</v>
      </c>
      <c r="AE310" s="2">
        <v>0</v>
      </c>
      <c r="AF310" s="2">
        <f t="shared" si="148"/>
        <v>11219869.9</v>
      </c>
      <c r="AG310" s="39" t="s">
        <v>69</v>
      </c>
      <c r="AH310" s="34" t="s">
        <v>35</v>
      </c>
      <c r="AI310" s="35">
        <f>177000+30000-137868.19+11251.1+63755.9+119800.68+155000</f>
        <v>418939.49</v>
      </c>
      <c r="AJ310" s="36">
        <v>0</v>
      </c>
      <c r="AK310" s="28">
        <f t="shared" si="140"/>
        <v>9003940.6600000001</v>
      </c>
      <c r="AL310" s="28">
        <f t="shared" si="141"/>
        <v>0</v>
      </c>
      <c r="AM310" s="29">
        <f t="shared" si="142"/>
        <v>4.4459813064692322E-2</v>
      </c>
    </row>
    <row r="311" spans="1:39" ht="192" customHeight="1" x14ac:dyDescent="0.25">
      <c r="A311" s="10">
        <v>308</v>
      </c>
      <c r="B311" s="37">
        <v>113205</v>
      </c>
      <c r="C311" s="20">
        <v>286</v>
      </c>
      <c r="D311" s="20" t="s">
        <v>254</v>
      </c>
      <c r="E311" s="14" t="s">
        <v>1005</v>
      </c>
      <c r="F311" s="63" t="s">
        <v>1174</v>
      </c>
      <c r="G311" s="20" t="s">
        <v>1175</v>
      </c>
      <c r="H311" s="20" t="s">
        <v>1176</v>
      </c>
      <c r="I311" s="61" t="s">
        <v>1177</v>
      </c>
      <c r="J311" s="30">
        <v>43243</v>
      </c>
      <c r="K311" s="30">
        <v>43700</v>
      </c>
      <c r="L311" s="31">
        <f t="shared" si="143"/>
        <v>82.304187102769717</v>
      </c>
      <c r="M311" s="20" t="s">
        <v>855</v>
      </c>
      <c r="N311" s="20" t="s">
        <v>228</v>
      </c>
      <c r="O311" s="20" t="s">
        <v>228</v>
      </c>
      <c r="P311" s="32" t="s">
        <v>260</v>
      </c>
      <c r="Q311" s="20" t="s">
        <v>40</v>
      </c>
      <c r="R311" s="2">
        <f t="shared" si="144"/>
        <v>750653.75</v>
      </c>
      <c r="S311" s="2">
        <v>605336.84</v>
      </c>
      <c r="T311" s="2">
        <v>145316.91</v>
      </c>
      <c r="U311" s="2">
        <f t="shared" si="149"/>
        <v>143153.36000000002</v>
      </c>
      <c r="V311" s="2">
        <v>106824.13</v>
      </c>
      <c r="W311" s="2">
        <v>36329.230000000003</v>
      </c>
      <c r="X311" s="2">
        <f t="shared" si="145"/>
        <v>0</v>
      </c>
      <c r="Y311" s="2">
        <v>0</v>
      </c>
      <c r="Z311" s="2">
        <v>0</v>
      </c>
      <c r="AA311" s="2">
        <f t="shared" si="146"/>
        <v>18240.96</v>
      </c>
      <c r="AB311" s="2">
        <v>14533.91</v>
      </c>
      <c r="AC311" s="2">
        <v>3707.05</v>
      </c>
      <c r="AD311" s="2">
        <f t="shared" si="147"/>
        <v>912048.07</v>
      </c>
      <c r="AE311" s="2">
        <v>0</v>
      </c>
      <c r="AF311" s="2">
        <f t="shared" si="148"/>
        <v>912048.07</v>
      </c>
      <c r="AG311" s="24" t="s">
        <v>41</v>
      </c>
      <c r="AH311" s="34"/>
      <c r="AI311" s="35">
        <f>80989.07+73791.77+71604.65-11418.94+71296.47+10538.9+120276.34+289691.6-34329.09</f>
        <v>672440.77</v>
      </c>
      <c r="AJ311" s="36">
        <f>12124.41+13655.35+11418.94+6176.71+18770.39+55245.61+10846.33</f>
        <v>128237.74</v>
      </c>
      <c r="AK311" s="28">
        <f t="shared" si="140"/>
        <v>78212.979999999981</v>
      </c>
      <c r="AL311" s="28">
        <f t="shared" si="141"/>
        <v>14915.62000000001</v>
      </c>
      <c r="AM311" s="29">
        <f t="shared" si="142"/>
        <v>0.89580684836384283</v>
      </c>
    </row>
    <row r="312" spans="1:39" ht="192" customHeight="1" x14ac:dyDescent="0.25">
      <c r="A312" s="10">
        <v>309</v>
      </c>
      <c r="B312" s="37">
        <v>111084</v>
      </c>
      <c r="C312" s="20">
        <v>343</v>
      </c>
      <c r="D312" s="20" t="s">
        <v>254</v>
      </c>
      <c r="E312" s="14" t="s">
        <v>1005</v>
      </c>
      <c r="F312" s="133" t="s">
        <v>1178</v>
      </c>
      <c r="G312" s="134" t="s">
        <v>1179</v>
      </c>
      <c r="H312" s="20" t="s">
        <v>1178</v>
      </c>
      <c r="I312" s="61" t="s">
        <v>1180</v>
      </c>
      <c r="J312" s="30">
        <v>43243</v>
      </c>
      <c r="K312" s="30">
        <v>43731</v>
      </c>
      <c r="L312" s="31">
        <f t="shared" si="143"/>
        <v>82.304185103544512</v>
      </c>
      <c r="M312" s="20" t="s">
        <v>855</v>
      </c>
      <c r="N312" s="20" t="s">
        <v>229</v>
      </c>
      <c r="O312" s="20" t="s">
        <v>229</v>
      </c>
      <c r="P312" s="32" t="s">
        <v>850</v>
      </c>
      <c r="Q312" s="20" t="s">
        <v>40</v>
      </c>
      <c r="R312" s="2">
        <f t="shared" si="144"/>
        <v>698744.26</v>
      </c>
      <c r="S312" s="26">
        <v>563476.37</v>
      </c>
      <c r="T312" s="26">
        <v>135267.89000000001</v>
      </c>
      <c r="U312" s="2">
        <f t="shared" si="149"/>
        <v>133253.97999999998</v>
      </c>
      <c r="V312" s="26">
        <v>99437.01</v>
      </c>
      <c r="W312" s="77">
        <v>33816.97</v>
      </c>
      <c r="X312" s="2">
        <f t="shared" si="145"/>
        <v>0</v>
      </c>
      <c r="Y312" s="2">
        <v>0</v>
      </c>
      <c r="Z312" s="2">
        <v>0</v>
      </c>
      <c r="AA312" s="2">
        <f t="shared" si="146"/>
        <v>16979.560000000001</v>
      </c>
      <c r="AB312" s="26">
        <v>13528.85</v>
      </c>
      <c r="AC312" s="135">
        <v>3450.71</v>
      </c>
      <c r="AD312" s="2">
        <f t="shared" si="147"/>
        <v>848977.8</v>
      </c>
      <c r="AE312" s="2">
        <v>0</v>
      </c>
      <c r="AF312" s="2">
        <f t="shared" si="148"/>
        <v>848977.8</v>
      </c>
      <c r="AG312" s="24" t="s">
        <v>41</v>
      </c>
      <c r="AH312" s="34"/>
      <c r="AI312" s="35">
        <f>410601.28+140850.68</f>
        <v>551451.96</v>
      </c>
      <c r="AJ312" s="36">
        <f>12927.23+3853.32+17589.26+10795.58+17309.82+42689.48</f>
        <v>105164.69</v>
      </c>
      <c r="AK312" s="28">
        <f t="shared" si="140"/>
        <v>147292.30000000005</v>
      </c>
      <c r="AL312" s="28">
        <f t="shared" si="141"/>
        <v>28089.289999999979</v>
      </c>
      <c r="AM312" s="29">
        <f t="shared" si="142"/>
        <v>0.78920427911636792</v>
      </c>
    </row>
    <row r="313" spans="1:39" ht="192" customHeight="1" x14ac:dyDescent="0.25">
      <c r="A313" s="10">
        <v>310</v>
      </c>
      <c r="B313" s="37">
        <v>110679</v>
      </c>
      <c r="C313" s="20">
        <v>197</v>
      </c>
      <c r="D313" s="20" t="s">
        <v>254</v>
      </c>
      <c r="E313" s="14" t="s">
        <v>1005</v>
      </c>
      <c r="F313" s="14" t="s">
        <v>1181</v>
      </c>
      <c r="G313" s="15" t="s">
        <v>1182</v>
      </c>
      <c r="H313" s="20" t="s">
        <v>35</v>
      </c>
      <c r="I313" s="16" t="s">
        <v>1183</v>
      </c>
      <c r="J313" s="30">
        <v>43243</v>
      </c>
      <c r="K313" s="30">
        <v>43731</v>
      </c>
      <c r="L313" s="31">
        <f t="shared" si="143"/>
        <v>82.304183634873581</v>
      </c>
      <c r="M313" s="20" t="s">
        <v>855</v>
      </c>
      <c r="N313" s="20" t="s">
        <v>1184</v>
      </c>
      <c r="O313" s="20" t="s">
        <v>1185</v>
      </c>
      <c r="P313" s="32" t="s">
        <v>850</v>
      </c>
      <c r="Q313" s="20" t="s">
        <v>40</v>
      </c>
      <c r="R313" s="2">
        <f t="shared" si="144"/>
        <v>763944.7</v>
      </c>
      <c r="S313" s="2">
        <v>616054.81999999995</v>
      </c>
      <c r="T313" s="2">
        <v>147889.88</v>
      </c>
      <c r="U313" s="2">
        <f t="shared" si="149"/>
        <v>145688.04999999999</v>
      </c>
      <c r="V313" s="2">
        <v>108715.59</v>
      </c>
      <c r="W313" s="2">
        <v>36972.46</v>
      </c>
      <c r="X313" s="2">
        <f t="shared" si="145"/>
        <v>0</v>
      </c>
      <c r="Y313" s="2"/>
      <c r="Z313" s="2"/>
      <c r="AA313" s="2">
        <f t="shared" si="146"/>
        <v>18563.93</v>
      </c>
      <c r="AB313" s="2">
        <v>14791.24</v>
      </c>
      <c r="AC313" s="2">
        <v>3772.69</v>
      </c>
      <c r="AD313" s="2">
        <f t="shared" si="147"/>
        <v>928196.68</v>
      </c>
      <c r="AE313" s="2">
        <v>0</v>
      </c>
      <c r="AF313" s="2">
        <f t="shared" si="148"/>
        <v>928196.68</v>
      </c>
      <c r="AG313" s="24" t="s">
        <v>41</v>
      </c>
      <c r="AH313" s="34" t="s">
        <v>1186</v>
      </c>
      <c r="AI313" s="35">
        <f>521279.95+227140.72-4067.74</f>
        <v>744352.93</v>
      </c>
      <c r="AJ313" s="36">
        <f>94550.63+43316.87+4084.24</f>
        <v>141951.74</v>
      </c>
      <c r="AK313" s="28">
        <f t="shared" si="140"/>
        <v>19591.769999999902</v>
      </c>
      <c r="AL313" s="28">
        <f t="shared" si="141"/>
        <v>3736.3099999999977</v>
      </c>
      <c r="AM313" s="29">
        <f t="shared" si="142"/>
        <v>0.97435446570936368</v>
      </c>
    </row>
    <row r="314" spans="1:39" ht="192" customHeight="1" x14ac:dyDescent="0.25">
      <c r="A314" s="10">
        <v>311</v>
      </c>
      <c r="B314" s="37">
        <v>112787</v>
      </c>
      <c r="C314" s="20">
        <v>276</v>
      </c>
      <c r="D314" s="20" t="s">
        <v>254</v>
      </c>
      <c r="E314" s="14" t="s">
        <v>1005</v>
      </c>
      <c r="F314" s="63" t="s">
        <v>1187</v>
      </c>
      <c r="G314" s="63" t="s">
        <v>1188</v>
      </c>
      <c r="H314" s="20" t="s">
        <v>1189</v>
      </c>
      <c r="I314" s="16" t="s">
        <v>1190</v>
      </c>
      <c r="J314" s="30">
        <v>43243</v>
      </c>
      <c r="K314" s="30">
        <v>43822</v>
      </c>
      <c r="L314" s="31">
        <f t="shared" si="143"/>
        <v>82.304187377441963</v>
      </c>
      <c r="M314" s="20" t="s">
        <v>855</v>
      </c>
      <c r="N314" s="20" t="s">
        <v>735</v>
      </c>
      <c r="O314" s="20" t="s">
        <v>735</v>
      </c>
      <c r="P314" s="32" t="s">
        <v>850</v>
      </c>
      <c r="Q314" s="20" t="s">
        <v>40</v>
      </c>
      <c r="R314" s="2">
        <f t="shared" si="144"/>
        <v>813947.08000000007</v>
      </c>
      <c r="S314" s="2">
        <v>656377.4</v>
      </c>
      <c r="T314" s="2">
        <v>157569.68</v>
      </c>
      <c r="U314" s="2">
        <f t="shared" si="149"/>
        <v>155223.71000000002</v>
      </c>
      <c r="V314" s="2">
        <v>115831.3</v>
      </c>
      <c r="W314" s="2">
        <v>39392.410000000003</v>
      </c>
      <c r="X314" s="2">
        <f t="shared" si="145"/>
        <v>0</v>
      </c>
      <c r="Y314" s="2"/>
      <c r="Z314" s="2"/>
      <c r="AA314" s="2">
        <f t="shared" si="146"/>
        <v>19778.990000000002</v>
      </c>
      <c r="AB314" s="2">
        <v>15759.36</v>
      </c>
      <c r="AC314" s="2">
        <v>4019.63</v>
      </c>
      <c r="AD314" s="2">
        <f t="shared" si="147"/>
        <v>988949.78</v>
      </c>
      <c r="AE314" s="2">
        <v>0</v>
      </c>
      <c r="AF314" s="2">
        <f t="shared" si="148"/>
        <v>988949.78</v>
      </c>
      <c r="AG314" s="39" t="s">
        <v>41</v>
      </c>
      <c r="AH314" s="34" t="s">
        <v>1191</v>
      </c>
      <c r="AI314" s="35">
        <f>508508.59+217597.28+20606.15-1971.58+7286.02</f>
        <v>752026.46000000008</v>
      </c>
      <c r="AJ314" s="36">
        <f>79461.28+51123.81+3929.69+7150.18+1750.08</f>
        <v>143415.03999999998</v>
      </c>
      <c r="AK314" s="28">
        <f t="shared" si="140"/>
        <v>61920.619999999995</v>
      </c>
      <c r="AL314" s="28">
        <f t="shared" si="141"/>
        <v>11808.670000000042</v>
      </c>
      <c r="AM314" s="29">
        <f t="shared" si="142"/>
        <v>0.92392549648313749</v>
      </c>
    </row>
    <row r="315" spans="1:39" ht="192" customHeight="1" x14ac:dyDescent="0.25">
      <c r="A315" s="10">
        <v>312</v>
      </c>
      <c r="B315" s="37">
        <v>110998</v>
      </c>
      <c r="C315" s="20">
        <v>333</v>
      </c>
      <c r="D315" s="20" t="s">
        <v>254</v>
      </c>
      <c r="E315" s="14" t="s">
        <v>1005</v>
      </c>
      <c r="F315" s="63" t="s">
        <v>1192</v>
      </c>
      <c r="G315" s="63" t="s">
        <v>1193</v>
      </c>
      <c r="H315" s="20" t="s">
        <v>35</v>
      </c>
      <c r="I315" s="16" t="s">
        <v>1194</v>
      </c>
      <c r="J315" s="30">
        <v>43244</v>
      </c>
      <c r="K315" s="30">
        <v>43762</v>
      </c>
      <c r="L315" s="31">
        <f t="shared" si="143"/>
        <v>82.304186800362686</v>
      </c>
      <c r="M315" s="20" t="s">
        <v>855</v>
      </c>
      <c r="N315" s="20" t="s">
        <v>229</v>
      </c>
      <c r="O315" s="20" t="s">
        <v>229</v>
      </c>
      <c r="P315" s="32" t="s">
        <v>850</v>
      </c>
      <c r="Q315" s="20" t="s">
        <v>40</v>
      </c>
      <c r="R315" s="2">
        <f t="shared" si="144"/>
        <v>802303.17999999993</v>
      </c>
      <c r="S315" s="2">
        <v>646987.62</v>
      </c>
      <c r="T315" s="2">
        <v>155315.56</v>
      </c>
      <c r="U315" s="2">
        <f t="shared" si="149"/>
        <v>153003.18</v>
      </c>
      <c r="V315" s="2">
        <v>114174.29</v>
      </c>
      <c r="W315" s="2">
        <v>38828.89</v>
      </c>
      <c r="X315" s="2">
        <f t="shared" si="145"/>
        <v>0</v>
      </c>
      <c r="Y315" s="136"/>
      <c r="Z315" s="136"/>
      <c r="AA315" s="2">
        <f t="shared" si="146"/>
        <v>19496.03</v>
      </c>
      <c r="AB315" s="2">
        <v>15533.9</v>
      </c>
      <c r="AC315" s="2">
        <v>3962.13</v>
      </c>
      <c r="AD315" s="2">
        <f t="shared" si="147"/>
        <v>974802.3899999999</v>
      </c>
      <c r="AE315" s="2">
        <v>0</v>
      </c>
      <c r="AF315" s="2">
        <f t="shared" si="148"/>
        <v>974802.3899999999</v>
      </c>
      <c r="AG315" s="24" t="s">
        <v>41</v>
      </c>
      <c r="AH315" s="34" t="s">
        <v>1195</v>
      </c>
      <c r="AI315" s="35">
        <f>685815.27+32782.58+20651.76+10555.66</f>
        <v>749805.27</v>
      </c>
      <c r="AJ315" s="36">
        <f>115562.98+6251.8+3938.4+17238.46</f>
        <v>142991.63999999998</v>
      </c>
      <c r="AK315" s="28">
        <f t="shared" si="140"/>
        <v>52497.909999999916</v>
      </c>
      <c r="AL315" s="28">
        <f t="shared" si="141"/>
        <v>10011.540000000008</v>
      </c>
      <c r="AM315" s="29">
        <f t="shared" si="142"/>
        <v>0.93456599536349849</v>
      </c>
    </row>
    <row r="316" spans="1:39" ht="192" customHeight="1" x14ac:dyDescent="0.25">
      <c r="A316" s="10">
        <v>313</v>
      </c>
      <c r="B316" s="137">
        <v>115759</v>
      </c>
      <c r="C316" s="124">
        <v>400</v>
      </c>
      <c r="D316" s="124" t="s">
        <v>254</v>
      </c>
      <c r="E316" s="14" t="s">
        <v>1015</v>
      </c>
      <c r="F316" s="138" t="s">
        <v>1196</v>
      </c>
      <c r="G316" s="139" t="s">
        <v>1197</v>
      </c>
      <c r="H316" s="124" t="s">
        <v>1198</v>
      </c>
      <c r="I316" s="140" t="s">
        <v>1199</v>
      </c>
      <c r="J316" s="141">
        <v>43270</v>
      </c>
      <c r="K316" s="30">
        <v>44062</v>
      </c>
      <c r="L316" s="31">
        <f t="shared" si="143"/>
        <v>83.983862602445981</v>
      </c>
      <c r="M316" s="124" t="s">
        <v>855</v>
      </c>
      <c r="N316" s="124" t="s">
        <v>229</v>
      </c>
      <c r="O316" s="124" t="s">
        <v>229</v>
      </c>
      <c r="P316" s="142" t="s">
        <v>260</v>
      </c>
      <c r="Q316" s="124" t="s">
        <v>40</v>
      </c>
      <c r="R316" s="2">
        <f t="shared" si="144"/>
        <v>8270959.1999999993</v>
      </c>
      <c r="S316" s="2">
        <v>6669808.0599999996</v>
      </c>
      <c r="T316" s="2">
        <v>1601151.14</v>
      </c>
      <c r="U316" s="2">
        <f t="shared" si="149"/>
        <v>0</v>
      </c>
      <c r="V316" s="2">
        <v>0</v>
      </c>
      <c r="W316" s="2">
        <v>0</v>
      </c>
      <c r="X316" s="2">
        <f t="shared" si="145"/>
        <v>1577312.77</v>
      </c>
      <c r="Y316" s="2">
        <v>1177024.8899999999</v>
      </c>
      <c r="Z316" s="2">
        <v>400287.88</v>
      </c>
      <c r="AA316" s="2">
        <f t="shared" si="146"/>
        <v>0</v>
      </c>
      <c r="AB316" s="2">
        <v>0</v>
      </c>
      <c r="AC316" s="2">
        <v>0</v>
      </c>
      <c r="AD316" s="2">
        <f t="shared" si="147"/>
        <v>9848271.9699999988</v>
      </c>
      <c r="AE316" s="2"/>
      <c r="AF316" s="2">
        <f t="shared" si="148"/>
        <v>9848271.9699999988</v>
      </c>
      <c r="AG316" s="39" t="s">
        <v>69</v>
      </c>
      <c r="AH316" s="34" t="s">
        <v>415</v>
      </c>
      <c r="AI316" s="35">
        <v>4870800.16</v>
      </c>
      <c r="AJ316" s="36">
        <v>0</v>
      </c>
      <c r="AK316" s="28">
        <f t="shared" si="140"/>
        <v>3400159.0399999991</v>
      </c>
      <c r="AL316" s="28">
        <f t="shared" si="141"/>
        <v>0</v>
      </c>
      <c r="AM316" s="29">
        <f t="shared" si="142"/>
        <v>0.5889039036729864</v>
      </c>
    </row>
    <row r="317" spans="1:39" ht="192" customHeight="1" thickBot="1" x14ac:dyDescent="0.3">
      <c r="A317" s="10">
        <v>314</v>
      </c>
      <c r="B317" s="37">
        <v>118716</v>
      </c>
      <c r="C317" s="20">
        <v>455</v>
      </c>
      <c r="D317" s="20" t="s">
        <v>1200</v>
      </c>
      <c r="E317" s="14" t="s">
        <v>1201</v>
      </c>
      <c r="F317" s="15" t="s">
        <v>1202</v>
      </c>
      <c r="G317" s="63" t="s">
        <v>1203</v>
      </c>
      <c r="H317" s="20" t="s">
        <v>35</v>
      </c>
      <c r="I317" s="16" t="s">
        <v>1204</v>
      </c>
      <c r="J317" s="30">
        <v>43249</v>
      </c>
      <c r="K317" s="30">
        <v>44164</v>
      </c>
      <c r="L317" s="31">
        <f t="shared" si="143"/>
        <v>83.983862841968545</v>
      </c>
      <c r="M317" s="20" t="s">
        <v>855</v>
      </c>
      <c r="N317" s="20" t="s">
        <v>229</v>
      </c>
      <c r="O317" s="20" t="s">
        <v>229</v>
      </c>
      <c r="P317" s="32" t="s">
        <v>260</v>
      </c>
      <c r="Q317" s="20" t="s">
        <v>40</v>
      </c>
      <c r="R317" s="2">
        <f t="shared" si="144"/>
        <v>2343689.42</v>
      </c>
      <c r="S317" s="2">
        <v>1889981.33</v>
      </c>
      <c r="T317" s="2">
        <v>453708.09</v>
      </c>
      <c r="U317" s="2">
        <f t="shared" si="149"/>
        <v>0</v>
      </c>
      <c r="V317" s="2"/>
      <c r="W317" s="2"/>
      <c r="X317" s="2">
        <f t="shared" si="145"/>
        <v>446953.14</v>
      </c>
      <c r="Y317" s="2">
        <v>333526.11</v>
      </c>
      <c r="Z317" s="2">
        <v>113427.03</v>
      </c>
      <c r="AA317" s="2">
        <f t="shared" si="146"/>
        <v>0</v>
      </c>
      <c r="AB317" s="2">
        <v>0</v>
      </c>
      <c r="AC317" s="2">
        <v>0</v>
      </c>
      <c r="AD317" s="2">
        <f t="shared" si="147"/>
        <v>2790642.56</v>
      </c>
      <c r="AE317" s="2">
        <v>0</v>
      </c>
      <c r="AF317" s="2">
        <f t="shared" si="148"/>
        <v>2790642.56</v>
      </c>
      <c r="AG317" s="39" t="s">
        <v>69</v>
      </c>
      <c r="AH317" s="143" t="s">
        <v>1205</v>
      </c>
      <c r="AI317" s="35">
        <f>145011.94+359253.32+95755.51+413834.13+212612.28+361774.06+13423.98</f>
        <v>1601665.22</v>
      </c>
      <c r="AJ317" s="36">
        <v>0</v>
      </c>
      <c r="AK317" s="28">
        <f t="shared" si="140"/>
        <v>742024.2</v>
      </c>
      <c r="AL317" s="28">
        <f t="shared" si="141"/>
        <v>0</v>
      </c>
      <c r="AM317" s="29">
        <f t="shared" si="142"/>
        <v>0.68339482455828127</v>
      </c>
    </row>
    <row r="318" spans="1:39" ht="192" customHeight="1" x14ac:dyDescent="0.25">
      <c r="A318" s="10">
        <v>315</v>
      </c>
      <c r="B318" s="37">
        <v>109777</v>
      </c>
      <c r="C318" s="20">
        <v>363</v>
      </c>
      <c r="D318" s="20" t="s">
        <v>254</v>
      </c>
      <c r="E318" s="14" t="s">
        <v>1005</v>
      </c>
      <c r="F318" s="32" t="s">
        <v>1206</v>
      </c>
      <c r="G318" s="19" t="s">
        <v>1207</v>
      </c>
      <c r="H318" s="19" t="s">
        <v>35</v>
      </c>
      <c r="I318" s="54" t="s">
        <v>1208</v>
      </c>
      <c r="J318" s="30">
        <v>43251</v>
      </c>
      <c r="K318" s="30">
        <v>43738</v>
      </c>
      <c r="L318" s="31">
        <f t="shared" si="143"/>
        <v>82.304185429325983</v>
      </c>
      <c r="M318" s="20" t="s">
        <v>855</v>
      </c>
      <c r="N318" s="20" t="s">
        <v>397</v>
      </c>
      <c r="O318" s="20" t="s">
        <v>401</v>
      </c>
      <c r="P318" s="32" t="s">
        <v>850</v>
      </c>
      <c r="Q318" s="20" t="s">
        <v>40</v>
      </c>
      <c r="R318" s="2">
        <f t="shared" si="144"/>
        <v>809738</v>
      </c>
      <c r="S318" s="2">
        <v>652983.16</v>
      </c>
      <c r="T318" s="2">
        <v>156754.84</v>
      </c>
      <c r="U318" s="2">
        <f t="shared" si="149"/>
        <v>154421.03</v>
      </c>
      <c r="V318" s="2">
        <v>115232.31</v>
      </c>
      <c r="W318" s="2">
        <v>39188.720000000001</v>
      </c>
      <c r="X318" s="2">
        <f t="shared" si="145"/>
        <v>0</v>
      </c>
      <c r="Y318" s="2">
        <v>0</v>
      </c>
      <c r="Z318" s="2">
        <v>0</v>
      </c>
      <c r="AA318" s="2">
        <f t="shared" si="146"/>
        <v>19676.72</v>
      </c>
      <c r="AB318" s="2">
        <v>15677.86</v>
      </c>
      <c r="AC318" s="2">
        <v>3998.86</v>
      </c>
      <c r="AD318" s="2">
        <f t="shared" si="147"/>
        <v>983835.75</v>
      </c>
      <c r="AE318" s="144">
        <v>0</v>
      </c>
      <c r="AF318" s="2">
        <f t="shared" si="148"/>
        <v>983835.75</v>
      </c>
      <c r="AG318" s="24" t="s">
        <v>41</v>
      </c>
      <c r="AH318" s="34" t="s">
        <v>1209</v>
      </c>
      <c r="AI318" s="144">
        <f>98383.57+67957.2+131759+61030.49+98383.57-15548.08+97077.59+100688.53-14300.18+89286.06+87658.61-28814.78</f>
        <v>773561.58</v>
      </c>
      <c r="AJ318" s="36">
        <f>12959.77+25127.1+30401.05+15548.08+19201.81+14300.18+16716.91+13267.11</f>
        <v>147522.01</v>
      </c>
      <c r="AK318" s="28">
        <f t="shared" si="140"/>
        <v>36176.420000000042</v>
      </c>
      <c r="AL318" s="28">
        <f t="shared" si="141"/>
        <v>6899.0199999999895</v>
      </c>
      <c r="AM318" s="29">
        <f t="shared" si="142"/>
        <v>0.95532330210512528</v>
      </c>
    </row>
    <row r="319" spans="1:39" ht="192" customHeight="1" x14ac:dyDescent="0.25">
      <c r="A319" s="10">
        <v>316</v>
      </c>
      <c r="B319" s="37">
        <v>112263</v>
      </c>
      <c r="C319" s="20">
        <v>212</v>
      </c>
      <c r="D319" s="20" t="s">
        <v>254</v>
      </c>
      <c r="E319" s="14" t="s">
        <v>1005</v>
      </c>
      <c r="F319" s="63" t="s">
        <v>1210</v>
      </c>
      <c r="G319" s="63" t="s">
        <v>1211</v>
      </c>
      <c r="H319" s="20" t="s">
        <v>35</v>
      </c>
      <c r="I319" s="16" t="s">
        <v>1212</v>
      </c>
      <c r="J319" s="30">
        <v>43257</v>
      </c>
      <c r="K319" s="30">
        <v>43744</v>
      </c>
      <c r="L319" s="31">
        <f t="shared" si="143"/>
        <v>82.304186636665435</v>
      </c>
      <c r="M319" s="20" t="s">
        <v>855</v>
      </c>
      <c r="N319" s="20" t="s">
        <v>228</v>
      </c>
      <c r="O319" s="20" t="s">
        <v>1213</v>
      </c>
      <c r="P319" s="32" t="s">
        <v>850</v>
      </c>
      <c r="Q319" s="20" t="s">
        <v>40</v>
      </c>
      <c r="R319" s="2">
        <f t="shared" si="144"/>
        <v>804068.05999999994</v>
      </c>
      <c r="S319" s="2">
        <v>648410.84</v>
      </c>
      <c r="T319" s="2">
        <v>155657.22</v>
      </c>
      <c r="U319" s="2">
        <f t="shared" si="149"/>
        <v>153339.75</v>
      </c>
      <c r="V319" s="2">
        <v>114425.45</v>
      </c>
      <c r="W319" s="2">
        <v>38914.300000000003</v>
      </c>
      <c r="X319" s="145">
        <f t="shared" si="145"/>
        <v>0</v>
      </c>
      <c r="Y319" s="2">
        <v>0</v>
      </c>
      <c r="Z319" s="2">
        <v>0</v>
      </c>
      <c r="AA319" s="2">
        <f t="shared" si="146"/>
        <v>19538.919999999998</v>
      </c>
      <c r="AB319" s="2">
        <v>15568.08</v>
      </c>
      <c r="AC319" s="2">
        <v>3970.84</v>
      </c>
      <c r="AD319" s="2">
        <f t="shared" si="147"/>
        <v>976946.73</v>
      </c>
      <c r="AE319" s="2">
        <v>0</v>
      </c>
      <c r="AF319" s="2">
        <f t="shared" si="148"/>
        <v>976946.73</v>
      </c>
      <c r="AG319" s="24" t="s">
        <v>41</v>
      </c>
      <c r="AH319" s="34"/>
      <c r="AI319" s="35">
        <f>84638.59+81518.25+15437.85+121639.28+42099.38+37504.88+114980.02+153441.7</f>
        <v>651259.94999999995</v>
      </c>
      <c r="AJ319" s="36">
        <f>13056.08+21574.93+4566.35+8028.56+23258.8+5820.82+47892.94</f>
        <v>124198.48000000001</v>
      </c>
      <c r="AK319" s="28">
        <f t="shared" si="140"/>
        <v>152808.10999999999</v>
      </c>
      <c r="AL319" s="28">
        <f t="shared" si="141"/>
        <v>29141.26999999999</v>
      </c>
      <c r="AM319" s="29">
        <f t="shared" si="142"/>
        <v>0.80995624922596732</v>
      </c>
    </row>
    <row r="320" spans="1:39" ht="192" customHeight="1" x14ac:dyDescent="0.25">
      <c r="A320" s="10">
        <v>317</v>
      </c>
      <c r="B320" s="37">
        <v>118978</v>
      </c>
      <c r="C320" s="20">
        <v>453</v>
      </c>
      <c r="D320" s="20" t="s">
        <v>1200</v>
      </c>
      <c r="E320" s="14" t="s">
        <v>1201</v>
      </c>
      <c r="F320" s="63" t="s">
        <v>1214</v>
      </c>
      <c r="G320" s="63" t="s">
        <v>1215</v>
      </c>
      <c r="H320" s="20" t="s">
        <v>35</v>
      </c>
      <c r="I320" s="16" t="s">
        <v>1216</v>
      </c>
      <c r="J320" s="30">
        <v>43257</v>
      </c>
      <c r="K320" s="30">
        <v>44536</v>
      </c>
      <c r="L320" s="31">
        <f t="shared" si="143"/>
        <v>83.983863240359696</v>
      </c>
      <c r="M320" s="20" t="s">
        <v>855</v>
      </c>
      <c r="N320" s="20" t="s">
        <v>229</v>
      </c>
      <c r="O320" s="20" t="s">
        <v>229</v>
      </c>
      <c r="P320" s="32" t="s">
        <v>260</v>
      </c>
      <c r="Q320" s="20" t="s">
        <v>40</v>
      </c>
      <c r="R320" s="2">
        <f t="shared" si="144"/>
        <v>10919953.040000001</v>
      </c>
      <c r="S320" s="2">
        <v>8805990.7200000007</v>
      </c>
      <c r="T320" s="2">
        <v>2113962.3199999998</v>
      </c>
      <c r="U320" s="2">
        <f t="shared" si="149"/>
        <v>0</v>
      </c>
      <c r="V320" s="2">
        <v>0</v>
      </c>
      <c r="W320" s="2">
        <v>0</v>
      </c>
      <c r="X320" s="2">
        <f t="shared" si="145"/>
        <v>2082488.8800000001</v>
      </c>
      <c r="Y320" s="2">
        <v>1553998.32</v>
      </c>
      <c r="Z320" s="2">
        <v>528490.56000000006</v>
      </c>
      <c r="AA320" s="2">
        <f t="shared" si="146"/>
        <v>0</v>
      </c>
      <c r="AB320" s="2">
        <v>0</v>
      </c>
      <c r="AC320" s="2">
        <v>0</v>
      </c>
      <c r="AD320" s="2">
        <f t="shared" si="147"/>
        <v>13002441.920000002</v>
      </c>
      <c r="AE320" s="2">
        <v>1503920</v>
      </c>
      <c r="AF320" s="2">
        <f t="shared" si="148"/>
        <v>14506361.920000002</v>
      </c>
      <c r="AG320" s="39" t="s">
        <v>69</v>
      </c>
      <c r="AH320" s="34" t="s">
        <v>1217</v>
      </c>
      <c r="AI320" s="35">
        <v>1130733.83</v>
      </c>
      <c r="AJ320" s="36">
        <v>0</v>
      </c>
      <c r="AK320" s="28">
        <f t="shared" si="140"/>
        <v>9789219.2100000009</v>
      </c>
      <c r="AL320" s="28">
        <f t="shared" si="141"/>
        <v>0</v>
      </c>
      <c r="AM320" s="29">
        <f t="shared" si="142"/>
        <v>0.10354749932148059</v>
      </c>
    </row>
    <row r="321" spans="1:39" ht="192" customHeight="1" x14ac:dyDescent="0.25">
      <c r="A321" s="10">
        <v>318</v>
      </c>
      <c r="B321" s="37">
        <v>119317</v>
      </c>
      <c r="C321" s="20">
        <v>456</v>
      </c>
      <c r="D321" s="20" t="s">
        <v>1200</v>
      </c>
      <c r="E321" s="14" t="s">
        <v>1201</v>
      </c>
      <c r="F321" s="63" t="s">
        <v>1218</v>
      </c>
      <c r="G321" s="63" t="s">
        <v>1219</v>
      </c>
      <c r="H321" s="20" t="s">
        <v>35</v>
      </c>
      <c r="I321" s="16" t="s">
        <v>1220</v>
      </c>
      <c r="J321" s="30">
        <v>43257</v>
      </c>
      <c r="K321" s="30">
        <v>44353</v>
      </c>
      <c r="L321" s="31">
        <f t="shared" si="143"/>
        <v>83.983862727062601</v>
      </c>
      <c r="M321" s="20" t="s">
        <v>855</v>
      </c>
      <c r="N321" s="20" t="s">
        <v>229</v>
      </c>
      <c r="O321" s="20" t="s">
        <v>229</v>
      </c>
      <c r="P321" s="32" t="s">
        <v>260</v>
      </c>
      <c r="Q321" s="20" t="s">
        <v>40</v>
      </c>
      <c r="R321" s="2">
        <f t="shared" si="144"/>
        <v>26702638.289999999</v>
      </c>
      <c r="S321" s="2">
        <v>21533351.329999998</v>
      </c>
      <c r="T321" s="2">
        <v>5169286.96</v>
      </c>
      <c r="U321" s="2">
        <f t="shared" si="149"/>
        <v>0</v>
      </c>
      <c r="V321" s="2"/>
      <c r="W321" s="2"/>
      <c r="X321" s="2">
        <f t="shared" si="145"/>
        <v>5092324.96</v>
      </c>
      <c r="Y321" s="2">
        <v>3800003.18</v>
      </c>
      <c r="Z321" s="2">
        <v>1292321.78</v>
      </c>
      <c r="AA321" s="2">
        <f t="shared" si="146"/>
        <v>0</v>
      </c>
      <c r="AB321" s="2">
        <v>0</v>
      </c>
      <c r="AC321" s="2">
        <v>0</v>
      </c>
      <c r="AD321" s="2">
        <f t="shared" si="147"/>
        <v>31794963.25</v>
      </c>
      <c r="AE321" s="2">
        <v>0</v>
      </c>
      <c r="AF321" s="2">
        <f t="shared" si="148"/>
        <v>31794963.25</v>
      </c>
      <c r="AG321" s="39" t="s">
        <v>69</v>
      </c>
      <c r="AH321" s="34" t="s">
        <v>1221</v>
      </c>
      <c r="AI321" s="35">
        <v>13204122.23</v>
      </c>
      <c r="AJ321" s="36">
        <v>0</v>
      </c>
      <c r="AK321" s="28">
        <f t="shared" si="140"/>
        <v>13498516.059999999</v>
      </c>
      <c r="AL321" s="28">
        <f t="shared" si="141"/>
        <v>0</v>
      </c>
      <c r="AM321" s="29">
        <f t="shared" si="142"/>
        <v>0.49448755162686964</v>
      </c>
    </row>
    <row r="322" spans="1:39" ht="192" customHeight="1" x14ac:dyDescent="0.25">
      <c r="A322" s="10">
        <v>319</v>
      </c>
      <c r="B322" s="37">
        <v>111319</v>
      </c>
      <c r="C322" s="20">
        <v>359</v>
      </c>
      <c r="D322" s="20" t="s">
        <v>254</v>
      </c>
      <c r="E322" s="14" t="s">
        <v>1005</v>
      </c>
      <c r="F322" s="63" t="s">
        <v>1222</v>
      </c>
      <c r="G322" s="63" t="s">
        <v>1223</v>
      </c>
      <c r="H322" s="20" t="s">
        <v>1224</v>
      </c>
      <c r="I322" s="16" t="s">
        <v>1225</v>
      </c>
      <c r="J322" s="30">
        <v>43256</v>
      </c>
      <c r="K322" s="30">
        <v>43866</v>
      </c>
      <c r="L322" s="31">
        <f t="shared" si="143"/>
        <v>82.304189744785745</v>
      </c>
      <c r="M322" s="20" t="s">
        <v>855</v>
      </c>
      <c r="N322" s="20" t="s">
        <v>565</v>
      </c>
      <c r="O322" s="20" t="s">
        <v>565</v>
      </c>
      <c r="P322" s="32" t="s">
        <v>850</v>
      </c>
      <c r="Q322" s="20" t="s">
        <v>40</v>
      </c>
      <c r="R322" s="2">
        <f t="shared" si="144"/>
        <v>822860.82000000007</v>
      </c>
      <c r="S322" s="2">
        <v>663565.56000000006</v>
      </c>
      <c r="T322" s="2">
        <v>159295.26</v>
      </c>
      <c r="U322" s="2">
        <f t="shared" si="149"/>
        <v>156923.62</v>
      </c>
      <c r="V322" s="2">
        <v>117099.8</v>
      </c>
      <c r="W322" s="2">
        <v>39823.82</v>
      </c>
      <c r="X322" s="2">
        <f t="shared" si="145"/>
        <v>0</v>
      </c>
      <c r="Y322" s="2"/>
      <c r="Z322" s="2"/>
      <c r="AA322" s="2">
        <f t="shared" si="146"/>
        <v>19995.55</v>
      </c>
      <c r="AB322" s="2">
        <v>15931.91</v>
      </c>
      <c r="AC322" s="2">
        <v>4063.64</v>
      </c>
      <c r="AD322" s="2">
        <f t="shared" si="147"/>
        <v>999779.99000000011</v>
      </c>
      <c r="AE322" s="2">
        <v>0</v>
      </c>
      <c r="AF322" s="2">
        <f t="shared" si="148"/>
        <v>999779.99000000011</v>
      </c>
      <c r="AG322" s="39" t="s">
        <v>628</v>
      </c>
      <c r="AH322" s="34" t="s">
        <v>1226</v>
      </c>
      <c r="AI322" s="35">
        <v>789088.58</v>
      </c>
      <c r="AJ322" s="36">
        <v>150483.12000000002</v>
      </c>
      <c r="AK322" s="28">
        <f t="shared" si="140"/>
        <v>33772.240000000107</v>
      </c>
      <c r="AL322" s="28">
        <f t="shared" si="141"/>
        <v>6440.4999999999709</v>
      </c>
      <c r="AM322" s="29">
        <f t="shared" si="142"/>
        <v>0.95895753063075706</v>
      </c>
    </row>
    <row r="323" spans="1:39" ht="192" customHeight="1" x14ac:dyDescent="0.25">
      <c r="A323" s="10">
        <v>320</v>
      </c>
      <c r="B323" s="37">
        <v>111320</v>
      </c>
      <c r="C323" s="20">
        <v>132</v>
      </c>
      <c r="D323" s="20" t="s">
        <v>254</v>
      </c>
      <c r="E323" s="14" t="s">
        <v>1005</v>
      </c>
      <c r="F323" s="63" t="s">
        <v>1227</v>
      </c>
      <c r="G323" s="63" t="s">
        <v>1228</v>
      </c>
      <c r="H323" s="20" t="s">
        <v>132</v>
      </c>
      <c r="I323" s="16" t="s">
        <v>1229</v>
      </c>
      <c r="J323" s="30">
        <v>43258</v>
      </c>
      <c r="K323" s="30">
        <v>43745</v>
      </c>
      <c r="L323" s="31">
        <f t="shared" si="143"/>
        <v>82.304187069212688</v>
      </c>
      <c r="M323" s="20" t="s">
        <v>855</v>
      </c>
      <c r="N323" s="20" t="s">
        <v>228</v>
      </c>
      <c r="O323" s="20" t="s">
        <v>1213</v>
      </c>
      <c r="P323" s="32" t="s">
        <v>850</v>
      </c>
      <c r="Q323" s="20" t="s">
        <v>40</v>
      </c>
      <c r="R323" s="2">
        <f t="shared" si="144"/>
        <v>745773.49</v>
      </c>
      <c r="S323" s="2">
        <v>601401.34</v>
      </c>
      <c r="T323" s="2">
        <v>144372.15</v>
      </c>
      <c r="U323" s="2">
        <f t="shared" si="149"/>
        <v>142222.68</v>
      </c>
      <c r="V323" s="2">
        <v>106129.65</v>
      </c>
      <c r="W323" s="2">
        <v>36093.03</v>
      </c>
      <c r="X323" s="2">
        <f t="shared" si="145"/>
        <v>0</v>
      </c>
      <c r="Y323" s="2">
        <v>0</v>
      </c>
      <c r="Z323" s="2">
        <v>0</v>
      </c>
      <c r="AA323" s="2">
        <f t="shared" si="146"/>
        <v>18122.36</v>
      </c>
      <c r="AB323" s="2">
        <v>14439.4</v>
      </c>
      <c r="AC323" s="2">
        <v>3682.96</v>
      </c>
      <c r="AD323" s="2">
        <f t="shared" si="147"/>
        <v>906118.52999999991</v>
      </c>
      <c r="AE323" s="2">
        <v>0</v>
      </c>
      <c r="AF323" s="2">
        <f t="shared" si="148"/>
        <v>906118.52999999991</v>
      </c>
      <c r="AG323" s="24" t="s">
        <v>41</v>
      </c>
      <c r="AH323" s="34"/>
      <c r="AI323" s="35">
        <f>592141.33+76026.28+52285.05</f>
        <v>720452.66</v>
      </c>
      <c r="AJ323" s="36">
        <f>23379.78+18253.47+17321.01+18762.68+17927.2+31778.72+9971.04</f>
        <v>137393.9</v>
      </c>
      <c r="AK323" s="28">
        <f t="shared" si="140"/>
        <v>25320.829999999958</v>
      </c>
      <c r="AL323" s="28">
        <f t="shared" si="141"/>
        <v>4828.7799999999988</v>
      </c>
      <c r="AM323" s="29">
        <f t="shared" si="142"/>
        <v>0.96604755956128185</v>
      </c>
    </row>
    <row r="324" spans="1:39" ht="192" customHeight="1" x14ac:dyDescent="0.25">
      <c r="A324" s="10">
        <v>321</v>
      </c>
      <c r="B324" s="37">
        <v>110527</v>
      </c>
      <c r="C324" s="20">
        <v>353</v>
      </c>
      <c r="D324" s="20" t="s">
        <v>254</v>
      </c>
      <c r="E324" s="14" t="s">
        <v>1005</v>
      </c>
      <c r="F324" s="63" t="s">
        <v>1230</v>
      </c>
      <c r="G324" s="63" t="s">
        <v>1231</v>
      </c>
      <c r="H324" s="20" t="s">
        <v>1232</v>
      </c>
      <c r="I324" s="16" t="s">
        <v>1233</v>
      </c>
      <c r="J324" s="30">
        <v>43258</v>
      </c>
      <c r="K324" s="30">
        <v>43745</v>
      </c>
      <c r="L324" s="31">
        <f t="shared" si="143"/>
        <v>82.304183804307399</v>
      </c>
      <c r="M324" s="20" t="s">
        <v>855</v>
      </c>
      <c r="N324" s="20" t="s">
        <v>228</v>
      </c>
      <c r="O324" s="20" t="s">
        <v>228</v>
      </c>
      <c r="P324" s="32" t="s">
        <v>850</v>
      </c>
      <c r="Q324" s="20" t="s">
        <v>40</v>
      </c>
      <c r="R324" s="2">
        <f t="shared" si="144"/>
        <v>797101.36999999988</v>
      </c>
      <c r="S324" s="2">
        <v>642792.81999999995</v>
      </c>
      <c r="T324" s="2">
        <v>154308.54999999999</v>
      </c>
      <c r="U324" s="2">
        <f t="shared" si="149"/>
        <v>152011.18</v>
      </c>
      <c r="V324" s="2">
        <v>113434.03</v>
      </c>
      <c r="W324" s="2">
        <v>38577.15</v>
      </c>
      <c r="X324" s="2">
        <f t="shared" si="145"/>
        <v>0</v>
      </c>
      <c r="Y324" s="2"/>
      <c r="Z324" s="2"/>
      <c r="AA324" s="2">
        <f t="shared" si="146"/>
        <v>19369.649999999998</v>
      </c>
      <c r="AB324" s="2">
        <v>15433.21</v>
      </c>
      <c r="AC324" s="2">
        <v>3936.44</v>
      </c>
      <c r="AD324" s="2">
        <f t="shared" si="147"/>
        <v>968482.19999999984</v>
      </c>
      <c r="AE324" s="2"/>
      <c r="AF324" s="2">
        <f t="shared" si="148"/>
        <v>968482.19999999984</v>
      </c>
      <c r="AG324" s="24" t="s">
        <v>41</v>
      </c>
      <c r="AH324" s="34"/>
      <c r="AI324" s="35">
        <f>151069.39+15306.08+96848.21+24994.02+61062.29+191670.85+146395.04</f>
        <v>687345.88</v>
      </c>
      <c r="AJ324" s="36">
        <f>10340.24+21388.37+4766.48+30114.35+18083.14+46387.73</f>
        <v>131080.31</v>
      </c>
      <c r="AK324" s="28">
        <f t="shared" si="140"/>
        <v>109755.48999999987</v>
      </c>
      <c r="AL324" s="28">
        <f t="shared" si="141"/>
        <v>20930.869999999995</v>
      </c>
      <c r="AM324" s="29">
        <f t="shared" si="142"/>
        <v>0.86230673521487</v>
      </c>
    </row>
    <row r="325" spans="1:39" ht="192" customHeight="1" x14ac:dyDescent="0.25">
      <c r="A325" s="10">
        <v>322</v>
      </c>
      <c r="B325" s="37">
        <v>112412</v>
      </c>
      <c r="C325" s="20">
        <v>269</v>
      </c>
      <c r="D325" s="20" t="s">
        <v>254</v>
      </c>
      <c r="E325" s="14" t="s">
        <v>1005</v>
      </c>
      <c r="F325" s="63" t="s">
        <v>1234</v>
      </c>
      <c r="G325" s="63" t="s">
        <v>1235</v>
      </c>
      <c r="H325" s="20" t="s">
        <v>1236</v>
      </c>
      <c r="I325" s="16" t="s">
        <v>1237</v>
      </c>
      <c r="J325" s="30">
        <v>43259</v>
      </c>
      <c r="K325" s="30">
        <v>43869</v>
      </c>
      <c r="L325" s="31">
        <f t="shared" si="143"/>
        <v>82.304183541065214</v>
      </c>
      <c r="M325" s="20" t="s">
        <v>855</v>
      </c>
      <c r="N325" s="20" t="s">
        <v>228</v>
      </c>
      <c r="O325" s="20" t="s">
        <v>228</v>
      </c>
      <c r="P325" s="32" t="s">
        <v>850</v>
      </c>
      <c r="Q325" s="20" t="s">
        <v>40</v>
      </c>
      <c r="R325" s="2">
        <f t="shared" si="144"/>
        <v>789670.74</v>
      </c>
      <c r="S325" s="2">
        <v>636800.65</v>
      </c>
      <c r="T325" s="2">
        <v>152870.09</v>
      </c>
      <c r="U325" s="2">
        <f t="shared" si="149"/>
        <v>150594.14000000001</v>
      </c>
      <c r="V325" s="2">
        <v>112376.61</v>
      </c>
      <c r="W325" s="2">
        <v>38217.53</v>
      </c>
      <c r="X325" s="2">
        <f t="shared" si="145"/>
        <v>0</v>
      </c>
      <c r="Y325" s="2"/>
      <c r="Z325" s="2"/>
      <c r="AA325" s="2">
        <f t="shared" si="146"/>
        <v>19189.07</v>
      </c>
      <c r="AB325" s="2">
        <v>15289.33</v>
      </c>
      <c r="AC325" s="2">
        <v>3899.74</v>
      </c>
      <c r="AD325" s="2">
        <f t="shared" si="147"/>
        <v>959453.95</v>
      </c>
      <c r="AE325" s="2"/>
      <c r="AF325" s="2">
        <f t="shared" si="148"/>
        <v>959453.95</v>
      </c>
      <c r="AG325" s="39" t="s">
        <v>628</v>
      </c>
      <c r="AH325" s="34" t="s">
        <v>1238</v>
      </c>
      <c r="AI325" s="35">
        <f>95945.38+5019.44+25010.26+9763.75+114260.12+16124.2+16125.04+203494.65+30475.94+16453.44+90320.57+23005.98</f>
        <v>645998.77</v>
      </c>
      <c r="AJ325" s="36">
        <f>7941.36+4769.59+16667.83+3074.99+3075.12+38807.41+5811.93+3137.74+21791.13+18118.11</f>
        <v>123195.21000000002</v>
      </c>
      <c r="AK325" s="28">
        <f t="shared" ref="AK325:AK388" si="150">R325-AI325</f>
        <v>143671.96999999997</v>
      </c>
      <c r="AL325" s="28">
        <f t="shared" ref="AL325:AL388" si="151">U325-AJ325</f>
        <v>27398.929999999993</v>
      </c>
      <c r="AM325" s="29">
        <f t="shared" ref="AM325:AM388" si="152">AI325/R325</f>
        <v>0.81806091738944264</v>
      </c>
    </row>
    <row r="326" spans="1:39" ht="192" customHeight="1" x14ac:dyDescent="0.25">
      <c r="A326" s="10">
        <v>323</v>
      </c>
      <c r="B326" s="37">
        <v>113035</v>
      </c>
      <c r="C326" s="20">
        <v>332</v>
      </c>
      <c r="D326" s="20" t="s">
        <v>254</v>
      </c>
      <c r="E326" s="14" t="s">
        <v>1005</v>
      </c>
      <c r="F326" s="63" t="s">
        <v>1239</v>
      </c>
      <c r="G326" s="15" t="s">
        <v>1240</v>
      </c>
      <c r="H326" s="20" t="s">
        <v>132</v>
      </c>
      <c r="I326" s="16" t="s">
        <v>1861</v>
      </c>
      <c r="J326" s="30">
        <v>43258</v>
      </c>
      <c r="K326" s="30">
        <v>43745</v>
      </c>
      <c r="L326" s="31">
        <f t="shared" si="143"/>
        <v>82.304190781814583</v>
      </c>
      <c r="M326" s="20" t="s">
        <v>855</v>
      </c>
      <c r="N326" s="20" t="s">
        <v>228</v>
      </c>
      <c r="O326" s="20" t="s">
        <v>228</v>
      </c>
      <c r="P326" s="32" t="s">
        <v>850</v>
      </c>
      <c r="Q326" s="20" t="s">
        <v>40</v>
      </c>
      <c r="R326" s="2">
        <f t="shared" si="144"/>
        <v>813615.64999999991</v>
      </c>
      <c r="S326" s="2">
        <v>656110.1</v>
      </c>
      <c r="T326" s="2">
        <v>157505.54999999999</v>
      </c>
      <c r="U326" s="2">
        <f t="shared" si="149"/>
        <v>155160.44</v>
      </c>
      <c r="V326" s="2">
        <v>115784.14</v>
      </c>
      <c r="W326" s="2">
        <v>39376.300000000003</v>
      </c>
      <c r="X326" s="2">
        <f t="shared" si="145"/>
        <v>0</v>
      </c>
      <c r="Y326" s="2">
        <v>0</v>
      </c>
      <c r="Z326" s="2">
        <v>0</v>
      </c>
      <c r="AA326" s="2">
        <f t="shared" si="146"/>
        <v>19770.96</v>
      </c>
      <c r="AB326" s="2">
        <v>15752.93</v>
      </c>
      <c r="AC326" s="2">
        <v>4018.03</v>
      </c>
      <c r="AD326" s="2">
        <f t="shared" si="147"/>
        <v>988547.04999999981</v>
      </c>
      <c r="AE326" s="2">
        <v>0</v>
      </c>
      <c r="AF326" s="2">
        <f t="shared" si="148"/>
        <v>988547.04999999981</v>
      </c>
      <c r="AG326" s="24" t="s">
        <v>41</v>
      </c>
      <c r="AH326" s="34" t="s">
        <v>1241</v>
      </c>
      <c r="AI326" s="35">
        <f>660984.49+9608.72+119843.6-177</f>
        <v>790259.80999999994</v>
      </c>
      <c r="AJ326" s="36">
        <f>107200.99+19833+22854.78+817.6</f>
        <v>150706.37000000002</v>
      </c>
      <c r="AK326" s="28">
        <f t="shared" si="150"/>
        <v>23355.839999999967</v>
      </c>
      <c r="AL326" s="28">
        <f t="shared" si="151"/>
        <v>4454.0699999999779</v>
      </c>
      <c r="AM326" s="29">
        <f t="shared" si="152"/>
        <v>0.97129376751786922</v>
      </c>
    </row>
    <row r="327" spans="1:39" ht="192" customHeight="1" x14ac:dyDescent="0.25">
      <c r="A327" s="10">
        <v>324</v>
      </c>
      <c r="B327" s="37">
        <v>112992</v>
      </c>
      <c r="C327" s="37">
        <v>233</v>
      </c>
      <c r="D327" s="20" t="s">
        <v>254</v>
      </c>
      <c r="E327" s="14" t="s">
        <v>1005</v>
      </c>
      <c r="F327" s="146" t="s">
        <v>1242</v>
      </c>
      <c r="G327" s="15" t="s">
        <v>1243</v>
      </c>
      <c r="H327" s="20" t="s">
        <v>132</v>
      </c>
      <c r="I327" s="16" t="s">
        <v>1862</v>
      </c>
      <c r="J327" s="30">
        <v>43259</v>
      </c>
      <c r="K327" s="30">
        <v>43807</v>
      </c>
      <c r="L327" s="31">
        <f t="shared" si="143"/>
        <v>82.304185804634827</v>
      </c>
      <c r="M327" s="20" t="s">
        <v>855</v>
      </c>
      <c r="N327" s="20" t="s">
        <v>228</v>
      </c>
      <c r="O327" s="20" t="s">
        <v>228</v>
      </c>
      <c r="P327" s="32" t="s">
        <v>850</v>
      </c>
      <c r="Q327" s="20" t="s">
        <v>40</v>
      </c>
      <c r="R327" s="2">
        <f t="shared" si="144"/>
        <v>413202.42000000004</v>
      </c>
      <c r="S327" s="2">
        <v>333211.76</v>
      </c>
      <c r="T327" s="2">
        <v>79990.66</v>
      </c>
      <c r="U327" s="2">
        <f t="shared" si="149"/>
        <v>78799.740000000005</v>
      </c>
      <c r="V327" s="2">
        <v>58802.080000000002</v>
      </c>
      <c r="W327" s="2">
        <v>19997.66</v>
      </c>
      <c r="X327" s="2">
        <f t="shared" si="145"/>
        <v>0</v>
      </c>
      <c r="Y327" s="2"/>
      <c r="Z327" s="2"/>
      <c r="AA327" s="2">
        <f t="shared" si="146"/>
        <v>10040.86</v>
      </c>
      <c r="AB327" s="2">
        <v>8000.27</v>
      </c>
      <c r="AC327" s="2">
        <v>2040.59</v>
      </c>
      <c r="AD327" s="2">
        <f t="shared" si="147"/>
        <v>502043.02</v>
      </c>
      <c r="AE327" s="2">
        <v>96.29</v>
      </c>
      <c r="AF327" s="2">
        <f t="shared" si="148"/>
        <v>502139.31</v>
      </c>
      <c r="AG327" s="24" t="s">
        <v>41</v>
      </c>
      <c r="AH327" s="34" t="s">
        <v>1244</v>
      </c>
      <c r="AI327" s="35">
        <f>288667.07+18246.61+35182-18201.37</f>
        <v>323894.31</v>
      </c>
      <c r="AJ327" s="36">
        <f>45476.06+13053.86+3238.27</f>
        <v>61768.189999999995</v>
      </c>
      <c r="AK327" s="28">
        <f t="shared" si="150"/>
        <v>89308.110000000044</v>
      </c>
      <c r="AL327" s="28">
        <f t="shared" si="151"/>
        <v>17031.55000000001</v>
      </c>
      <c r="AM327" s="29">
        <f t="shared" si="152"/>
        <v>0.78386353593960068</v>
      </c>
    </row>
    <row r="328" spans="1:39" ht="192" customHeight="1" x14ac:dyDescent="0.25">
      <c r="A328" s="10">
        <v>325</v>
      </c>
      <c r="B328" s="37">
        <v>109834</v>
      </c>
      <c r="C328" s="37">
        <v>202</v>
      </c>
      <c r="D328" s="20" t="s">
        <v>254</v>
      </c>
      <c r="E328" s="14" t="s">
        <v>1005</v>
      </c>
      <c r="F328" s="146" t="s">
        <v>1245</v>
      </c>
      <c r="G328" s="15" t="s">
        <v>1246</v>
      </c>
      <c r="H328" s="20" t="s">
        <v>132</v>
      </c>
      <c r="I328" s="16" t="s">
        <v>1247</v>
      </c>
      <c r="J328" s="30">
        <v>43264</v>
      </c>
      <c r="K328" s="30">
        <v>43751</v>
      </c>
      <c r="L328" s="31">
        <f t="shared" si="143"/>
        <v>82.304183375849476</v>
      </c>
      <c r="M328" s="20" t="s">
        <v>855</v>
      </c>
      <c r="N328" s="20" t="s">
        <v>228</v>
      </c>
      <c r="O328" s="20" t="s">
        <v>228</v>
      </c>
      <c r="P328" s="32" t="s">
        <v>850</v>
      </c>
      <c r="Q328" s="20" t="s">
        <v>40</v>
      </c>
      <c r="R328" s="2">
        <f t="shared" si="144"/>
        <v>756907.55</v>
      </c>
      <c r="S328" s="2">
        <v>610380.03</v>
      </c>
      <c r="T328" s="2">
        <v>146527.51999999999</v>
      </c>
      <c r="U328" s="2">
        <f t="shared" si="149"/>
        <v>144346.04</v>
      </c>
      <c r="V328" s="2">
        <v>107714.13</v>
      </c>
      <c r="W328" s="2">
        <v>36631.910000000003</v>
      </c>
      <c r="X328" s="2">
        <f t="shared" si="145"/>
        <v>0</v>
      </c>
      <c r="Y328" s="2"/>
      <c r="Z328" s="2"/>
      <c r="AA328" s="2">
        <f t="shared" si="146"/>
        <v>18392.919999999998</v>
      </c>
      <c r="AB328" s="2">
        <v>14654.96</v>
      </c>
      <c r="AC328" s="2">
        <v>3737.96</v>
      </c>
      <c r="AD328" s="2">
        <f t="shared" si="147"/>
        <v>919646.51000000013</v>
      </c>
      <c r="AE328" s="2">
        <v>0</v>
      </c>
      <c r="AF328" s="2">
        <f t="shared" si="148"/>
        <v>919646.51000000013</v>
      </c>
      <c r="AG328" s="24" t="s">
        <v>41</v>
      </c>
      <c r="AH328" s="34" t="s">
        <v>1248</v>
      </c>
      <c r="AI328" s="35">
        <f>563280.08+150291.55-17456.57</f>
        <v>696115.05999999994</v>
      </c>
      <c r="AJ328" s="36">
        <f>103044.14+15874.06+13834.42</f>
        <v>132752.62</v>
      </c>
      <c r="AK328" s="28">
        <f t="shared" si="150"/>
        <v>60792.490000000107</v>
      </c>
      <c r="AL328" s="28">
        <f t="shared" si="151"/>
        <v>11593.420000000013</v>
      </c>
      <c r="AM328" s="29">
        <f t="shared" si="152"/>
        <v>0.91968307093779145</v>
      </c>
    </row>
    <row r="329" spans="1:39" ht="192" customHeight="1" x14ac:dyDescent="0.25">
      <c r="A329" s="10">
        <v>326</v>
      </c>
      <c r="B329" s="37">
        <v>111613</v>
      </c>
      <c r="C329" s="37">
        <v>289</v>
      </c>
      <c r="D329" s="20" t="s">
        <v>254</v>
      </c>
      <c r="E329" s="14" t="s">
        <v>1005</v>
      </c>
      <c r="F329" s="146" t="s">
        <v>1249</v>
      </c>
      <c r="G329" s="15" t="s">
        <v>1250</v>
      </c>
      <c r="H329" s="20" t="s">
        <v>1251</v>
      </c>
      <c r="I329" s="16" t="s">
        <v>1252</v>
      </c>
      <c r="J329" s="30">
        <v>43264</v>
      </c>
      <c r="K329" s="30">
        <v>43751</v>
      </c>
      <c r="L329" s="31">
        <f t="shared" si="143"/>
        <v>82.304185024184278</v>
      </c>
      <c r="M329" s="20" t="s">
        <v>855</v>
      </c>
      <c r="N329" s="20" t="s">
        <v>774</v>
      </c>
      <c r="O329" s="20" t="s">
        <v>774</v>
      </c>
      <c r="P329" s="32" t="s">
        <v>850</v>
      </c>
      <c r="Q329" s="20" t="s">
        <v>40</v>
      </c>
      <c r="R329" s="2">
        <f t="shared" si="144"/>
        <v>790560.66</v>
      </c>
      <c r="S329" s="2">
        <v>637518.30000000005</v>
      </c>
      <c r="T329" s="2">
        <v>153042.35999999999</v>
      </c>
      <c r="U329" s="2">
        <f t="shared" si="149"/>
        <v>150763.83000000002</v>
      </c>
      <c r="V329" s="2">
        <v>112503.22</v>
      </c>
      <c r="W329" s="2">
        <v>38260.61</v>
      </c>
      <c r="X329" s="2">
        <v>0</v>
      </c>
      <c r="Y329" s="2"/>
      <c r="Z329" s="2"/>
      <c r="AA329" s="2">
        <f t="shared" si="146"/>
        <v>19210.7</v>
      </c>
      <c r="AB329" s="2">
        <v>15306.57</v>
      </c>
      <c r="AC329" s="2">
        <v>3904.13</v>
      </c>
      <c r="AD329" s="2">
        <f t="shared" si="147"/>
        <v>960535.19</v>
      </c>
      <c r="AE329" s="2">
        <v>67830</v>
      </c>
      <c r="AF329" s="2">
        <f t="shared" si="148"/>
        <v>1028365.19</v>
      </c>
      <c r="AG329" s="24" t="s">
        <v>41</v>
      </c>
      <c r="AH329" s="34" t="s">
        <v>132</v>
      </c>
      <c r="AI329" s="35">
        <f>601578.5+85673.04+17171.08</f>
        <v>704422.62</v>
      </c>
      <c r="AJ329" s="36">
        <f>96406.11+16338.28+21592.49</f>
        <v>134336.88</v>
      </c>
      <c r="AK329" s="28">
        <f t="shared" si="150"/>
        <v>86138.040000000037</v>
      </c>
      <c r="AL329" s="28">
        <f t="shared" si="151"/>
        <v>16426.950000000012</v>
      </c>
      <c r="AM329" s="29">
        <f t="shared" si="152"/>
        <v>0.89104183352609523</v>
      </c>
    </row>
    <row r="330" spans="1:39" ht="192" customHeight="1" x14ac:dyDescent="0.25">
      <c r="A330" s="10">
        <v>327</v>
      </c>
      <c r="B330" s="37">
        <v>112219</v>
      </c>
      <c r="C330" s="37">
        <v>274</v>
      </c>
      <c r="D330" s="20" t="s">
        <v>254</v>
      </c>
      <c r="E330" s="14" t="s">
        <v>1005</v>
      </c>
      <c r="F330" s="63" t="s">
        <v>1253</v>
      </c>
      <c r="G330" s="15" t="s">
        <v>1254</v>
      </c>
      <c r="H330" s="20" t="s">
        <v>1255</v>
      </c>
      <c r="I330" s="16" t="s">
        <v>1256</v>
      </c>
      <c r="J330" s="30">
        <v>43262</v>
      </c>
      <c r="K330" s="30">
        <v>43749</v>
      </c>
      <c r="L330" s="31">
        <f t="shared" si="143"/>
        <v>82.304180101214385</v>
      </c>
      <c r="M330" s="20" t="s">
        <v>855</v>
      </c>
      <c r="N330" s="20" t="s">
        <v>1257</v>
      </c>
      <c r="O330" s="20" t="s">
        <v>1258</v>
      </c>
      <c r="P330" s="32" t="s">
        <v>850</v>
      </c>
      <c r="Q330" s="20" t="s">
        <v>40</v>
      </c>
      <c r="R330" s="2">
        <f t="shared" si="144"/>
        <v>796246.49</v>
      </c>
      <c r="S330" s="2">
        <v>642103.43000000005</v>
      </c>
      <c r="T330" s="2">
        <v>154143.06</v>
      </c>
      <c r="U330" s="2">
        <f t="shared" si="149"/>
        <v>151848.19</v>
      </c>
      <c r="V330" s="2">
        <v>113312.41</v>
      </c>
      <c r="W330" s="2">
        <v>38535.78</v>
      </c>
      <c r="X330" s="2">
        <f t="shared" ref="X330:X393" si="153">Y330+Z330</f>
        <v>0</v>
      </c>
      <c r="Y330" s="2"/>
      <c r="Z330" s="2"/>
      <c r="AA330" s="2">
        <f t="shared" si="146"/>
        <v>19348.88</v>
      </c>
      <c r="AB330" s="2">
        <v>15416.65</v>
      </c>
      <c r="AC330" s="2">
        <v>3932.23</v>
      </c>
      <c r="AD330" s="2">
        <f t="shared" si="147"/>
        <v>967443.55999999994</v>
      </c>
      <c r="AE330" s="2"/>
      <c r="AF330" s="2">
        <f t="shared" si="148"/>
        <v>967443.55999999994</v>
      </c>
      <c r="AG330" s="24" t="s">
        <v>41</v>
      </c>
      <c r="AH330" s="34" t="s">
        <v>1259</v>
      </c>
      <c r="AI330" s="35">
        <f>191558.95+82810.85-11941.24+189135.5-9602.09+179531.24+112002.06-2148.73+7719.83</f>
        <v>739066.37</v>
      </c>
      <c r="AJ330" s="36">
        <f>18065.03+15792.44+11941.24+3307.22+18543.36+15614.11+16792.23+39159.49+1728.5</f>
        <v>140943.62</v>
      </c>
      <c r="AK330" s="28">
        <f t="shared" si="150"/>
        <v>57180.119999999995</v>
      </c>
      <c r="AL330" s="28">
        <f t="shared" si="151"/>
        <v>10904.570000000007</v>
      </c>
      <c r="AM330" s="29">
        <f t="shared" si="152"/>
        <v>0.92818791577969784</v>
      </c>
    </row>
    <row r="331" spans="1:39" ht="192" customHeight="1" x14ac:dyDescent="0.25">
      <c r="A331" s="10">
        <v>328</v>
      </c>
      <c r="B331" s="37">
        <v>111981</v>
      </c>
      <c r="C331" s="37">
        <v>264</v>
      </c>
      <c r="D331" s="20" t="s">
        <v>254</v>
      </c>
      <c r="E331" s="14" t="s">
        <v>1005</v>
      </c>
      <c r="F331" s="63" t="s">
        <v>1260</v>
      </c>
      <c r="G331" s="15" t="s">
        <v>600</v>
      </c>
      <c r="H331" s="20" t="s">
        <v>1261</v>
      </c>
      <c r="I331" s="16" t="s">
        <v>1262</v>
      </c>
      <c r="J331" s="30">
        <v>43264</v>
      </c>
      <c r="K331" s="30">
        <v>43874</v>
      </c>
      <c r="L331" s="31">
        <f t="shared" si="143"/>
        <v>82.304187524210803</v>
      </c>
      <c r="M331" s="20" t="s">
        <v>855</v>
      </c>
      <c r="N331" s="20" t="s">
        <v>406</v>
      </c>
      <c r="O331" s="20" t="s">
        <v>401</v>
      </c>
      <c r="P331" s="32" t="s">
        <v>850</v>
      </c>
      <c r="Q331" s="20" t="s">
        <v>40</v>
      </c>
      <c r="R331" s="2">
        <f t="shared" si="144"/>
        <v>771066.18</v>
      </c>
      <c r="S331" s="2">
        <v>621797.65</v>
      </c>
      <c r="T331" s="2">
        <v>149268.53</v>
      </c>
      <c r="U331" s="2">
        <f t="shared" si="149"/>
        <v>147046.1</v>
      </c>
      <c r="V331" s="2">
        <v>109729</v>
      </c>
      <c r="W331" s="2">
        <v>37317.1</v>
      </c>
      <c r="X331" s="2">
        <f t="shared" si="153"/>
        <v>0</v>
      </c>
      <c r="Y331" s="2"/>
      <c r="Z331" s="2"/>
      <c r="AA331" s="2">
        <f t="shared" si="146"/>
        <v>18736.989999999998</v>
      </c>
      <c r="AB331" s="2">
        <v>14929.14</v>
      </c>
      <c r="AC331" s="2">
        <v>3807.85</v>
      </c>
      <c r="AD331" s="2">
        <f t="shared" si="147"/>
        <v>936849.27</v>
      </c>
      <c r="AE331" s="2"/>
      <c r="AF331" s="2">
        <f t="shared" si="148"/>
        <v>936849.27</v>
      </c>
      <c r="AG331" s="39" t="s">
        <v>628</v>
      </c>
      <c r="AH331" s="34" t="s">
        <v>1014</v>
      </c>
      <c r="AI331" s="35">
        <f>627878.85+15145.61+1697.71+43882.89+21028.71</f>
        <v>709633.7699999999</v>
      </c>
      <c r="AJ331" s="36">
        <f>105047.04+2888.35+12346.51+11038.55+4010.29</f>
        <v>135330.74</v>
      </c>
      <c r="AK331" s="28">
        <f t="shared" si="150"/>
        <v>61432.410000000149</v>
      </c>
      <c r="AL331" s="28">
        <f t="shared" si="151"/>
        <v>11715.360000000015</v>
      </c>
      <c r="AM331" s="29">
        <f t="shared" si="152"/>
        <v>0.92032796717915943</v>
      </c>
    </row>
    <row r="332" spans="1:39" ht="192" customHeight="1" x14ac:dyDescent="0.25">
      <c r="A332" s="10">
        <v>329</v>
      </c>
      <c r="B332" s="37">
        <v>113037</v>
      </c>
      <c r="C332" s="37">
        <v>280</v>
      </c>
      <c r="D332" s="20" t="s">
        <v>254</v>
      </c>
      <c r="E332" s="14" t="s">
        <v>1005</v>
      </c>
      <c r="F332" s="63" t="s">
        <v>1263</v>
      </c>
      <c r="G332" s="15" t="s">
        <v>1264</v>
      </c>
      <c r="H332" s="20" t="s">
        <v>1265</v>
      </c>
      <c r="I332" s="16" t="s">
        <v>1266</v>
      </c>
      <c r="J332" s="30">
        <v>43269</v>
      </c>
      <c r="K332" s="30">
        <v>43756</v>
      </c>
      <c r="L332" s="31">
        <f t="shared" si="143"/>
        <v>82.304185659324261</v>
      </c>
      <c r="M332" s="20" t="s">
        <v>855</v>
      </c>
      <c r="N332" s="20" t="s">
        <v>229</v>
      </c>
      <c r="O332" s="20" t="s">
        <v>229</v>
      </c>
      <c r="P332" s="32" t="s">
        <v>850</v>
      </c>
      <c r="Q332" s="20" t="s">
        <v>40</v>
      </c>
      <c r="R332" s="2">
        <f t="shared" si="144"/>
        <v>812766.5</v>
      </c>
      <c r="S332" s="2">
        <v>655425.36</v>
      </c>
      <c r="T332" s="2">
        <v>157341.14000000001</v>
      </c>
      <c r="U332" s="2">
        <f t="shared" si="149"/>
        <v>154998.59</v>
      </c>
      <c r="V332" s="2">
        <v>115663.31</v>
      </c>
      <c r="W332" s="2">
        <v>39335.279999999999</v>
      </c>
      <c r="X332" s="2">
        <f t="shared" si="153"/>
        <v>0</v>
      </c>
      <c r="Y332" s="2"/>
      <c r="Z332" s="2"/>
      <c r="AA332" s="2">
        <f t="shared" si="146"/>
        <v>19750.3</v>
      </c>
      <c r="AB332" s="2">
        <v>15736.51</v>
      </c>
      <c r="AC332" s="2">
        <v>4013.79</v>
      </c>
      <c r="AD332" s="2">
        <f t="shared" si="147"/>
        <v>987515.39</v>
      </c>
      <c r="AE332" s="2"/>
      <c r="AF332" s="2">
        <f t="shared" si="148"/>
        <v>987515.39</v>
      </c>
      <c r="AG332" s="24" t="s">
        <v>41</v>
      </c>
      <c r="AH332" s="34" t="s">
        <v>132</v>
      </c>
      <c r="AI332" s="35">
        <f>453689.55+62401.05+231922.17+8071.09</f>
        <v>756083.86</v>
      </c>
      <c r="AJ332" s="36">
        <f>14547.96+18386.23+14448.94+20305.31+30732.58+44228.7+1539.2</f>
        <v>144188.92000000001</v>
      </c>
      <c r="AK332" s="28">
        <f t="shared" si="150"/>
        <v>56682.640000000014</v>
      </c>
      <c r="AL332" s="28">
        <f t="shared" si="151"/>
        <v>10809.669999999984</v>
      </c>
      <c r="AM332" s="29">
        <f t="shared" si="152"/>
        <v>0.93025962561203002</v>
      </c>
    </row>
    <row r="333" spans="1:39" ht="192" customHeight="1" x14ac:dyDescent="0.25">
      <c r="A333" s="10">
        <v>330</v>
      </c>
      <c r="B333" s="37">
        <v>126354</v>
      </c>
      <c r="C333" s="37">
        <v>491</v>
      </c>
      <c r="D333" s="15" t="s">
        <v>425</v>
      </c>
      <c r="E333" s="14" t="s">
        <v>426</v>
      </c>
      <c r="F333" s="15" t="s">
        <v>1267</v>
      </c>
      <c r="G333" s="20" t="s">
        <v>1268</v>
      </c>
      <c r="H333" s="20" t="s">
        <v>35</v>
      </c>
      <c r="I333" s="15" t="s">
        <v>1269</v>
      </c>
      <c r="J333" s="30">
        <v>43515</v>
      </c>
      <c r="K333" s="30">
        <v>44246</v>
      </c>
      <c r="L333" s="31">
        <f t="shared" si="143"/>
        <v>83.300000282457262</v>
      </c>
      <c r="M333" s="20" t="s">
        <v>1270</v>
      </c>
      <c r="N333" s="20" t="s">
        <v>1271</v>
      </c>
      <c r="O333" s="20" t="s">
        <v>1271</v>
      </c>
      <c r="P333" s="20" t="s">
        <v>850</v>
      </c>
      <c r="Q333" s="20" t="s">
        <v>40</v>
      </c>
      <c r="R333" s="35">
        <f t="shared" si="144"/>
        <v>2064383.09</v>
      </c>
      <c r="S333" s="35">
        <v>2064383.09</v>
      </c>
      <c r="T333" s="41">
        <v>0</v>
      </c>
      <c r="U333" s="35">
        <f t="shared" si="149"/>
        <v>364302.89</v>
      </c>
      <c r="V333" s="35">
        <v>364302.89</v>
      </c>
      <c r="W333" s="41">
        <v>0</v>
      </c>
      <c r="X333" s="35">
        <f t="shared" si="153"/>
        <v>0</v>
      </c>
      <c r="Y333" s="35">
        <v>0</v>
      </c>
      <c r="Z333" s="35">
        <v>0</v>
      </c>
      <c r="AA333" s="2">
        <f t="shared" si="146"/>
        <v>49565.02</v>
      </c>
      <c r="AB333" s="2">
        <v>49565.02</v>
      </c>
      <c r="AC333" s="2">
        <v>0</v>
      </c>
      <c r="AD333" s="2">
        <f t="shared" si="147"/>
        <v>2478251</v>
      </c>
      <c r="AE333" s="2">
        <v>0</v>
      </c>
      <c r="AF333" s="2">
        <f t="shared" si="148"/>
        <v>2478251</v>
      </c>
      <c r="AG333" s="39" t="s">
        <v>69</v>
      </c>
      <c r="AH333" s="39" t="s">
        <v>35</v>
      </c>
      <c r="AI333" s="35">
        <f>379630.33+188293.25+260720.58-14122.01+258532.83</f>
        <v>1073054.98</v>
      </c>
      <c r="AJ333" s="36">
        <f>56487.92+46009.49+14122.01+29009.29</f>
        <v>145628.71</v>
      </c>
      <c r="AK333" s="28">
        <f t="shared" si="150"/>
        <v>991328.1100000001</v>
      </c>
      <c r="AL333" s="28">
        <f t="shared" si="151"/>
        <v>218674.18000000002</v>
      </c>
      <c r="AM333" s="29">
        <f t="shared" si="152"/>
        <v>0.51979450190129195</v>
      </c>
    </row>
    <row r="334" spans="1:39" ht="192" customHeight="1" x14ac:dyDescent="0.25">
      <c r="A334" s="10">
        <v>331</v>
      </c>
      <c r="B334" s="37">
        <v>125435</v>
      </c>
      <c r="C334" s="37">
        <v>493</v>
      </c>
      <c r="D334" s="15" t="s">
        <v>425</v>
      </c>
      <c r="E334" s="14" t="s">
        <v>426</v>
      </c>
      <c r="F334" s="40" t="s">
        <v>1272</v>
      </c>
      <c r="G334" s="20" t="s">
        <v>1273</v>
      </c>
      <c r="H334" s="20" t="s">
        <v>35</v>
      </c>
      <c r="I334" s="55" t="s">
        <v>1274</v>
      </c>
      <c r="J334" s="30">
        <v>43531</v>
      </c>
      <c r="K334" s="30">
        <v>44142</v>
      </c>
      <c r="L334" s="31">
        <f t="shared" si="143"/>
        <v>83.300000756731819</v>
      </c>
      <c r="M334" s="20" t="s">
        <v>1275</v>
      </c>
      <c r="N334" s="20" t="s">
        <v>1276</v>
      </c>
      <c r="O334" s="20" t="s">
        <v>1276</v>
      </c>
      <c r="P334" s="20" t="s">
        <v>850</v>
      </c>
      <c r="Q334" s="20" t="s">
        <v>40</v>
      </c>
      <c r="R334" s="35">
        <f t="shared" si="144"/>
        <v>1797584.02</v>
      </c>
      <c r="S334" s="2">
        <v>1797584.02</v>
      </c>
      <c r="T334" s="2">
        <v>0</v>
      </c>
      <c r="U334" s="35">
        <f t="shared" si="149"/>
        <v>317220.69</v>
      </c>
      <c r="V334" s="2">
        <v>317220.69</v>
      </c>
      <c r="W334" s="2">
        <v>0</v>
      </c>
      <c r="X334" s="35">
        <f t="shared" si="153"/>
        <v>0</v>
      </c>
      <c r="Y334" s="2">
        <v>0</v>
      </c>
      <c r="Z334" s="2">
        <v>0</v>
      </c>
      <c r="AA334" s="2">
        <f t="shared" si="146"/>
        <v>43159.28</v>
      </c>
      <c r="AB334" s="2">
        <v>43159.28</v>
      </c>
      <c r="AC334" s="2">
        <v>0</v>
      </c>
      <c r="AD334" s="2">
        <f t="shared" si="147"/>
        <v>2157963.9899999998</v>
      </c>
      <c r="AE334" s="2">
        <v>0</v>
      </c>
      <c r="AF334" s="2">
        <f t="shared" si="148"/>
        <v>2157963.9899999998</v>
      </c>
      <c r="AG334" s="39" t="s">
        <v>69</v>
      </c>
      <c r="AH334" s="34" t="s">
        <v>1277</v>
      </c>
      <c r="AI334" s="35">
        <f>288486.99+139941.28-7379.3+112722.77</f>
        <v>533771.74</v>
      </c>
      <c r="AJ334" s="36">
        <f>14309.49+24483.75+7379.3+10963.67</f>
        <v>57136.21</v>
      </c>
      <c r="AK334" s="28">
        <f t="shared" si="150"/>
        <v>1263812.28</v>
      </c>
      <c r="AL334" s="28">
        <f t="shared" si="151"/>
        <v>260084.48000000001</v>
      </c>
      <c r="AM334" s="29">
        <f t="shared" si="152"/>
        <v>0.29693840958822054</v>
      </c>
    </row>
    <row r="335" spans="1:39" ht="192" customHeight="1" x14ac:dyDescent="0.25">
      <c r="A335" s="10">
        <v>332</v>
      </c>
      <c r="B335" s="37">
        <v>111409</v>
      </c>
      <c r="C335" s="37">
        <v>193</v>
      </c>
      <c r="D335" s="20" t="s">
        <v>254</v>
      </c>
      <c r="E335" s="14" t="s">
        <v>1005</v>
      </c>
      <c r="F335" s="146" t="s">
        <v>1278</v>
      </c>
      <c r="G335" s="15" t="s">
        <v>1279</v>
      </c>
      <c r="H335" s="20" t="s">
        <v>132</v>
      </c>
      <c r="I335" s="16" t="s">
        <v>1280</v>
      </c>
      <c r="J335" s="30">
        <v>43271</v>
      </c>
      <c r="K335" s="30">
        <v>43819</v>
      </c>
      <c r="L335" s="31">
        <f t="shared" si="143"/>
        <v>82.304192821223239</v>
      </c>
      <c r="M335" s="20" t="s">
        <v>855</v>
      </c>
      <c r="N335" s="19" t="s">
        <v>229</v>
      </c>
      <c r="O335" s="19" t="s">
        <v>229</v>
      </c>
      <c r="P335" s="32" t="s">
        <v>850</v>
      </c>
      <c r="Q335" s="20" t="s">
        <v>40</v>
      </c>
      <c r="R335" s="147">
        <f t="shared" si="144"/>
        <v>813056.8</v>
      </c>
      <c r="S335" s="2">
        <v>655659.42000000004</v>
      </c>
      <c r="T335" s="2">
        <v>157397.38</v>
      </c>
      <c r="U335" s="2">
        <f t="shared" si="149"/>
        <v>155053.86000000002</v>
      </c>
      <c r="V335" s="2">
        <v>115704.6</v>
      </c>
      <c r="W335" s="2">
        <v>39349.26</v>
      </c>
      <c r="X335" s="2">
        <f t="shared" si="153"/>
        <v>0</v>
      </c>
      <c r="Y335" s="2"/>
      <c r="Z335" s="2"/>
      <c r="AA335" s="2">
        <f t="shared" si="146"/>
        <v>19757.36</v>
      </c>
      <c r="AB335" s="2">
        <v>15742.12</v>
      </c>
      <c r="AC335" s="2">
        <v>4015.24</v>
      </c>
      <c r="AD335" s="2">
        <f t="shared" si="147"/>
        <v>987868.02</v>
      </c>
      <c r="AE335" s="2">
        <v>0</v>
      </c>
      <c r="AF335" s="2">
        <f t="shared" si="148"/>
        <v>987868.02</v>
      </c>
      <c r="AG335" s="39" t="s">
        <v>41</v>
      </c>
      <c r="AH335" s="34" t="s">
        <v>1281</v>
      </c>
      <c r="AI335" s="35">
        <f>794317.39-32626.91</f>
        <v>761690.48</v>
      </c>
      <c r="AJ335" s="36">
        <f>142402.74+2855.49</f>
        <v>145258.22999999998</v>
      </c>
      <c r="AK335" s="28">
        <f t="shared" si="150"/>
        <v>51366.320000000065</v>
      </c>
      <c r="AL335" s="28">
        <f t="shared" si="151"/>
        <v>9795.6300000000338</v>
      </c>
      <c r="AM335" s="29">
        <f t="shared" si="152"/>
        <v>0.9368232084154513</v>
      </c>
    </row>
    <row r="336" spans="1:39" ht="192" customHeight="1" x14ac:dyDescent="0.25">
      <c r="A336" s="10">
        <v>333</v>
      </c>
      <c r="B336" s="37">
        <v>118676</v>
      </c>
      <c r="C336" s="37">
        <v>432</v>
      </c>
      <c r="D336" s="20" t="s">
        <v>1282</v>
      </c>
      <c r="E336" s="14" t="s">
        <v>1283</v>
      </c>
      <c r="F336" s="146" t="s">
        <v>1284</v>
      </c>
      <c r="G336" s="15" t="s">
        <v>1285</v>
      </c>
      <c r="H336" s="20" t="s">
        <v>1286</v>
      </c>
      <c r="I336" s="16" t="s">
        <v>1287</v>
      </c>
      <c r="J336" s="30">
        <v>43270</v>
      </c>
      <c r="K336" s="30">
        <v>43970</v>
      </c>
      <c r="L336" s="31">
        <f t="shared" si="143"/>
        <v>83.983863365706441</v>
      </c>
      <c r="M336" s="20" t="s">
        <v>855</v>
      </c>
      <c r="N336" s="19" t="s">
        <v>229</v>
      </c>
      <c r="O336" s="19" t="s">
        <v>229</v>
      </c>
      <c r="P336" s="32" t="s">
        <v>260</v>
      </c>
      <c r="Q336" s="20" t="s">
        <v>40</v>
      </c>
      <c r="R336" s="2">
        <f t="shared" si="144"/>
        <v>3030823.93</v>
      </c>
      <c r="S336" s="2">
        <v>2444095.41</v>
      </c>
      <c r="T336" s="2">
        <v>586728.52</v>
      </c>
      <c r="U336" s="2">
        <f t="shared" si="149"/>
        <v>0</v>
      </c>
      <c r="V336" s="2"/>
      <c r="W336" s="2"/>
      <c r="X336" s="2">
        <f t="shared" si="153"/>
        <v>577993.05999999994</v>
      </c>
      <c r="Y336" s="2">
        <v>431310.97</v>
      </c>
      <c r="Z336" s="2">
        <v>146682.09</v>
      </c>
      <c r="AA336" s="2">
        <f t="shared" si="146"/>
        <v>0</v>
      </c>
      <c r="AB336" s="2">
        <v>0</v>
      </c>
      <c r="AC336" s="2">
        <v>0</v>
      </c>
      <c r="AD336" s="2">
        <f t="shared" si="147"/>
        <v>3608816.99</v>
      </c>
      <c r="AE336" s="2">
        <v>0</v>
      </c>
      <c r="AF336" s="2">
        <f t="shared" si="148"/>
        <v>3608816.99</v>
      </c>
      <c r="AG336" s="39" t="s">
        <v>69</v>
      </c>
      <c r="AH336" s="34" t="s">
        <v>1288</v>
      </c>
      <c r="AI336" s="35">
        <f>43102.2+366371.99+199.89+120510.92+225498.13+197283.1+424052.29+106695.85</f>
        <v>1483714.37</v>
      </c>
      <c r="AJ336" s="36">
        <v>0</v>
      </c>
      <c r="AK336" s="28">
        <f t="shared" si="150"/>
        <v>1547109.56</v>
      </c>
      <c r="AL336" s="28">
        <f t="shared" si="151"/>
        <v>0</v>
      </c>
      <c r="AM336" s="29">
        <f t="shared" si="152"/>
        <v>0.48954159141801418</v>
      </c>
    </row>
    <row r="337" spans="1:39" ht="192" customHeight="1" x14ac:dyDescent="0.25">
      <c r="A337" s="10">
        <v>334</v>
      </c>
      <c r="B337" s="37">
        <v>111610</v>
      </c>
      <c r="C337" s="37">
        <v>374</v>
      </c>
      <c r="D337" s="20" t="s">
        <v>1289</v>
      </c>
      <c r="E337" s="14" t="s">
        <v>1290</v>
      </c>
      <c r="F337" s="146" t="s">
        <v>1291</v>
      </c>
      <c r="G337" s="15" t="s">
        <v>1292</v>
      </c>
      <c r="H337" s="20" t="s">
        <v>1293</v>
      </c>
      <c r="I337" s="16" t="s">
        <v>1294</v>
      </c>
      <c r="J337" s="30">
        <v>43272</v>
      </c>
      <c r="K337" s="30">
        <v>43820</v>
      </c>
      <c r="L337" s="31">
        <f t="shared" si="143"/>
        <v>82.304186949685416</v>
      </c>
      <c r="M337" s="20" t="s">
        <v>855</v>
      </c>
      <c r="N337" s="19" t="s">
        <v>229</v>
      </c>
      <c r="O337" s="19" t="s">
        <v>229</v>
      </c>
      <c r="P337" s="32" t="s">
        <v>850</v>
      </c>
      <c r="Q337" s="20" t="s">
        <v>40</v>
      </c>
      <c r="R337" s="2">
        <f t="shared" si="144"/>
        <v>3413208.43</v>
      </c>
      <c r="S337" s="2">
        <v>2752455.22</v>
      </c>
      <c r="T337" s="2">
        <v>660753.21</v>
      </c>
      <c r="U337" s="2">
        <f t="shared" si="149"/>
        <v>650915.57999999996</v>
      </c>
      <c r="V337" s="2">
        <v>485727.31</v>
      </c>
      <c r="W337" s="2">
        <v>165188.26999999999</v>
      </c>
      <c r="X337" s="2">
        <f t="shared" si="153"/>
        <v>0</v>
      </c>
      <c r="Y337" s="2">
        <v>0</v>
      </c>
      <c r="Z337" s="2">
        <v>0</v>
      </c>
      <c r="AA337" s="2">
        <f t="shared" si="146"/>
        <v>82941.353863662065</v>
      </c>
      <c r="AB337" s="2">
        <v>66085.38</v>
      </c>
      <c r="AC337" s="2">
        <v>16855.97386366206</v>
      </c>
      <c r="AD337" s="2">
        <f t="shared" si="147"/>
        <v>4147065.3638636624</v>
      </c>
      <c r="AE337" s="2">
        <v>0</v>
      </c>
      <c r="AF337" s="2">
        <f t="shared" si="148"/>
        <v>4147065.3638636624</v>
      </c>
      <c r="AG337" s="39" t="s">
        <v>41</v>
      </c>
      <c r="AH337" s="34" t="s">
        <v>1295</v>
      </c>
      <c r="AI337" s="35">
        <f>413506.52+39634.08+203862.73+22675.21+238112.3-5677.61+315671.54+256839.5+48499.95+31156.55+577305.1+574631.44+238908.29+212961.41</f>
        <v>3168087.0100000002</v>
      </c>
      <c r="AJ337" s="36">
        <f>51329.52+25659.99+79433+5677.61+44422.4+12020.11+67601.69+43232.94+109585.05+124594.61+40612.79</f>
        <v>604169.71000000008</v>
      </c>
      <c r="AK337" s="28">
        <f t="shared" si="150"/>
        <v>245121.41999999993</v>
      </c>
      <c r="AL337" s="28">
        <f t="shared" si="151"/>
        <v>46745.869999999879</v>
      </c>
      <c r="AM337" s="29">
        <f t="shared" si="152"/>
        <v>0.92818445605444611</v>
      </c>
    </row>
    <row r="338" spans="1:39" ht="192" customHeight="1" x14ac:dyDescent="0.25">
      <c r="A338" s="10">
        <v>335</v>
      </c>
      <c r="B338" s="37">
        <v>110423</v>
      </c>
      <c r="C338" s="37">
        <v>207</v>
      </c>
      <c r="D338" s="20" t="s">
        <v>254</v>
      </c>
      <c r="E338" s="14" t="s">
        <v>1005</v>
      </c>
      <c r="F338" s="146" t="s">
        <v>1296</v>
      </c>
      <c r="G338" s="53" t="s">
        <v>1297</v>
      </c>
      <c r="H338" s="20" t="s">
        <v>132</v>
      </c>
      <c r="I338" s="16" t="s">
        <v>1298</v>
      </c>
      <c r="J338" s="30">
        <v>43272</v>
      </c>
      <c r="K338" s="30">
        <v>43820</v>
      </c>
      <c r="L338" s="31">
        <f t="shared" si="143"/>
        <v>82.304184780767926</v>
      </c>
      <c r="M338" s="20" t="s">
        <v>855</v>
      </c>
      <c r="N338" s="20" t="s">
        <v>228</v>
      </c>
      <c r="O338" s="20" t="s">
        <v>228</v>
      </c>
      <c r="P338" s="32" t="s">
        <v>850</v>
      </c>
      <c r="Q338" s="20" t="s">
        <v>40</v>
      </c>
      <c r="R338" s="2">
        <f t="shared" si="144"/>
        <v>823039.14</v>
      </c>
      <c r="S338" s="2">
        <v>663709.35</v>
      </c>
      <c r="T338" s="2">
        <v>159329.79</v>
      </c>
      <c r="U338" s="2">
        <f t="shared" si="149"/>
        <v>156957.63</v>
      </c>
      <c r="V338" s="2">
        <v>117125.19</v>
      </c>
      <c r="W338" s="2">
        <v>39832.44</v>
      </c>
      <c r="X338" s="2">
        <f t="shared" si="153"/>
        <v>0</v>
      </c>
      <c r="Y338" s="2"/>
      <c r="Z338" s="2"/>
      <c r="AA338" s="2">
        <f t="shared" si="146"/>
        <v>19999.939999999999</v>
      </c>
      <c r="AB338" s="2">
        <v>15935.41</v>
      </c>
      <c r="AC338" s="2">
        <v>4064.53</v>
      </c>
      <c r="AD338" s="2">
        <f t="shared" si="147"/>
        <v>999996.71</v>
      </c>
      <c r="AE338" s="2">
        <v>0</v>
      </c>
      <c r="AF338" s="2">
        <f t="shared" si="148"/>
        <v>999996.71</v>
      </c>
      <c r="AG338" s="39" t="s">
        <v>41</v>
      </c>
      <c r="AH338" s="34" t="s">
        <v>1299</v>
      </c>
      <c r="AI338" s="35">
        <f>563686.25+9788.05+56761.68+161067.97+5325.05</f>
        <v>796629.00000000012</v>
      </c>
      <c r="AJ338" s="36">
        <f>88427.44+20936.91+10824.71+11646.17+20085.81</f>
        <v>151921.04</v>
      </c>
      <c r="AK338" s="28">
        <f t="shared" si="150"/>
        <v>26410.139999999898</v>
      </c>
      <c r="AL338" s="28">
        <f t="shared" si="151"/>
        <v>5036.5899999999965</v>
      </c>
      <c r="AM338" s="29">
        <f t="shared" si="152"/>
        <v>0.96791144100388726</v>
      </c>
    </row>
    <row r="339" spans="1:39" ht="192" customHeight="1" x14ac:dyDescent="0.25">
      <c r="A339" s="10">
        <v>336</v>
      </c>
      <c r="B339" s="37">
        <v>111199</v>
      </c>
      <c r="C339" s="37">
        <v>147</v>
      </c>
      <c r="D339" s="20" t="s">
        <v>254</v>
      </c>
      <c r="E339" s="14" t="s">
        <v>1005</v>
      </c>
      <c r="F339" s="146" t="s">
        <v>1300</v>
      </c>
      <c r="G339" s="15" t="s">
        <v>1301</v>
      </c>
      <c r="H339" s="20" t="s">
        <v>1302</v>
      </c>
      <c r="I339" s="16" t="s">
        <v>1303</v>
      </c>
      <c r="J339" s="30">
        <v>43277</v>
      </c>
      <c r="K339" s="30">
        <v>43764</v>
      </c>
      <c r="L339" s="31">
        <f t="shared" si="143"/>
        <v>82.524995224288418</v>
      </c>
      <c r="M339" s="20" t="s">
        <v>855</v>
      </c>
      <c r="N339" s="20" t="s">
        <v>228</v>
      </c>
      <c r="O339" s="20" t="s">
        <v>228</v>
      </c>
      <c r="P339" s="32" t="s">
        <v>850</v>
      </c>
      <c r="Q339" s="20" t="s">
        <v>40</v>
      </c>
      <c r="R339" s="2">
        <f t="shared" si="144"/>
        <v>825126.99</v>
      </c>
      <c r="S339" s="2">
        <v>665393.03</v>
      </c>
      <c r="T339" s="2">
        <v>159733.96</v>
      </c>
      <c r="U339" s="2">
        <f t="shared" si="149"/>
        <v>154726.99</v>
      </c>
      <c r="V339" s="2">
        <v>115327.75</v>
      </c>
      <c r="W339" s="2">
        <v>39399.24</v>
      </c>
      <c r="X339" s="2">
        <f t="shared" si="153"/>
        <v>0</v>
      </c>
      <c r="Y339" s="2">
        <v>0</v>
      </c>
      <c r="Z339" s="2">
        <v>0</v>
      </c>
      <c r="AA339" s="2">
        <f t="shared" si="146"/>
        <v>19997.02</v>
      </c>
      <c r="AB339" s="2">
        <v>15933.08</v>
      </c>
      <c r="AC339" s="2">
        <v>4063.94</v>
      </c>
      <c r="AD339" s="2">
        <f t="shared" si="147"/>
        <v>999851</v>
      </c>
      <c r="AE339" s="2">
        <v>0</v>
      </c>
      <c r="AF339" s="2">
        <f t="shared" si="148"/>
        <v>999851</v>
      </c>
      <c r="AG339" s="24" t="s">
        <v>41</v>
      </c>
      <c r="AH339" s="34" t="s">
        <v>35</v>
      </c>
      <c r="AI339" s="35">
        <f>468127.93-12613.35+243265.58</f>
        <v>698780.16000000003</v>
      </c>
      <c r="AJ339" s="36">
        <f>17105.45+14284.79+17404.21+19871.63+13778.33+48936.49</f>
        <v>131380.9</v>
      </c>
      <c r="AK339" s="28">
        <f t="shared" si="150"/>
        <v>126346.82999999996</v>
      </c>
      <c r="AL339" s="28">
        <f t="shared" si="151"/>
        <v>23346.089999999997</v>
      </c>
      <c r="AM339" s="29">
        <f t="shared" si="152"/>
        <v>0.84687589724825274</v>
      </c>
    </row>
    <row r="340" spans="1:39" ht="192" customHeight="1" x14ac:dyDescent="0.25">
      <c r="A340" s="10">
        <v>337</v>
      </c>
      <c r="B340" s="37">
        <v>111846</v>
      </c>
      <c r="C340" s="37">
        <v>165</v>
      </c>
      <c r="D340" s="20" t="s">
        <v>254</v>
      </c>
      <c r="E340" s="14" t="s">
        <v>1005</v>
      </c>
      <c r="F340" s="15" t="s">
        <v>1304</v>
      </c>
      <c r="G340" s="15" t="s">
        <v>1305</v>
      </c>
      <c r="H340" s="20" t="s">
        <v>132</v>
      </c>
      <c r="I340" s="16" t="s">
        <v>1306</v>
      </c>
      <c r="J340" s="30">
        <v>43278</v>
      </c>
      <c r="K340" s="30">
        <v>43643</v>
      </c>
      <c r="L340" s="31">
        <f t="shared" si="143"/>
        <v>82.304186166768261</v>
      </c>
      <c r="M340" s="20" t="s">
        <v>855</v>
      </c>
      <c r="N340" s="20" t="s">
        <v>228</v>
      </c>
      <c r="O340" s="20" t="s">
        <v>228</v>
      </c>
      <c r="P340" s="32" t="s">
        <v>850</v>
      </c>
      <c r="Q340" s="20" t="s">
        <v>40</v>
      </c>
      <c r="R340" s="2">
        <f t="shared" si="144"/>
        <v>693954.33</v>
      </c>
      <c r="S340" s="2">
        <v>559613.69999999995</v>
      </c>
      <c r="T340" s="2">
        <v>134340.63</v>
      </c>
      <c r="U340" s="2">
        <f t="shared" si="149"/>
        <v>132340.51</v>
      </c>
      <c r="V340" s="2">
        <v>98755.36</v>
      </c>
      <c r="W340" s="2">
        <v>33585.15</v>
      </c>
      <c r="X340" s="2">
        <f t="shared" si="153"/>
        <v>0</v>
      </c>
      <c r="Y340" s="2">
        <v>0</v>
      </c>
      <c r="Z340" s="2">
        <v>0</v>
      </c>
      <c r="AA340" s="2">
        <f t="shared" si="146"/>
        <v>16863.16</v>
      </c>
      <c r="AB340" s="2">
        <v>13436.1</v>
      </c>
      <c r="AC340" s="2">
        <v>3427.06</v>
      </c>
      <c r="AD340" s="2">
        <f t="shared" si="147"/>
        <v>843158</v>
      </c>
      <c r="AE340" s="2">
        <v>0</v>
      </c>
      <c r="AF340" s="2">
        <f t="shared" si="148"/>
        <v>843158</v>
      </c>
      <c r="AG340" s="24" t="s">
        <v>41</v>
      </c>
      <c r="AH340" s="34" t="s">
        <v>35</v>
      </c>
      <c r="AI340" s="35">
        <v>635983.98</v>
      </c>
      <c r="AJ340" s="36">
        <v>121285.28</v>
      </c>
      <c r="AK340" s="28">
        <f t="shared" si="150"/>
        <v>57970.349999999977</v>
      </c>
      <c r="AL340" s="28">
        <f t="shared" si="151"/>
        <v>11055.23000000001</v>
      </c>
      <c r="AM340" s="29">
        <f t="shared" si="152"/>
        <v>0.91646373904749612</v>
      </c>
    </row>
    <row r="341" spans="1:39" ht="192" customHeight="1" x14ac:dyDescent="0.25">
      <c r="A341" s="10">
        <v>338</v>
      </c>
      <c r="B341" s="37">
        <v>110795</v>
      </c>
      <c r="C341" s="37">
        <v>127</v>
      </c>
      <c r="D341" s="20" t="s">
        <v>254</v>
      </c>
      <c r="E341" s="14" t="s">
        <v>1005</v>
      </c>
      <c r="F341" s="15" t="s">
        <v>1307</v>
      </c>
      <c r="G341" s="15" t="s">
        <v>1308</v>
      </c>
      <c r="H341" s="20" t="s">
        <v>1309</v>
      </c>
      <c r="I341" s="112" t="s">
        <v>1310</v>
      </c>
      <c r="J341" s="30">
        <v>43278</v>
      </c>
      <c r="K341" s="30">
        <v>43765</v>
      </c>
      <c r="L341" s="31">
        <f t="shared" si="143"/>
        <v>82.304181171723172</v>
      </c>
      <c r="M341" s="20" t="s">
        <v>855</v>
      </c>
      <c r="N341" s="20" t="s">
        <v>228</v>
      </c>
      <c r="O341" s="20" t="s">
        <v>228</v>
      </c>
      <c r="P341" s="32" t="s">
        <v>850</v>
      </c>
      <c r="Q341" s="20" t="s">
        <v>40</v>
      </c>
      <c r="R341" s="2">
        <f t="shared" si="144"/>
        <v>818511.09</v>
      </c>
      <c r="S341" s="2">
        <v>660057.88</v>
      </c>
      <c r="T341" s="2">
        <v>158453.21</v>
      </c>
      <c r="U341" s="2">
        <f t="shared" si="149"/>
        <v>156094.12</v>
      </c>
      <c r="V341" s="2">
        <v>116480.81</v>
      </c>
      <c r="W341" s="2">
        <v>39613.31</v>
      </c>
      <c r="X341" s="2">
        <f t="shared" si="153"/>
        <v>0</v>
      </c>
      <c r="Y341" s="2"/>
      <c r="Z341" s="2"/>
      <c r="AA341" s="2">
        <f t="shared" si="146"/>
        <v>19889.939999999999</v>
      </c>
      <c r="AB341" s="2">
        <v>15847.76</v>
      </c>
      <c r="AC341" s="2">
        <v>4042.18</v>
      </c>
      <c r="AD341" s="2">
        <f t="shared" si="147"/>
        <v>994495.14999999991</v>
      </c>
      <c r="AE341" s="2"/>
      <c r="AF341" s="2">
        <f t="shared" si="148"/>
        <v>994495.14999999991</v>
      </c>
      <c r="AG341" s="24" t="s">
        <v>41</v>
      </c>
      <c r="AH341" s="34" t="s">
        <v>245</v>
      </c>
      <c r="AI341" s="35">
        <f>795982.47-5714.37</f>
        <v>790268.1</v>
      </c>
      <c r="AJ341" s="36">
        <f>11135.04+27716.68+9400.61+3526.85+11840.91+7483.51+15010.54+8062.74+19640.21+23451.37+13439.59</f>
        <v>150708.04999999999</v>
      </c>
      <c r="AK341" s="28">
        <f t="shared" si="150"/>
        <v>28242.989999999991</v>
      </c>
      <c r="AL341" s="28">
        <f t="shared" si="151"/>
        <v>5386.070000000007</v>
      </c>
      <c r="AM341" s="29">
        <f t="shared" si="152"/>
        <v>0.96549467643743225</v>
      </c>
    </row>
    <row r="342" spans="1:39" ht="192" customHeight="1" x14ac:dyDescent="0.25">
      <c r="A342" s="10">
        <v>339</v>
      </c>
      <c r="B342" s="37">
        <v>110651</v>
      </c>
      <c r="C342" s="37">
        <v>226</v>
      </c>
      <c r="D342" s="20" t="s">
        <v>254</v>
      </c>
      <c r="E342" s="14" t="s">
        <v>1005</v>
      </c>
      <c r="F342" s="146" t="s">
        <v>1311</v>
      </c>
      <c r="G342" s="15" t="s">
        <v>1312</v>
      </c>
      <c r="H342" s="20" t="s">
        <v>1313</v>
      </c>
      <c r="I342" s="112" t="s">
        <v>1314</v>
      </c>
      <c r="J342" s="30">
        <v>43278</v>
      </c>
      <c r="K342" s="30">
        <v>43888</v>
      </c>
      <c r="L342" s="31">
        <f t="shared" si="143"/>
        <v>82.795867701166785</v>
      </c>
      <c r="M342" s="20" t="s">
        <v>855</v>
      </c>
      <c r="N342" s="20" t="s">
        <v>228</v>
      </c>
      <c r="O342" s="20" t="s">
        <v>228</v>
      </c>
      <c r="P342" s="32" t="s">
        <v>850</v>
      </c>
      <c r="Q342" s="20" t="s">
        <v>40</v>
      </c>
      <c r="R342" s="2">
        <f t="shared" si="144"/>
        <v>774090.99</v>
      </c>
      <c r="S342" s="2">
        <v>624236.93999999994</v>
      </c>
      <c r="T342" s="2">
        <v>149854.04999999999</v>
      </c>
      <c r="U342" s="2">
        <f t="shared" si="149"/>
        <v>142149.35</v>
      </c>
      <c r="V342" s="2">
        <v>105798.22</v>
      </c>
      <c r="W342" s="2">
        <v>36351.129999999997</v>
      </c>
      <c r="X342" s="2">
        <f t="shared" si="153"/>
        <v>0</v>
      </c>
      <c r="Y342" s="2"/>
      <c r="Z342" s="2"/>
      <c r="AA342" s="2">
        <f t="shared" si="146"/>
        <v>18698.82</v>
      </c>
      <c r="AB342" s="2">
        <v>14898.71</v>
      </c>
      <c r="AC342" s="2">
        <v>3800.11</v>
      </c>
      <c r="AD342" s="2">
        <f t="shared" si="147"/>
        <v>934939.15999999992</v>
      </c>
      <c r="AE342" s="2">
        <v>0</v>
      </c>
      <c r="AF342" s="2">
        <f t="shared" si="148"/>
        <v>934939.15999999992</v>
      </c>
      <c r="AG342" s="39" t="s">
        <v>628</v>
      </c>
      <c r="AH342" s="34" t="s">
        <v>1315</v>
      </c>
      <c r="AI342" s="35">
        <f>290168.64+158796.65+191537.98+13320.11+41319.41+35445.84</f>
        <v>730588.63</v>
      </c>
      <c r="AJ342" s="36">
        <f>9460.82+5699.03+7815.58+13530.31+28217.32+52704.62+2540.21+7879.82+6718.82</f>
        <v>134566.53</v>
      </c>
      <c r="AK342" s="28">
        <f t="shared" si="150"/>
        <v>43502.359999999986</v>
      </c>
      <c r="AL342" s="28">
        <f t="shared" si="151"/>
        <v>7582.820000000007</v>
      </c>
      <c r="AM342" s="29">
        <f t="shared" si="152"/>
        <v>0.94380200704829287</v>
      </c>
    </row>
    <row r="343" spans="1:39" ht="192" customHeight="1" x14ac:dyDescent="0.25">
      <c r="A343" s="10">
        <v>340</v>
      </c>
      <c r="B343" s="37">
        <v>111787</v>
      </c>
      <c r="C343" s="37">
        <v>169</v>
      </c>
      <c r="D343" s="20" t="s">
        <v>254</v>
      </c>
      <c r="E343" s="14" t="s">
        <v>1005</v>
      </c>
      <c r="F343" s="15" t="s">
        <v>1316</v>
      </c>
      <c r="G343" s="15" t="s">
        <v>1317</v>
      </c>
      <c r="H343" s="20" t="s">
        <v>132</v>
      </c>
      <c r="I343" s="112" t="s">
        <v>1318</v>
      </c>
      <c r="J343" s="30">
        <v>43278</v>
      </c>
      <c r="K343" s="30">
        <v>43765</v>
      </c>
      <c r="L343" s="31">
        <f t="shared" si="143"/>
        <v>82.304186085847633</v>
      </c>
      <c r="M343" s="20" t="s">
        <v>855</v>
      </c>
      <c r="N343" s="20" t="s">
        <v>228</v>
      </c>
      <c r="O343" s="20" t="s">
        <v>228</v>
      </c>
      <c r="P343" s="32" t="s">
        <v>850</v>
      </c>
      <c r="Q343" s="20" t="s">
        <v>40</v>
      </c>
      <c r="R343" s="2">
        <f t="shared" si="144"/>
        <v>822921.16999999993</v>
      </c>
      <c r="S343" s="2">
        <v>663614.22</v>
      </c>
      <c r="T343" s="2">
        <v>159306.95000000001</v>
      </c>
      <c r="U343" s="2">
        <f t="shared" si="149"/>
        <v>156935.12</v>
      </c>
      <c r="V343" s="2">
        <v>117108.4</v>
      </c>
      <c r="W343" s="2">
        <v>39826.720000000001</v>
      </c>
      <c r="X343" s="2">
        <f t="shared" si="153"/>
        <v>0</v>
      </c>
      <c r="Y343" s="2"/>
      <c r="Z343" s="2"/>
      <c r="AA343" s="2">
        <f t="shared" si="146"/>
        <v>19997.07</v>
      </c>
      <c r="AB343" s="2">
        <v>15933.11</v>
      </c>
      <c r="AC343" s="2">
        <v>4063.96</v>
      </c>
      <c r="AD343" s="2">
        <f t="shared" si="147"/>
        <v>999853.35999999987</v>
      </c>
      <c r="AE343" s="2"/>
      <c r="AF343" s="2">
        <f t="shared" si="148"/>
        <v>999853.35999999987</v>
      </c>
      <c r="AG343" s="24" t="s">
        <v>41</v>
      </c>
      <c r="AH343" s="34"/>
      <c r="AI343" s="35">
        <f>632729.75+99985.33+30378.24</f>
        <v>763093.32</v>
      </c>
      <c r="AJ343" s="36">
        <f>120664.73+24860.93</f>
        <v>145525.66</v>
      </c>
      <c r="AK343" s="28">
        <f t="shared" si="150"/>
        <v>59827.849999999977</v>
      </c>
      <c r="AL343" s="28">
        <f t="shared" si="151"/>
        <v>11409.459999999992</v>
      </c>
      <c r="AM343" s="29">
        <f t="shared" si="152"/>
        <v>0.92729820038534194</v>
      </c>
    </row>
    <row r="344" spans="1:39" ht="192" customHeight="1" x14ac:dyDescent="0.25">
      <c r="A344" s="10">
        <v>341</v>
      </c>
      <c r="B344" s="37">
        <v>113139</v>
      </c>
      <c r="C344" s="37">
        <v>387</v>
      </c>
      <c r="D344" s="20" t="s">
        <v>1289</v>
      </c>
      <c r="E344" s="14" t="s">
        <v>1290</v>
      </c>
      <c r="F344" s="15" t="s">
        <v>1319</v>
      </c>
      <c r="G344" s="15" t="s">
        <v>1320</v>
      </c>
      <c r="H344" s="20" t="s">
        <v>1321</v>
      </c>
      <c r="I344" s="112" t="s">
        <v>1322</v>
      </c>
      <c r="J344" s="30">
        <v>43273</v>
      </c>
      <c r="K344" s="30">
        <v>43821</v>
      </c>
      <c r="L344" s="31">
        <f t="shared" si="143"/>
        <v>82.304185877391092</v>
      </c>
      <c r="M344" s="20" t="s">
        <v>855</v>
      </c>
      <c r="N344" s="20" t="s">
        <v>228</v>
      </c>
      <c r="O344" s="20" t="s">
        <v>228</v>
      </c>
      <c r="P344" s="32" t="s">
        <v>850</v>
      </c>
      <c r="Q344" s="20" t="s">
        <v>40</v>
      </c>
      <c r="R344" s="2">
        <f t="shared" si="144"/>
        <v>3201407.49</v>
      </c>
      <c r="S344" s="2">
        <v>2581656.23</v>
      </c>
      <c r="T344" s="2">
        <v>619751.26</v>
      </c>
      <c r="U344" s="2">
        <f t="shared" si="149"/>
        <v>610524.19999999995</v>
      </c>
      <c r="V344" s="2">
        <v>455586.38</v>
      </c>
      <c r="W344" s="2">
        <v>154937.82</v>
      </c>
      <c r="X344" s="2">
        <f t="shared" si="153"/>
        <v>0</v>
      </c>
      <c r="Y344" s="2">
        <v>0</v>
      </c>
      <c r="Z344" s="2">
        <v>0</v>
      </c>
      <c r="AA344" s="2">
        <f t="shared" si="146"/>
        <v>77794.52</v>
      </c>
      <c r="AB344" s="2">
        <v>61984.53</v>
      </c>
      <c r="AC344" s="2">
        <v>15809.99</v>
      </c>
      <c r="AD344" s="2">
        <f t="shared" si="147"/>
        <v>3889726.2100000004</v>
      </c>
      <c r="AE344" s="2">
        <v>0</v>
      </c>
      <c r="AF344" s="2">
        <f t="shared" si="148"/>
        <v>3889726.2100000004</v>
      </c>
      <c r="AG344" s="39" t="s">
        <v>41</v>
      </c>
      <c r="AH344" s="148" t="s">
        <v>1323</v>
      </c>
      <c r="AI344" s="35">
        <f>2214779.71+463121.02-10623.72+221453.03</f>
        <v>2888730.0399999996</v>
      </c>
      <c r="AJ344" s="36">
        <f>422369.41+55414.99+30878.49+42232.21</f>
        <v>550895.1</v>
      </c>
      <c r="AK344" s="28">
        <f t="shared" si="150"/>
        <v>312677.45000000065</v>
      </c>
      <c r="AL344" s="28">
        <f t="shared" si="151"/>
        <v>59629.099999999977</v>
      </c>
      <c r="AM344" s="29">
        <f t="shared" si="152"/>
        <v>0.90233125555659877</v>
      </c>
    </row>
    <row r="345" spans="1:39" ht="192" customHeight="1" x14ac:dyDescent="0.25">
      <c r="A345" s="10">
        <v>342</v>
      </c>
      <c r="B345" s="37">
        <v>111603</v>
      </c>
      <c r="C345" s="37">
        <v>195</v>
      </c>
      <c r="D345" s="20" t="s">
        <v>254</v>
      </c>
      <c r="E345" s="14" t="s">
        <v>1005</v>
      </c>
      <c r="F345" s="146" t="s">
        <v>1324</v>
      </c>
      <c r="G345" s="146" t="s">
        <v>1325</v>
      </c>
      <c r="H345" s="20" t="s">
        <v>1326</v>
      </c>
      <c r="I345" s="112" t="s">
        <v>1863</v>
      </c>
      <c r="J345" s="30">
        <v>43283</v>
      </c>
      <c r="K345" s="30">
        <v>43832</v>
      </c>
      <c r="L345" s="31">
        <f t="shared" si="143"/>
        <v>82.551093571828332</v>
      </c>
      <c r="M345" s="20" t="s">
        <v>855</v>
      </c>
      <c r="N345" s="20" t="s">
        <v>228</v>
      </c>
      <c r="O345" s="20" t="s">
        <v>228</v>
      </c>
      <c r="P345" s="32" t="s">
        <v>850</v>
      </c>
      <c r="Q345" s="20" t="s">
        <v>40</v>
      </c>
      <c r="R345" s="2">
        <f t="shared" si="144"/>
        <v>821971.83000000007</v>
      </c>
      <c r="S345" s="2">
        <v>662848.68000000005</v>
      </c>
      <c r="T345" s="2">
        <v>159123.15</v>
      </c>
      <c r="U345" s="2">
        <f t="shared" si="149"/>
        <v>153826.60999999999</v>
      </c>
      <c r="V345" s="2">
        <v>114640.81</v>
      </c>
      <c r="W345" s="2">
        <v>39185.800000000003</v>
      </c>
      <c r="X345" s="2">
        <f t="shared" si="153"/>
        <v>0</v>
      </c>
      <c r="Y345" s="2">
        <v>0</v>
      </c>
      <c r="Z345" s="2">
        <v>0</v>
      </c>
      <c r="AA345" s="2">
        <f t="shared" si="146"/>
        <v>19914.39</v>
      </c>
      <c r="AB345" s="2">
        <v>15867.18</v>
      </c>
      <c r="AC345" s="2">
        <v>4047.21</v>
      </c>
      <c r="AD345" s="2">
        <f t="shared" si="147"/>
        <v>995712.83000000007</v>
      </c>
      <c r="AE345" s="2">
        <v>0</v>
      </c>
      <c r="AF345" s="2">
        <f t="shared" si="148"/>
        <v>995712.83000000007</v>
      </c>
      <c r="AG345" s="39" t="s">
        <v>41</v>
      </c>
      <c r="AH345" s="34" t="s">
        <v>1327</v>
      </c>
      <c r="AI345" s="35">
        <f>466245.36+6853.06+84110.02+169507.04+37084.55</f>
        <v>763800.03</v>
      </c>
      <c r="AJ345" s="36">
        <f>84901.98+1306.91+50214.53+6975.06</f>
        <v>143398.47999999998</v>
      </c>
      <c r="AK345" s="28">
        <f t="shared" si="150"/>
        <v>58171.800000000047</v>
      </c>
      <c r="AL345" s="28">
        <f t="shared" si="151"/>
        <v>10428.130000000005</v>
      </c>
      <c r="AM345" s="29">
        <f t="shared" si="152"/>
        <v>0.92922896153265977</v>
      </c>
    </row>
    <row r="346" spans="1:39" ht="192" customHeight="1" x14ac:dyDescent="0.25">
      <c r="A346" s="10">
        <v>343</v>
      </c>
      <c r="B346" s="37">
        <v>113188</v>
      </c>
      <c r="C346" s="37">
        <v>246</v>
      </c>
      <c r="D346" s="20" t="s">
        <v>254</v>
      </c>
      <c r="E346" s="14" t="s">
        <v>1005</v>
      </c>
      <c r="F346" s="146" t="s">
        <v>1328</v>
      </c>
      <c r="G346" s="15" t="s">
        <v>1329</v>
      </c>
      <c r="H346" s="20" t="s">
        <v>132</v>
      </c>
      <c r="I346" s="112" t="s">
        <v>1330</v>
      </c>
      <c r="J346" s="30">
        <v>43284</v>
      </c>
      <c r="K346" s="30">
        <v>43711</v>
      </c>
      <c r="L346" s="31">
        <f t="shared" si="143"/>
        <v>82.304188575115816</v>
      </c>
      <c r="M346" s="20" t="s">
        <v>855</v>
      </c>
      <c r="N346" s="20" t="s">
        <v>228</v>
      </c>
      <c r="O346" s="20" t="s">
        <v>228</v>
      </c>
      <c r="P346" s="32" t="s">
        <v>850</v>
      </c>
      <c r="Q346" s="20" t="s">
        <v>40</v>
      </c>
      <c r="R346" s="2">
        <f t="shared" si="144"/>
        <v>745468.83000000007</v>
      </c>
      <c r="S346" s="2">
        <v>601155.66</v>
      </c>
      <c r="T346" s="2">
        <v>144313.17000000001</v>
      </c>
      <c r="U346" s="2">
        <f t="shared" si="149"/>
        <v>142164.54</v>
      </c>
      <c r="V346" s="2">
        <v>106086.28</v>
      </c>
      <c r="W346" s="2">
        <v>36078.26</v>
      </c>
      <c r="X346" s="2">
        <f t="shared" si="153"/>
        <v>0</v>
      </c>
      <c r="Y346" s="2">
        <v>0</v>
      </c>
      <c r="Z346" s="2">
        <v>0</v>
      </c>
      <c r="AA346" s="2">
        <f t="shared" si="146"/>
        <v>18114.98</v>
      </c>
      <c r="AB346" s="2">
        <v>14433.5</v>
      </c>
      <c r="AC346" s="2">
        <v>3681.48</v>
      </c>
      <c r="AD346" s="2">
        <f t="shared" si="147"/>
        <v>905748.35000000009</v>
      </c>
      <c r="AE346" s="2">
        <v>0</v>
      </c>
      <c r="AF346" s="2">
        <f t="shared" si="148"/>
        <v>905748.35000000009</v>
      </c>
      <c r="AG346" s="24" t="s">
        <v>41</v>
      </c>
      <c r="AH346" s="34" t="s">
        <v>35</v>
      </c>
      <c r="AI346" s="35">
        <f>664924.33+44153.06</f>
        <v>709077.3899999999</v>
      </c>
      <c r="AJ346" s="36">
        <f>126804.37+8420.22</f>
        <v>135224.59</v>
      </c>
      <c r="AK346" s="28">
        <f t="shared" si="150"/>
        <v>36391.440000000177</v>
      </c>
      <c r="AL346" s="28">
        <f t="shared" si="151"/>
        <v>6939.9500000000116</v>
      </c>
      <c r="AM346" s="29">
        <f t="shared" si="152"/>
        <v>0.95118315007214971</v>
      </c>
    </row>
    <row r="347" spans="1:39" ht="192" customHeight="1" x14ac:dyDescent="0.25">
      <c r="A347" s="10">
        <v>344</v>
      </c>
      <c r="B347" s="37">
        <v>126480</v>
      </c>
      <c r="C347" s="37">
        <v>495</v>
      </c>
      <c r="D347" s="15" t="s">
        <v>425</v>
      </c>
      <c r="E347" s="14" t="s">
        <v>426</v>
      </c>
      <c r="F347" s="15" t="s">
        <v>1331</v>
      </c>
      <c r="G347" s="15" t="s">
        <v>1332</v>
      </c>
      <c r="H347" s="20" t="s">
        <v>35</v>
      </c>
      <c r="I347" s="121" t="s">
        <v>1333</v>
      </c>
      <c r="J347" s="30">
        <v>43553</v>
      </c>
      <c r="K347" s="30">
        <v>43980</v>
      </c>
      <c r="L347" s="31">
        <f t="shared" si="143"/>
        <v>83.300002424250337</v>
      </c>
      <c r="M347" s="20">
        <v>6</v>
      </c>
      <c r="N347" s="12" t="s">
        <v>338</v>
      </c>
      <c r="O347" s="12" t="s">
        <v>338</v>
      </c>
      <c r="P347" s="20" t="s">
        <v>850</v>
      </c>
      <c r="Q347" s="20" t="s">
        <v>40</v>
      </c>
      <c r="R347" s="35">
        <f t="shared" si="144"/>
        <v>876896.26</v>
      </c>
      <c r="S347" s="89">
        <v>876896.26</v>
      </c>
      <c r="T347" s="38">
        <v>0</v>
      </c>
      <c r="U347" s="35">
        <f t="shared" si="149"/>
        <v>154746.38</v>
      </c>
      <c r="V347" s="89">
        <v>154746.38</v>
      </c>
      <c r="W347" s="38">
        <v>0</v>
      </c>
      <c r="X347" s="35">
        <f t="shared" si="153"/>
        <v>0</v>
      </c>
      <c r="Y347" s="38">
        <v>0</v>
      </c>
      <c r="Z347" s="38">
        <v>0</v>
      </c>
      <c r="AA347" s="2">
        <f t="shared" si="146"/>
        <v>21053.919999999998</v>
      </c>
      <c r="AB347" s="89">
        <v>21053.919999999998</v>
      </c>
      <c r="AC347" s="38">
        <v>0</v>
      </c>
      <c r="AD347" s="2">
        <f t="shared" si="147"/>
        <v>1052696.56</v>
      </c>
      <c r="AE347" s="42">
        <v>10640</v>
      </c>
      <c r="AF347" s="2">
        <f t="shared" si="148"/>
        <v>1063336.56</v>
      </c>
      <c r="AG347" s="39" t="s">
        <v>69</v>
      </c>
      <c r="AH347" s="39" t="s">
        <v>1850</v>
      </c>
      <c r="AI347" s="35">
        <f>166761.96+158245.54+90830.07+108290</f>
        <v>524127.57</v>
      </c>
      <c r="AJ347" s="36">
        <f>10899.16+43954.51+19110</f>
        <v>73963.67</v>
      </c>
      <c r="AK347" s="28">
        <f t="shared" si="150"/>
        <v>352768.69</v>
      </c>
      <c r="AL347" s="28">
        <f t="shared" si="151"/>
        <v>80782.710000000006</v>
      </c>
      <c r="AM347" s="29">
        <f t="shared" si="152"/>
        <v>0.59770761252876137</v>
      </c>
    </row>
    <row r="348" spans="1:39" ht="192" customHeight="1" x14ac:dyDescent="0.25">
      <c r="A348" s="10">
        <v>345</v>
      </c>
      <c r="B348" s="37">
        <v>109966</v>
      </c>
      <c r="C348" s="37">
        <v>368</v>
      </c>
      <c r="D348" s="20" t="s">
        <v>254</v>
      </c>
      <c r="E348" s="14" t="s">
        <v>1005</v>
      </c>
      <c r="F348" s="54" t="s">
        <v>1334</v>
      </c>
      <c r="G348" s="54" t="s">
        <v>1335</v>
      </c>
      <c r="H348" s="20" t="s">
        <v>132</v>
      </c>
      <c r="I348" s="112" t="s">
        <v>1336</v>
      </c>
      <c r="J348" s="30">
        <v>43284</v>
      </c>
      <c r="K348" s="30">
        <v>43772</v>
      </c>
      <c r="L348" s="31">
        <f t="shared" si="143"/>
        <v>82.304190385931335</v>
      </c>
      <c r="M348" s="20" t="s">
        <v>855</v>
      </c>
      <c r="N348" s="20" t="s">
        <v>641</v>
      </c>
      <c r="O348" s="20" t="s">
        <v>1337</v>
      </c>
      <c r="P348" s="32" t="s">
        <v>850</v>
      </c>
      <c r="Q348" s="20" t="s">
        <v>40</v>
      </c>
      <c r="R348" s="2">
        <f t="shared" si="144"/>
        <v>820713.65</v>
      </c>
      <c r="S348" s="2">
        <v>661834.04</v>
      </c>
      <c r="T348" s="2">
        <v>158879.60999999999</v>
      </c>
      <c r="U348" s="2">
        <f t="shared" si="149"/>
        <v>156514.07999999999</v>
      </c>
      <c r="V348" s="2">
        <v>116794.2</v>
      </c>
      <c r="W348" s="2">
        <v>39719.879999999997</v>
      </c>
      <c r="X348" s="2">
        <f t="shared" si="153"/>
        <v>0</v>
      </c>
      <c r="Y348" s="2">
        <v>0</v>
      </c>
      <c r="Z348" s="2">
        <v>0</v>
      </c>
      <c r="AA348" s="2">
        <f t="shared" si="146"/>
        <v>19943.43</v>
      </c>
      <c r="AB348" s="2">
        <v>15890.39</v>
      </c>
      <c r="AC348" s="2">
        <v>4053.04</v>
      </c>
      <c r="AD348" s="2">
        <f t="shared" si="147"/>
        <v>997171.16</v>
      </c>
      <c r="AE348" s="2">
        <v>0</v>
      </c>
      <c r="AF348" s="2">
        <f t="shared" si="148"/>
        <v>997171.16</v>
      </c>
      <c r="AG348" s="24" t="s">
        <v>41</v>
      </c>
      <c r="AH348" s="34" t="s">
        <v>35</v>
      </c>
      <c r="AI348" s="35">
        <f>451378.67-10182.02+208239.85+24003.15</f>
        <v>673439.65</v>
      </c>
      <c r="AJ348" s="36">
        <f>16734.59+7125.74+9148.44+12691.77+4258.59+17107.67+10182.02+39712.4+11467</f>
        <v>128428.22</v>
      </c>
      <c r="AK348" s="28">
        <f t="shared" si="150"/>
        <v>147274</v>
      </c>
      <c r="AL348" s="28">
        <f t="shared" si="151"/>
        <v>28085.859999999986</v>
      </c>
      <c r="AM348" s="29">
        <f t="shared" si="152"/>
        <v>0.82055373393631259</v>
      </c>
    </row>
    <row r="349" spans="1:39" ht="192" customHeight="1" x14ac:dyDescent="0.25">
      <c r="A349" s="10">
        <v>346</v>
      </c>
      <c r="B349" s="37">
        <v>112133</v>
      </c>
      <c r="C349" s="37">
        <v>149</v>
      </c>
      <c r="D349" s="20" t="s">
        <v>254</v>
      </c>
      <c r="E349" s="14" t="s">
        <v>1005</v>
      </c>
      <c r="F349" s="146" t="s">
        <v>1338</v>
      </c>
      <c r="G349" s="15" t="s">
        <v>1339</v>
      </c>
      <c r="H349" s="20" t="s">
        <v>1340</v>
      </c>
      <c r="I349" s="149" t="s">
        <v>1341</v>
      </c>
      <c r="J349" s="30">
        <v>43286</v>
      </c>
      <c r="K349" s="30">
        <v>43774</v>
      </c>
      <c r="L349" s="31">
        <f t="shared" si="143"/>
        <v>82.304192989201169</v>
      </c>
      <c r="M349" s="20" t="s">
        <v>855</v>
      </c>
      <c r="N349" s="20" t="s">
        <v>1342</v>
      </c>
      <c r="O349" s="20" t="s">
        <v>582</v>
      </c>
      <c r="P349" s="32" t="s">
        <v>850</v>
      </c>
      <c r="Q349" s="20" t="s">
        <v>40</v>
      </c>
      <c r="R349" s="2">
        <v>615782.40000000002</v>
      </c>
      <c r="S349" s="2">
        <v>496574.82</v>
      </c>
      <c r="T349" s="2">
        <v>119207.58</v>
      </c>
      <c r="U349" s="2">
        <f t="shared" si="149"/>
        <v>117432.69</v>
      </c>
      <c r="V349" s="2">
        <v>87630.81</v>
      </c>
      <c r="W349" s="2">
        <v>29801.88</v>
      </c>
      <c r="X349" s="2">
        <f t="shared" si="153"/>
        <v>0</v>
      </c>
      <c r="Y349" s="2"/>
      <c r="Z349" s="2"/>
      <c r="AA349" s="2">
        <f t="shared" si="146"/>
        <v>14963.56</v>
      </c>
      <c r="AB349" s="2">
        <v>11922.59</v>
      </c>
      <c r="AC349" s="2">
        <v>3040.97</v>
      </c>
      <c r="AD349" s="2">
        <f t="shared" si="147"/>
        <v>748178.65000000014</v>
      </c>
      <c r="AE349" s="2"/>
      <c r="AF349" s="2">
        <f t="shared" si="148"/>
        <v>748178.65000000014</v>
      </c>
      <c r="AG349" s="24" t="s">
        <v>41</v>
      </c>
      <c r="AH349" s="34" t="s">
        <v>35</v>
      </c>
      <c r="AI349" s="35">
        <f>439950.77+42401.19+33880.06+36167.03</f>
        <v>552399.05000000005</v>
      </c>
      <c r="AJ349" s="36">
        <f>71119.8+19653.29+7674.97+6897.24</f>
        <v>105345.3</v>
      </c>
      <c r="AK349" s="28">
        <f t="shared" si="150"/>
        <v>63383.349999999977</v>
      </c>
      <c r="AL349" s="28">
        <f t="shared" si="151"/>
        <v>12087.39</v>
      </c>
      <c r="AM349" s="29">
        <f t="shared" si="152"/>
        <v>0.89706859111270476</v>
      </c>
    </row>
    <row r="350" spans="1:39" ht="192" customHeight="1" x14ac:dyDescent="0.25">
      <c r="A350" s="10">
        <v>347</v>
      </c>
      <c r="B350" s="37">
        <v>112698</v>
      </c>
      <c r="C350" s="37">
        <v>231</v>
      </c>
      <c r="D350" s="20" t="s">
        <v>254</v>
      </c>
      <c r="E350" s="14" t="s">
        <v>1005</v>
      </c>
      <c r="F350" s="146" t="s">
        <v>1343</v>
      </c>
      <c r="G350" s="15" t="s">
        <v>1344</v>
      </c>
      <c r="H350" s="20" t="s">
        <v>1345</v>
      </c>
      <c r="I350" s="149" t="s">
        <v>1346</v>
      </c>
      <c r="J350" s="30">
        <v>43273</v>
      </c>
      <c r="K350" s="30">
        <v>43730</v>
      </c>
      <c r="L350" s="31">
        <f t="shared" si="143"/>
        <v>82.525665803949437</v>
      </c>
      <c r="M350" s="20" t="s">
        <v>855</v>
      </c>
      <c r="N350" s="20" t="s">
        <v>228</v>
      </c>
      <c r="O350" s="20" t="s">
        <v>228</v>
      </c>
      <c r="P350" s="32" t="s">
        <v>850</v>
      </c>
      <c r="Q350" s="20" t="s">
        <v>40</v>
      </c>
      <c r="R350" s="2">
        <f t="shared" ref="R350:R413" si="154">S350+T350</f>
        <v>814877.24</v>
      </c>
      <c r="S350" s="2">
        <v>657127.51</v>
      </c>
      <c r="T350" s="2">
        <v>157749.73000000001</v>
      </c>
      <c r="U350" s="2">
        <f t="shared" si="149"/>
        <v>134548.1</v>
      </c>
      <c r="V350" s="2">
        <v>100402.7</v>
      </c>
      <c r="W350" s="2">
        <v>34145.4</v>
      </c>
      <c r="X350" s="2">
        <f t="shared" si="153"/>
        <v>20853.009999999998</v>
      </c>
      <c r="Y350" s="2">
        <v>15560.97</v>
      </c>
      <c r="Z350" s="2">
        <v>5292.04</v>
      </c>
      <c r="AA350" s="2">
        <f t="shared" si="146"/>
        <v>17144.45</v>
      </c>
      <c r="AB350" s="2">
        <v>13660.23</v>
      </c>
      <c r="AC350" s="2">
        <v>3484.22</v>
      </c>
      <c r="AD350" s="2">
        <f t="shared" si="147"/>
        <v>987422.79999999993</v>
      </c>
      <c r="AE350" s="2"/>
      <c r="AF350" s="2">
        <f t="shared" si="148"/>
        <v>987422.79999999993</v>
      </c>
      <c r="AG350" s="24" t="s">
        <v>41</v>
      </c>
      <c r="AH350" s="34" t="s">
        <v>1347</v>
      </c>
      <c r="AI350" s="35">
        <f>85822.98+78186.5+192062.93</f>
        <v>356072.41</v>
      </c>
      <c r="AJ350" s="36">
        <f>14910.56+48890.63</f>
        <v>63801.189999999995</v>
      </c>
      <c r="AK350" s="28">
        <f t="shared" si="150"/>
        <v>458804.83</v>
      </c>
      <c r="AL350" s="28">
        <f t="shared" si="151"/>
        <v>70746.91</v>
      </c>
      <c r="AM350" s="29">
        <f t="shared" si="152"/>
        <v>0.43696448068668597</v>
      </c>
    </row>
    <row r="351" spans="1:39" ht="192" customHeight="1" x14ac:dyDescent="0.25">
      <c r="A351" s="10">
        <v>348</v>
      </c>
      <c r="B351" s="37">
        <v>112427</v>
      </c>
      <c r="C351" s="37">
        <v>367</v>
      </c>
      <c r="D351" s="20" t="s">
        <v>254</v>
      </c>
      <c r="E351" s="14" t="s">
        <v>1005</v>
      </c>
      <c r="F351" s="146" t="s">
        <v>1348</v>
      </c>
      <c r="G351" s="15" t="s">
        <v>1349</v>
      </c>
      <c r="H351" s="20" t="s">
        <v>1350</v>
      </c>
      <c r="I351" s="112" t="s">
        <v>1351</v>
      </c>
      <c r="J351" s="30">
        <v>43290</v>
      </c>
      <c r="K351" s="30">
        <v>43778</v>
      </c>
      <c r="L351" s="31">
        <f t="shared" si="143"/>
        <v>82.304189883139372</v>
      </c>
      <c r="M351" s="20" t="s">
        <v>855</v>
      </c>
      <c r="N351" s="20" t="s">
        <v>228</v>
      </c>
      <c r="O351" s="20" t="s">
        <v>228</v>
      </c>
      <c r="P351" s="32" t="s">
        <v>850</v>
      </c>
      <c r="Q351" s="20" t="s">
        <v>40</v>
      </c>
      <c r="R351" s="2">
        <f t="shared" si="154"/>
        <v>785233.14</v>
      </c>
      <c r="S351" s="2">
        <v>633222.11</v>
      </c>
      <c r="T351" s="2">
        <v>152011.03</v>
      </c>
      <c r="U351" s="2">
        <f t="shared" si="149"/>
        <v>149747.75</v>
      </c>
      <c r="V351" s="2">
        <v>111745.03</v>
      </c>
      <c r="W351" s="2">
        <v>38002.720000000001</v>
      </c>
      <c r="X351" s="2">
        <f t="shared" si="153"/>
        <v>0</v>
      </c>
      <c r="Y351" s="2">
        <v>0</v>
      </c>
      <c r="Z351" s="2">
        <v>0</v>
      </c>
      <c r="AA351" s="2">
        <f t="shared" si="146"/>
        <v>19081.28</v>
      </c>
      <c r="AB351" s="2">
        <v>15203.43</v>
      </c>
      <c r="AC351" s="2">
        <v>3877.85</v>
      </c>
      <c r="AD351" s="2">
        <f t="shared" si="147"/>
        <v>954062.17</v>
      </c>
      <c r="AE351" s="2">
        <v>0</v>
      </c>
      <c r="AF351" s="2">
        <f t="shared" si="148"/>
        <v>954062.17</v>
      </c>
      <c r="AG351" s="24" t="s">
        <v>41</v>
      </c>
      <c r="AH351" s="34" t="s">
        <v>35</v>
      </c>
      <c r="AI351" s="35">
        <f>412777.32-11185.38+153298.14+162053.15</f>
        <v>716943.2300000001</v>
      </c>
      <c r="AJ351" s="36">
        <f>16617.93+10285.59+15452.81+18167.9+11690.43+33605.62+30904.31</f>
        <v>136724.59</v>
      </c>
      <c r="AK351" s="28">
        <f t="shared" si="150"/>
        <v>68289.909999999916</v>
      </c>
      <c r="AL351" s="28">
        <f t="shared" si="151"/>
        <v>13023.160000000003</v>
      </c>
      <c r="AM351" s="29">
        <f t="shared" si="152"/>
        <v>0.91303231292555997</v>
      </c>
    </row>
    <row r="352" spans="1:39" ht="192" customHeight="1" x14ac:dyDescent="0.25">
      <c r="A352" s="10">
        <v>349</v>
      </c>
      <c r="B352" s="37">
        <v>112409</v>
      </c>
      <c r="C352" s="37">
        <v>150</v>
      </c>
      <c r="D352" s="20" t="s">
        <v>254</v>
      </c>
      <c r="E352" s="14" t="s">
        <v>1005</v>
      </c>
      <c r="F352" s="146" t="s">
        <v>1352</v>
      </c>
      <c r="G352" s="15" t="s">
        <v>1353</v>
      </c>
      <c r="H352" s="20" t="s">
        <v>173</v>
      </c>
      <c r="I352" s="112" t="s">
        <v>1354</v>
      </c>
      <c r="J352" s="30">
        <v>43291</v>
      </c>
      <c r="K352" s="30">
        <v>43779</v>
      </c>
      <c r="L352" s="31">
        <f t="shared" si="143"/>
        <v>82.304188969946821</v>
      </c>
      <c r="M352" s="20" t="s">
        <v>855</v>
      </c>
      <c r="N352" s="20" t="s">
        <v>665</v>
      </c>
      <c r="O352" s="20" t="s">
        <v>661</v>
      </c>
      <c r="P352" s="32" t="s">
        <v>850</v>
      </c>
      <c r="Q352" s="20" t="s">
        <v>40</v>
      </c>
      <c r="R352" s="2">
        <f t="shared" si="154"/>
        <v>780523.20000000007</v>
      </c>
      <c r="S352" s="2">
        <v>629423.91</v>
      </c>
      <c r="T352" s="2">
        <v>151099.29</v>
      </c>
      <c r="U352" s="2">
        <f t="shared" si="149"/>
        <v>148849.57</v>
      </c>
      <c r="V352" s="2">
        <v>111074.8</v>
      </c>
      <c r="W352" s="2">
        <v>37774.769999999997</v>
      </c>
      <c r="X352" s="2">
        <f t="shared" si="153"/>
        <v>0</v>
      </c>
      <c r="Y352" s="2"/>
      <c r="Z352" s="2"/>
      <c r="AA352" s="2">
        <f t="shared" si="146"/>
        <v>18966.810000000001</v>
      </c>
      <c r="AB352" s="2">
        <v>15112.25</v>
      </c>
      <c r="AC352" s="2">
        <v>3854.56</v>
      </c>
      <c r="AD352" s="2">
        <f t="shared" si="147"/>
        <v>948339.58000000007</v>
      </c>
      <c r="AE352" s="2">
        <v>0</v>
      </c>
      <c r="AF352" s="2">
        <f t="shared" si="148"/>
        <v>948339.58000000007</v>
      </c>
      <c r="AG352" s="24" t="s">
        <v>41</v>
      </c>
      <c r="AH352" s="34" t="s">
        <v>35</v>
      </c>
      <c r="AI352" s="35">
        <f>479629.25+84387.23+5356.46</f>
        <v>569372.93999999994</v>
      </c>
      <c r="AJ352" s="36">
        <f>73382.49+16093.07+19106.61</f>
        <v>108582.17</v>
      </c>
      <c r="AK352" s="28">
        <f t="shared" si="150"/>
        <v>211150.26000000013</v>
      </c>
      <c r="AL352" s="28">
        <f t="shared" si="151"/>
        <v>40267.400000000009</v>
      </c>
      <c r="AM352" s="29">
        <f t="shared" si="152"/>
        <v>0.72947599763850701</v>
      </c>
    </row>
    <row r="353" spans="1:39" ht="192" customHeight="1" x14ac:dyDescent="0.25">
      <c r="A353" s="10">
        <v>350</v>
      </c>
      <c r="B353" s="37">
        <v>112861</v>
      </c>
      <c r="C353" s="37">
        <v>324</v>
      </c>
      <c r="D353" s="20" t="s">
        <v>254</v>
      </c>
      <c r="E353" s="14" t="s">
        <v>1005</v>
      </c>
      <c r="F353" s="146" t="s">
        <v>1355</v>
      </c>
      <c r="G353" s="15" t="s">
        <v>1356</v>
      </c>
      <c r="H353" s="20" t="s">
        <v>173</v>
      </c>
      <c r="I353" s="55" t="s">
        <v>1357</v>
      </c>
      <c r="J353" s="30">
        <v>43290</v>
      </c>
      <c r="K353" s="30">
        <v>43778</v>
      </c>
      <c r="L353" s="31">
        <f t="shared" ref="L353:L416" si="155">R353/AD353*100</f>
        <v>82.304190691615503</v>
      </c>
      <c r="M353" s="20" t="s">
        <v>855</v>
      </c>
      <c r="N353" s="20" t="s">
        <v>229</v>
      </c>
      <c r="O353" s="20" t="s">
        <v>229</v>
      </c>
      <c r="P353" s="32" t="s">
        <v>850</v>
      </c>
      <c r="Q353" s="20" t="s">
        <v>40</v>
      </c>
      <c r="R353" s="2">
        <f t="shared" si="154"/>
        <v>649951.84000000008</v>
      </c>
      <c r="S353" s="2">
        <v>524129.52</v>
      </c>
      <c r="T353" s="2">
        <v>125822.32</v>
      </c>
      <c r="U353" s="2">
        <f t="shared" si="149"/>
        <v>123949</v>
      </c>
      <c r="V353" s="2">
        <v>92493.43</v>
      </c>
      <c r="W353" s="2">
        <v>31455.57</v>
      </c>
      <c r="X353" s="2">
        <f t="shared" si="153"/>
        <v>0</v>
      </c>
      <c r="Y353" s="2"/>
      <c r="Z353" s="2"/>
      <c r="AA353" s="2">
        <f t="shared" ref="AA353:AA416" si="156">AB353+AC353</f>
        <v>15793.869999999999</v>
      </c>
      <c r="AB353" s="2">
        <v>12584.14</v>
      </c>
      <c r="AC353" s="2">
        <v>3209.73</v>
      </c>
      <c r="AD353" s="2">
        <f t="shared" ref="AD353:AD416" si="157">R353+U353+X353+AA353</f>
        <v>789694.71000000008</v>
      </c>
      <c r="AE353" s="2">
        <v>0</v>
      </c>
      <c r="AF353" s="2">
        <f t="shared" ref="AF353:AF416" si="158">AD353+AE353</f>
        <v>789694.71000000008</v>
      </c>
      <c r="AG353" s="24" t="s">
        <v>41</v>
      </c>
      <c r="AH353" s="34" t="s">
        <v>1358</v>
      </c>
      <c r="AI353" s="35">
        <f>78969.47+33506.04+30781.72+5848.53+60387.9+38197.37+82803.77+168161.44-11081.22</f>
        <v>487575.02</v>
      </c>
      <c r="AJ353" s="36">
        <f>6389.76+5870.23+1115.34+11516.25+7284.43+15791.09+32069.22+12946.63</f>
        <v>92982.950000000012</v>
      </c>
      <c r="AK353" s="28">
        <f t="shared" si="150"/>
        <v>162376.82000000007</v>
      </c>
      <c r="AL353" s="28">
        <f t="shared" si="151"/>
        <v>30966.049999999988</v>
      </c>
      <c r="AM353" s="29">
        <f t="shared" si="152"/>
        <v>0.75017099728496794</v>
      </c>
    </row>
    <row r="354" spans="1:39" ht="192" customHeight="1" x14ac:dyDescent="0.25">
      <c r="A354" s="10">
        <v>351</v>
      </c>
      <c r="B354" s="37">
        <v>110709</v>
      </c>
      <c r="C354" s="37">
        <v>313</v>
      </c>
      <c r="D354" s="20" t="s">
        <v>254</v>
      </c>
      <c r="E354" s="14" t="s">
        <v>1005</v>
      </c>
      <c r="F354" s="146" t="s">
        <v>1359</v>
      </c>
      <c r="G354" s="15" t="s">
        <v>1360</v>
      </c>
      <c r="H354" s="20" t="s">
        <v>173</v>
      </c>
      <c r="I354" s="55" t="s">
        <v>1361</v>
      </c>
      <c r="J354" s="30">
        <v>43291</v>
      </c>
      <c r="K354" s="30">
        <v>43779</v>
      </c>
      <c r="L354" s="31">
        <f t="shared" si="155"/>
        <v>82.304183081659716</v>
      </c>
      <c r="M354" s="20" t="s">
        <v>855</v>
      </c>
      <c r="N354" s="20" t="s">
        <v>229</v>
      </c>
      <c r="O354" s="20" t="s">
        <v>229</v>
      </c>
      <c r="P354" s="32" t="s">
        <v>850</v>
      </c>
      <c r="Q354" s="20" t="s">
        <v>40</v>
      </c>
      <c r="R354" s="2">
        <f t="shared" si="154"/>
        <v>821857.62999999989</v>
      </c>
      <c r="S354" s="2">
        <v>662756.56999999995</v>
      </c>
      <c r="T354" s="2">
        <v>159101.06</v>
      </c>
      <c r="U354" s="2">
        <f t="shared" si="149"/>
        <v>156732.34</v>
      </c>
      <c r="V354" s="2">
        <v>116957.1</v>
      </c>
      <c r="W354" s="2">
        <v>39775.24</v>
      </c>
      <c r="X354" s="2">
        <f t="shared" si="153"/>
        <v>0</v>
      </c>
      <c r="Y354" s="2"/>
      <c r="Z354" s="2"/>
      <c r="AA354" s="2">
        <f t="shared" si="156"/>
        <v>19971.22</v>
      </c>
      <c r="AB354" s="2">
        <v>15912.5</v>
      </c>
      <c r="AC354" s="2">
        <v>4058.72</v>
      </c>
      <c r="AD354" s="2">
        <f t="shared" si="157"/>
        <v>998561.18999999983</v>
      </c>
      <c r="AE354" s="2">
        <v>576</v>
      </c>
      <c r="AF354" s="2">
        <f t="shared" si="158"/>
        <v>999137.18999999983</v>
      </c>
      <c r="AG354" s="24" t="s">
        <v>41</v>
      </c>
      <c r="AH354" s="34" t="s">
        <v>35</v>
      </c>
      <c r="AI354" s="35">
        <f>489541.18+150804.97+87205.35</f>
        <v>727551.5</v>
      </c>
      <c r="AJ354" s="36">
        <f>93357.95+28759.24+16630.53</f>
        <v>138747.72</v>
      </c>
      <c r="AK354" s="28">
        <f t="shared" si="150"/>
        <v>94306.129999999888</v>
      </c>
      <c r="AL354" s="28">
        <f t="shared" si="151"/>
        <v>17984.619999999995</v>
      </c>
      <c r="AM354" s="29">
        <f t="shared" si="152"/>
        <v>0.88525247371615945</v>
      </c>
    </row>
    <row r="355" spans="1:39" ht="192" customHeight="1" x14ac:dyDescent="0.25">
      <c r="A355" s="10">
        <v>352</v>
      </c>
      <c r="B355" s="37">
        <v>113039</v>
      </c>
      <c r="C355" s="37">
        <v>200</v>
      </c>
      <c r="D355" s="20" t="s">
        <v>254</v>
      </c>
      <c r="E355" s="14" t="s">
        <v>1005</v>
      </c>
      <c r="F355" s="146" t="s">
        <v>1362</v>
      </c>
      <c r="G355" s="150" t="s">
        <v>1363</v>
      </c>
      <c r="H355" s="20" t="s">
        <v>173</v>
      </c>
      <c r="I355" s="112" t="s">
        <v>1364</v>
      </c>
      <c r="J355" s="30">
        <v>43291</v>
      </c>
      <c r="K355" s="30">
        <v>43779</v>
      </c>
      <c r="L355" s="31">
        <f t="shared" si="155"/>
        <v>82.30418382046426</v>
      </c>
      <c r="M355" s="20" t="s">
        <v>855</v>
      </c>
      <c r="N355" s="20" t="s">
        <v>463</v>
      </c>
      <c r="O355" s="20" t="s">
        <v>1365</v>
      </c>
      <c r="P355" s="32" t="s">
        <v>850</v>
      </c>
      <c r="Q355" s="20" t="s">
        <v>40</v>
      </c>
      <c r="R355" s="2">
        <f t="shared" si="154"/>
        <v>812437.94000000006</v>
      </c>
      <c r="S355" s="2">
        <v>655160.41</v>
      </c>
      <c r="T355" s="2">
        <v>157277.53</v>
      </c>
      <c r="U355" s="2">
        <f t="shared" si="149"/>
        <v>154935.91999999998</v>
      </c>
      <c r="V355" s="2">
        <v>115616.54</v>
      </c>
      <c r="W355" s="2">
        <v>39319.379999999997</v>
      </c>
      <c r="X355" s="2">
        <f t="shared" si="153"/>
        <v>0</v>
      </c>
      <c r="Y355" s="2">
        <v>0</v>
      </c>
      <c r="Z355" s="2">
        <v>0</v>
      </c>
      <c r="AA355" s="2">
        <f t="shared" si="156"/>
        <v>19742.349999999999</v>
      </c>
      <c r="AB355" s="2">
        <v>15730.16</v>
      </c>
      <c r="AC355" s="2">
        <v>4012.19</v>
      </c>
      <c r="AD355" s="2">
        <f t="shared" si="157"/>
        <v>987116.21000000008</v>
      </c>
      <c r="AE355" s="2">
        <v>0</v>
      </c>
      <c r="AF355" s="2">
        <f t="shared" si="158"/>
        <v>987116.21000000008</v>
      </c>
      <c r="AG355" s="24" t="s">
        <v>41</v>
      </c>
      <c r="AH355" s="34" t="s">
        <v>1366</v>
      </c>
      <c r="AI355" s="35">
        <f>98711.62+82894.54-376.83+73798.02+80976.74+185141.28+260525.68-19533.72</f>
        <v>762137.33000000007</v>
      </c>
      <c r="AJ355" s="36">
        <f>15808.4+376.83+15333.49+13734.08+35307.36+49683.52+15099.61</f>
        <v>145343.28999999998</v>
      </c>
      <c r="AK355" s="28">
        <f t="shared" si="150"/>
        <v>50300.609999999986</v>
      </c>
      <c r="AL355" s="28">
        <f t="shared" si="151"/>
        <v>9592.6300000000047</v>
      </c>
      <c r="AM355" s="29">
        <f t="shared" si="152"/>
        <v>0.93808682789974085</v>
      </c>
    </row>
    <row r="356" spans="1:39" ht="192" customHeight="1" x14ac:dyDescent="0.25">
      <c r="A356" s="10">
        <v>353</v>
      </c>
      <c r="B356" s="37">
        <v>113125</v>
      </c>
      <c r="C356" s="37">
        <v>230</v>
      </c>
      <c r="D356" s="20" t="s">
        <v>254</v>
      </c>
      <c r="E356" s="14" t="s">
        <v>1005</v>
      </c>
      <c r="F356" s="146" t="s">
        <v>1367</v>
      </c>
      <c r="G356" s="15" t="s">
        <v>1368</v>
      </c>
      <c r="H356" s="20" t="s">
        <v>173</v>
      </c>
      <c r="I356" s="20" t="s">
        <v>1369</v>
      </c>
      <c r="J356" s="30">
        <v>43291</v>
      </c>
      <c r="K356" s="30">
        <v>43718</v>
      </c>
      <c r="L356" s="31">
        <f t="shared" si="155"/>
        <v>82.304188716846156</v>
      </c>
      <c r="M356" s="20" t="s">
        <v>855</v>
      </c>
      <c r="N356" s="20" t="s">
        <v>228</v>
      </c>
      <c r="O356" s="20" t="s">
        <v>228</v>
      </c>
      <c r="P356" s="32" t="s">
        <v>850</v>
      </c>
      <c r="Q356" s="20" t="s">
        <v>40</v>
      </c>
      <c r="R356" s="2">
        <f t="shared" si="154"/>
        <v>736342.77</v>
      </c>
      <c r="S356" s="2">
        <v>593796.28</v>
      </c>
      <c r="T356" s="2">
        <v>142546.49</v>
      </c>
      <c r="U356" s="2">
        <f t="shared" si="149"/>
        <v>140424.16999999998</v>
      </c>
      <c r="V356" s="2">
        <v>104787.58</v>
      </c>
      <c r="W356" s="2">
        <v>35636.589999999997</v>
      </c>
      <c r="X356" s="2">
        <f t="shared" si="153"/>
        <v>0</v>
      </c>
      <c r="Y356" s="2"/>
      <c r="Z356" s="2"/>
      <c r="AA356" s="2">
        <f t="shared" si="156"/>
        <v>17893.2</v>
      </c>
      <c r="AB356" s="2">
        <v>14256.8</v>
      </c>
      <c r="AC356" s="2">
        <v>3636.4</v>
      </c>
      <c r="AD356" s="2">
        <f t="shared" si="157"/>
        <v>894660.1399999999</v>
      </c>
      <c r="AE356" s="2">
        <v>0</v>
      </c>
      <c r="AF356" s="2">
        <f t="shared" si="158"/>
        <v>894660.1399999999</v>
      </c>
      <c r="AG356" s="24" t="s">
        <v>41</v>
      </c>
      <c r="AH356" s="34" t="s">
        <v>132</v>
      </c>
      <c r="AI356" s="35">
        <f>431197.76+67607.74</f>
        <v>498805.5</v>
      </c>
      <c r="AJ356" s="36">
        <f>81263.8+12893.14</f>
        <v>94156.94</v>
      </c>
      <c r="AK356" s="28">
        <f t="shared" si="150"/>
        <v>237537.27000000002</v>
      </c>
      <c r="AL356" s="28">
        <f t="shared" si="151"/>
        <v>46267.229999999981</v>
      </c>
      <c r="AM356" s="29">
        <f t="shared" si="152"/>
        <v>0.67740938095990266</v>
      </c>
    </row>
    <row r="357" spans="1:39" ht="192" customHeight="1" x14ac:dyDescent="0.25">
      <c r="A357" s="10">
        <v>354</v>
      </c>
      <c r="B357" s="37">
        <v>112435</v>
      </c>
      <c r="C357" s="37">
        <v>323</v>
      </c>
      <c r="D357" s="20" t="s">
        <v>254</v>
      </c>
      <c r="E357" s="14" t="s">
        <v>1005</v>
      </c>
      <c r="F357" s="146" t="s">
        <v>1370</v>
      </c>
      <c r="G357" s="15" t="s">
        <v>1371</v>
      </c>
      <c r="H357" s="20" t="s">
        <v>1372</v>
      </c>
      <c r="I357" s="112" t="s">
        <v>1373</v>
      </c>
      <c r="J357" s="30">
        <v>43292</v>
      </c>
      <c r="K357" s="30">
        <v>43780</v>
      </c>
      <c r="L357" s="31">
        <f t="shared" si="155"/>
        <v>82.304182891954625</v>
      </c>
      <c r="M357" s="20" t="s">
        <v>855</v>
      </c>
      <c r="N357" s="20" t="s">
        <v>365</v>
      </c>
      <c r="O357" s="20" t="s">
        <v>365</v>
      </c>
      <c r="P357" s="32" t="s">
        <v>850</v>
      </c>
      <c r="Q357" s="20" t="s">
        <v>40</v>
      </c>
      <c r="R357" s="2">
        <f t="shared" si="154"/>
        <v>815316.89</v>
      </c>
      <c r="S357" s="2">
        <v>657481.98</v>
      </c>
      <c r="T357" s="2">
        <v>157834.91</v>
      </c>
      <c r="U357" s="2">
        <f t="shared" si="149"/>
        <v>155484.97999999998</v>
      </c>
      <c r="V357" s="2">
        <v>116026.31</v>
      </c>
      <c r="W357" s="2">
        <v>39458.67</v>
      </c>
      <c r="X357" s="2">
        <f t="shared" si="153"/>
        <v>0</v>
      </c>
      <c r="Y357" s="2"/>
      <c r="Z357" s="2"/>
      <c r="AA357" s="2">
        <f t="shared" si="156"/>
        <v>19812.29</v>
      </c>
      <c r="AB357" s="2">
        <v>15785.9</v>
      </c>
      <c r="AC357" s="2">
        <v>4026.39</v>
      </c>
      <c r="AD357" s="2">
        <f t="shared" si="157"/>
        <v>990614.16</v>
      </c>
      <c r="AE357" s="2"/>
      <c r="AF357" s="2">
        <f t="shared" si="158"/>
        <v>990614.16</v>
      </c>
      <c r="AG357" s="24" t="s">
        <v>41</v>
      </c>
      <c r="AH357" s="34" t="s">
        <v>1374</v>
      </c>
      <c r="AI357" s="35">
        <f>694001.82-8054.22</f>
        <v>685947.6</v>
      </c>
      <c r="AJ357" s="36">
        <f>15703.63+42154.87+5183.15+19792.72+39704.75+8274.46</f>
        <v>130813.57999999999</v>
      </c>
      <c r="AK357" s="28">
        <f t="shared" si="150"/>
        <v>129369.29000000004</v>
      </c>
      <c r="AL357" s="28">
        <f t="shared" si="151"/>
        <v>24671.399999999994</v>
      </c>
      <c r="AM357" s="29">
        <f t="shared" si="152"/>
        <v>0.84132637065816207</v>
      </c>
    </row>
    <row r="358" spans="1:39" ht="192" customHeight="1" x14ac:dyDescent="0.25">
      <c r="A358" s="10">
        <v>355</v>
      </c>
      <c r="B358" s="37">
        <v>110839</v>
      </c>
      <c r="C358" s="37">
        <v>306</v>
      </c>
      <c r="D358" s="20" t="s">
        <v>254</v>
      </c>
      <c r="E358" s="14" t="s">
        <v>1005</v>
      </c>
      <c r="F358" s="146" t="s">
        <v>1375</v>
      </c>
      <c r="G358" s="15" t="s">
        <v>1376</v>
      </c>
      <c r="H358" s="20" t="s">
        <v>1377</v>
      </c>
      <c r="I358" s="15" t="s">
        <v>1378</v>
      </c>
      <c r="J358" s="30">
        <v>43292</v>
      </c>
      <c r="K358" s="30">
        <v>43993</v>
      </c>
      <c r="L358" s="31">
        <f t="shared" si="155"/>
        <v>82.304186604752402</v>
      </c>
      <c r="M358" s="20" t="s">
        <v>855</v>
      </c>
      <c r="N358" s="20" t="s">
        <v>1379</v>
      </c>
      <c r="O358" s="20" t="s">
        <v>1379</v>
      </c>
      <c r="P358" s="32" t="s">
        <v>850</v>
      </c>
      <c r="Q358" s="20" t="s">
        <v>40</v>
      </c>
      <c r="R358" s="2">
        <f t="shared" si="154"/>
        <v>800537.35</v>
      </c>
      <c r="S358" s="2">
        <v>645563.62</v>
      </c>
      <c r="T358" s="2">
        <v>154973.73000000001</v>
      </c>
      <c r="U358" s="2">
        <f t="shared" si="149"/>
        <v>152666.38</v>
      </c>
      <c r="V358" s="2">
        <v>113922.98</v>
      </c>
      <c r="W358" s="2">
        <v>38743.4</v>
      </c>
      <c r="X358" s="2">
        <f t="shared" si="153"/>
        <v>0</v>
      </c>
      <c r="Y358" s="2"/>
      <c r="Z358" s="2"/>
      <c r="AA358" s="2">
        <f t="shared" si="156"/>
        <v>19453.169999999998</v>
      </c>
      <c r="AB358" s="2">
        <v>15499.74</v>
      </c>
      <c r="AC358" s="2">
        <v>3953.43</v>
      </c>
      <c r="AD358" s="2">
        <f t="shared" si="157"/>
        <v>972656.9</v>
      </c>
      <c r="AE358" s="2"/>
      <c r="AF358" s="2">
        <f t="shared" si="158"/>
        <v>972656.9</v>
      </c>
      <c r="AG358" s="39" t="s">
        <v>69</v>
      </c>
      <c r="AH358" s="34" t="s">
        <v>1380</v>
      </c>
      <c r="AI358" s="35">
        <v>655019.55000000005</v>
      </c>
      <c r="AJ358" s="36">
        <v>124915.36000000002</v>
      </c>
      <c r="AK358" s="28">
        <f t="shared" si="150"/>
        <v>145517.79999999993</v>
      </c>
      <c r="AL358" s="28">
        <f t="shared" si="151"/>
        <v>27751.01999999999</v>
      </c>
      <c r="AM358" s="29">
        <f t="shared" si="152"/>
        <v>0.81822484609868618</v>
      </c>
    </row>
    <row r="359" spans="1:39" ht="192" customHeight="1" x14ac:dyDescent="0.25">
      <c r="A359" s="10">
        <v>356</v>
      </c>
      <c r="B359" s="37">
        <v>115895</v>
      </c>
      <c r="C359" s="37">
        <v>389</v>
      </c>
      <c r="D359" s="124" t="s">
        <v>254</v>
      </c>
      <c r="E359" s="14" t="s">
        <v>1015</v>
      </c>
      <c r="F359" s="146" t="s">
        <v>1381</v>
      </c>
      <c r="G359" s="15" t="s">
        <v>1382</v>
      </c>
      <c r="H359" s="20" t="s">
        <v>1383</v>
      </c>
      <c r="I359" s="112" t="s">
        <v>1384</v>
      </c>
      <c r="J359" s="30">
        <v>43293</v>
      </c>
      <c r="K359" s="30">
        <v>44451</v>
      </c>
      <c r="L359" s="31">
        <f t="shared" si="155"/>
        <v>83.983864548494978</v>
      </c>
      <c r="M359" s="20" t="s">
        <v>855</v>
      </c>
      <c r="N359" s="20" t="s">
        <v>228</v>
      </c>
      <c r="O359" s="20" t="s">
        <v>228</v>
      </c>
      <c r="P359" s="32" t="s">
        <v>260</v>
      </c>
      <c r="Q359" s="20" t="s">
        <v>40</v>
      </c>
      <c r="R359" s="2">
        <f t="shared" si="154"/>
        <v>2511117.5499999998</v>
      </c>
      <c r="S359" s="2">
        <v>2024997.51</v>
      </c>
      <c r="T359" s="2">
        <v>486120.04</v>
      </c>
      <c r="U359" s="2">
        <f t="shared" si="149"/>
        <v>0</v>
      </c>
      <c r="V359" s="2"/>
      <c r="W359" s="2"/>
      <c r="X359" s="2">
        <f t="shared" si="153"/>
        <v>478882.44999999995</v>
      </c>
      <c r="Y359" s="2">
        <v>357352.47</v>
      </c>
      <c r="Z359" s="2">
        <v>121529.98</v>
      </c>
      <c r="AA359" s="2">
        <f t="shared" si="156"/>
        <v>0</v>
      </c>
      <c r="AB359" s="2">
        <v>0</v>
      </c>
      <c r="AC359" s="2">
        <v>0</v>
      </c>
      <c r="AD359" s="2">
        <f t="shared" si="157"/>
        <v>2990000</v>
      </c>
      <c r="AE359" s="2">
        <v>0</v>
      </c>
      <c r="AF359" s="2">
        <f t="shared" si="158"/>
        <v>2990000</v>
      </c>
      <c r="AG359" s="39" t="s">
        <v>69</v>
      </c>
      <c r="AH359" s="34" t="s">
        <v>1385</v>
      </c>
      <c r="AI359" s="35">
        <v>1101841.06</v>
      </c>
      <c r="AJ359" s="36">
        <v>0</v>
      </c>
      <c r="AK359" s="28">
        <f t="shared" si="150"/>
        <v>1409276.4899999998</v>
      </c>
      <c r="AL359" s="28">
        <f t="shared" si="151"/>
        <v>0</v>
      </c>
      <c r="AM359" s="29">
        <f t="shared" si="152"/>
        <v>0.43878513771687039</v>
      </c>
    </row>
    <row r="360" spans="1:39" ht="192" customHeight="1" x14ac:dyDescent="0.25">
      <c r="A360" s="10">
        <v>357</v>
      </c>
      <c r="B360" s="37">
        <v>111830</v>
      </c>
      <c r="C360" s="37">
        <v>377</v>
      </c>
      <c r="D360" s="20" t="s">
        <v>1289</v>
      </c>
      <c r="E360" s="14" t="s">
        <v>1290</v>
      </c>
      <c r="F360" s="146" t="s">
        <v>1386</v>
      </c>
      <c r="G360" s="15" t="s">
        <v>76</v>
      </c>
      <c r="H360" s="20" t="s">
        <v>1387</v>
      </c>
      <c r="I360" s="112" t="s">
        <v>1388</v>
      </c>
      <c r="J360" s="30">
        <v>43297</v>
      </c>
      <c r="K360" s="30">
        <v>43906</v>
      </c>
      <c r="L360" s="31">
        <f t="shared" si="155"/>
        <v>83.143853842955224</v>
      </c>
      <c r="M360" s="20" t="s">
        <v>855</v>
      </c>
      <c r="N360" s="20" t="s">
        <v>228</v>
      </c>
      <c r="O360" s="20" t="s">
        <v>228</v>
      </c>
      <c r="P360" s="32" t="s">
        <v>260</v>
      </c>
      <c r="Q360" s="20" t="s">
        <v>40</v>
      </c>
      <c r="R360" s="2">
        <f t="shared" si="154"/>
        <v>5525318.4299999997</v>
      </c>
      <c r="S360" s="2">
        <v>4455687.8899999997</v>
      </c>
      <c r="T360" s="2">
        <v>1069630.54</v>
      </c>
      <c r="U360" s="2">
        <f t="shared" si="149"/>
        <v>987264.11999999988</v>
      </c>
      <c r="V360" s="2">
        <v>733359.19</v>
      </c>
      <c r="W360" s="2">
        <v>253904.93</v>
      </c>
      <c r="X360" s="2">
        <f t="shared" si="153"/>
        <v>0</v>
      </c>
      <c r="Y360" s="2">
        <v>0</v>
      </c>
      <c r="Z360" s="2">
        <v>0</v>
      </c>
      <c r="AA360" s="2">
        <f t="shared" si="156"/>
        <v>132909.78</v>
      </c>
      <c r="AB360" s="2">
        <v>105898.92</v>
      </c>
      <c r="AC360" s="2">
        <v>27010.86</v>
      </c>
      <c r="AD360" s="2">
        <f t="shared" si="157"/>
        <v>6645492.3300000001</v>
      </c>
      <c r="AE360" s="2">
        <v>0</v>
      </c>
      <c r="AF360" s="2">
        <f t="shared" si="158"/>
        <v>6645492.3300000001</v>
      </c>
      <c r="AG360" s="39" t="s">
        <v>41</v>
      </c>
      <c r="AH360" s="34" t="s">
        <v>1389</v>
      </c>
      <c r="AI360" s="35">
        <f>3247378.8+347741.72+347940.4+186782.93+441541.97</f>
        <v>4571385.8199999994</v>
      </c>
      <c r="AJ360" s="36">
        <f>500325.22+54496.04+108259.54+83640.09</f>
        <v>746720.89</v>
      </c>
      <c r="AK360" s="28">
        <f t="shared" si="150"/>
        <v>953932.61000000034</v>
      </c>
      <c r="AL360" s="28">
        <f t="shared" si="151"/>
        <v>240543.22999999986</v>
      </c>
      <c r="AM360" s="29">
        <f t="shared" si="152"/>
        <v>0.82735246446239652</v>
      </c>
    </row>
    <row r="361" spans="1:39" ht="192" customHeight="1" x14ac:dyDescent="0.25">
      <c r="A361" s="10">
        <v>358</v>
      </c>
      <c r="B361" s="37">
        <v>126528</v>
      </c>
      <c r="C361" s="37">
        <v>496</v>
      </c>
      <c r="D361" s="15" t="s">
        <v>425</v>
      </c>
      <c r="E361" s="14" t="s">
        <v>426</v>
      </c>
      <c r="F361" s="40" t="s">
        <v>1390</v>
      </c>
      <c r="G361" s="15" t="s">
        <v>1391</v>
      </c>
      <c r="H361" s="20" t="s">
        <v>1392</v>
      </c>
      <c r="I361" s="121" t="s">
        <v>1393</v>
      </c>
      <c r="J361" s="30">
        <v>43552</v>
      </c>
      <c r="K361" s="30">
        <v>44283</v>
      </c>
      <c r="L361" s="31">
        <f t="shared" si="155"/>
        <v>83.538686217523377</v>
      </c>
      <c r="M361" s="20" t="s">
        <v>1394</v>
      </c>
      <c r="N361" s="20" t="s">
        <v>1395</v>
      </c>
      <c r="O361" s="20" t="s">
        <v>1395</v>
      </c>
      <c r="P361" s="20" t="s">
        <v>850</v>
      </c>
      <c r="Q361" s="20" t="s">
        <v>40</v>
      </c>
      <c r="R361" s="35">
        <f t="shared" si="154"/>
        <v>1949308.98</v>
      </c>
      <c r="S361" s="89">
        <v>1949308.98</v>
      </c>
      <c r="T361" s="38">
        <v>0</v>
      </c>
      <c r="U361" s="35">
        <f t="shared" si="149"/>
        <v>337443.27</v>
      </c>
      <c r="V361" s="89">
        <v>337443.27</v>
      </c>
      <c r="W361" s="38">
        <v>0</v>
      </c>
      <c r="X361" s="35">
        <f t="shared" si="153"/>
        <v>6552.42</v>
      </c>
      <c r="Y361" s="89">
        <v>6552.42</v>
      </c>
      <c r="Z361" s="38">
        <v>0</v>
      </c>
      <c r="AA361" s="2">
        <f t="shared" si="156"/>
        <v>40116.009999999995</v>
      </c>
      <c r="AB361" s="89">
        <f>23632.16+16483.85</f>
        <v>40116.009999999995</v>
      </c>
      <c r="AC361" s="38">
        <v>0</v>
      </c>
      <c r="AD361" s="2">
        <f t="shared" si="157"/>
        <v>2333420.6799999997</v>
      </c>
      <c r="AE361" s="39">
        <v>0</v>
      </c>
      <c r="AF361" s="2">
        <f t="shared" si="158"/>
        <v>2333420.6799999997</v>
      </c>
      <c r="AG361" s="39" t="s">
        <v>69</v>
      </c>
      <c r="AH361" s="39" t="s">
        <v>35</v>
      </c>
      <c r="AI361" s="35">
        <f>233342.06+142903.27+287264.67+155702.74+149142</f>
        <v>968354.74</v>
      </c>
      <c r="AJ361" s="36">
        <f>24798.23+49768.47+27050.33+25861.13</f>
        <v>127478.16</v>
      </c>
      <c r="AK361" s="28">
        <f t="shared" si="150"/>
        <v>980954.24</v>
      </c>
      <c r="AL361" s="28">
        <f t="shared" si="151"/>
        <v>209965.11000000002</v>
      </c>
      <c r="AM361" s="29">
        <f t="shared" si="152"/>
        <v>0.49676821372874402</v>
      </c>
    </row>
    <row r="362" spans="1:39" ht="192" customHeight="1" x14ac:dyDescent="0.25">
      <c r="A362" s="10">
        <v>359</v>
      </c>
      <c r="B362" s="37">
        <v>109927</v>
      </c>
      <c r="C362" s="37">
        <v>334</v>
      </c>
      <c r="D362" s="20" t="s">
        <v>254</v>
      </c>
      <c r="E362" s="14" t="s">
        <v>1005</v>
      </c>
      <c r="F362" s="146" t="s">
        <v>1396</v>
      </c>
      <c r="G362" s="15" t="s">
        <v>1397</v>
      </c>
      <c r="H362" s="20" t="s">
        <v>46</v>
      </c>
      <c r="I362" s="112" t="s">
        <v>1398</v>
      </c>
      <c r="J362" s="30">
        <v>43297</v>
      </c>
      <c r="K362" s="30">
        <v>43785</v>
      </c>
      <c r="L362" s="31">
        <f t="shared" si="155"/>
        <v>82.304185890830638</v>
      </c>
      <c r="M362" s="20" t="s">
        <v>855</v>
      </c>
      <c r="N362" s="20" t="s">
        <v>228</v>
      </c>
      <c r="O362" s="20" t="s">
        <v>228</v>
      </c>
      <c r="P362" s="32" t="s">
        <v>260</v>
      </c>
      <c r="Q362" s="20" t="s">
        <v>40</v>
      </c>
      <c r="R362" s="2">
        <f t="shared" si="154"/>
        <v>793991.64999999991</v>
      </c>
      <c r="S362" s="2">
        <v>640285.07999999996</v>
      </c>
      <c r="T362" s="2">
        <v>153706.57</v>
      </c>
      <c r="U362" s="2">
        <f t="shared" si="149"/>
        <v>151418.12</v>
      </c>
      <c r="V362" s="2">
        <v>112991.49</v>
      </c>
      <c r="W362" s="2">
        <v>38426.629999999997</v>
      </c>
      <c r="X362" s="2">
        <f t="shared" si="153"/>
        <v>0</v>
      </c>
      <c r="Y362" s="2"/>
      <c r="Z362" s="2"/>
      <c r="AA362" s="2">
        <f t="shared" si="156"/>
        <v>19294.080000000002</v>
      </c>
      <c r="AB362" s="2">
        <v>15373</v>
      </c>
      <c r="AC362" s="2">
        <v>3921.08</v>
      </c>
      <c r="AD362" s="2">
        <f t="shared" si="157"/>
        <v>964703.84999999986</v>
      </c>
      <c r="AE362" s="2">
        <v>0</v>
      </c>
      <c r="AF362" s="2">
        <f t="shared" si="158"/>
        <v>964703.84999999986</v>
      </c>
      <c r="AG362" s="24" t="s">
        <v>41</v>
      </c>
      <c r="AH362" s="34" t="s">
        <v>1399</v>
      </c>
      <c r="AI362" s="35">
        <f>402453.38+117377.22+258590.23+5842.52</f>
        <v>784263.35</v>
      </c>
      <c r="AJ362" s="36">
        <f>14469.9+11972.92+31909.61+40781.81+49314.41+1114.21</f>
        <v>149562.85999999999</v>
      </c>
      <c r="AK362" s="28">
        <f t="shared" si="150"/>
        <v>9728.2999999999302</v>
      </c>
      <c r="AL362" s="28">
        <f t="shared" si="151"/>
        <v>1855.2600000000093</v>
      </c>
      <c r="AM362" s="29">
        <f t="shared" si="152"/>
        <v>0.98774760414671881</v>
      </c>
    </row>
    <row r="363" spans="1:39" ht="129" customHeight="1" x14ac:dyDescent="0.25">
      <c r="A363" s="10">
        <v>360</v>
      </c>
      <c r="B363" s="37">
        <v>111446</v>
      </c>
      <c r="C363" s="37">
        <v>161</v>
      </c>
      <c r="D363" s="20" t="s">
        <v>254</v>
      </c>
      <c r="E363" s="14" t="s">
        <v>1005</v>
      </c>
      <c r="F363" s="146" t="s">
        <v>1400</v>
      </c>
      <c r="G363" s="15" t="s">
        <v>1401</v>
      </c>
      <c r="H363" s="20" t="s">
        <v>46</v>
      </c>
      <c r="I363" s="112" t="s">
        <v>1402</v>
      </c>
      <c r="J363" s="30">
        <v>43297</v>
      </c>
      <c r="K363" s="30">
        <v>43785</v>
      </c>
      <c r="L363" s="31">
        <f t="shared" si="155"/>
        <v>82.304180439174772</v>
      </c>
      <c r="M363" s="20" t="s">
        <v>855</v>
      </c>
      <c r="N363" s="20" t="s">
        <v>228</v>
      </c>
      <c r="O363" s="20" t="s">
        <v>228</v>
      </c>
      <c r="P363" s="32" t="s">
        <v>850</v>
      </c>
      <c r="Q363" s="20" t="s">
        <v>40</v>
      </c>
      <c r="R363" s="2">
        <f t="shared" si="154"/>
        <v>820476.63</v>
      </c>
      <c r="S363" s="2">
        <v>661642.92000000004</v>
      </c>
      <c r="T363" s="2">
        <v>158833.71</v>
      </c>
      <c r="U363" s="2">
        <f t="shared" si="149"/>
        <v>156469</v>
      </c>
      <c r="V363" s="2">
        <v>116760.53</v>
      </c>
      <c r="W363" s="2">
        <v>39708.47</v>
      </c>
      <c r="X363" s="2">
        <f t="shared" si="153"/>
        <v>0</v>
      </c>
      <c r="Y363" s="2"/>
      <c r="Z363" s="2"/>
      <c r="AA363" s="2">
        <f t="shared" si="156"/>
        <v>19937.669999999998</v>
      </c>
      <c r="AB363" s="2">
        <v>15885.81</v>
      </c>
      <c r="AC363" s="2">
        <v>4051.86</v>
      </c>
      <c r="AD363" s="2">
        <f t="shared" si="157"/>
        <v>996883.3</v>
      </c>
      <c r="AE363" s="2"/>
      <c r="AF363" s="2">
        <f t="shared" si="158"/>
        <v>996883.3</v>
      </c>
      <c r="AG363" s="24" t="s">
        <v>41</v>
      </c>
      <c r="AH363" s="34" t="s">
        <v>46</v>
      </c>
      <c r="AI363" s="35">
        <f>172463.58+91295.09-2619.6+99688.33+6676.64+99688.33+83929.71+100258.16+75790.79</f>
        <v>727171.03</v>
      </c>
      <c r="AJ363" s="36">
        <f>13878.6+17410.43+18511.49+20284.35+16005.79+38130.79+14453.69</f>
        <v>138675.14000000001</v>
      </c>
      <c r="AK363" s="28">
        <f t="shared" si="150"/>
        <v>93305.599999999977</v>
      </c>
      <c r="AL363" s="28">
        <f t="shared" si="151"/>
        <v>17793.859999999986</v>
      </c>
      <c r="AM363" s="29">
        <f t="shared" si="152"/>
        <v>0.88627878407700655</v>
      </c>
    </row>
    <row r="364" spans="1:39" ht="154.5" customHeight="1" x14ac:dyDescent="0.25">
      <c r="A364" s="10">
        <v>361</v>
      </c>
      <c r="B364" s="37">
        <v>111890</v>
      </c>
      <c r="C364" s="37">
        <v>249</v>
      </c>
      <c r="D364" s="20" t="s">
        <v>254</v>
      </c>
      <c r="E364" s="14" t="s">
        <v>1005</v>
      </c>
      <c r="F364" s="146" t="s">
        <v>1403</v>
      </c>
      <c r="G364" s="15" t="s">
        <v>1404</v>
      </c>
      <c r="H364" s="20" t="s">
        <v>1405</v>
      </c>
      <c r="I364" s="16" t="s">
        <v>1864</v>
      </c>
      <c r="J364" s="30">
        <v>43301</v>
      </c>
      <c r="K364" s="30">
        <v>43789</v>
      </c>
      <c r="L364" s="31">
        <f t="shared" si="155"/>
        <v>82.304184196855573</v>
      </c>
      <c r="M364" s="20" t="s">
        <v>855</v>
      </c>
      <c r="N364" s="20" t="s">
        <v>565</v>
      </c>
      <c r="O364" s="20" t="s">
        <v>565</v>
      </c>
      <c r="P364" s="32" t="s">
        <v>850</v>
      </c>
      <c r="Q364" s="20" t="s">
        <v>40</v>
      </c>
      <c r="R364" s="2">
        <f t="shared" si="154"/>
        <v>729395.17</v>
      </c>
      <c r="S364" s="2">
        <v>588193.66</v>
      </c>
      <c r="T364" s="2">
        <v>141201.51</v>
      </c>
      <c r="U364" s="2">
        <f t="shared" si="149"/>
        <v>139099.28</v>
      </c>
      <c r="V364" s="2">
        <v>103798.89</v>
      </c>
      <c r="W364" s="2">
        <v>35300.39</v>
      </c>
      <c r="X364" s="2">
        <f t="shared" si="153"/>
        <v>0</v>
      </c>
      <c r="Y364" s="2"/>
      <c r="Z364" s="2"/>
      <c r="AA364" s="2">
        <f t="shared" si="156"/>
        <v>17724.370000000003</v>
      </c>
      <c r="AB364" s="2">
        <v>14122.29</v>
      </c>
      <c r="AC364" s="2">
        <v>3602.08</v>
      </c>
      <c r="AD364" s="2">
        <f t="shared" si="157"/>
        <v>886218.82000000007</v>
      </c>
      <c r="AE364" s="2">
        <v>0</v>
      </c>
      <c r="AF364" s="2">
        <f t="shared" si="158"/>
        <v>886218.82000000007</v>
      </c>
      <c r="AG364" s="24" t="s">
        <v>41</v>
      </c>
      <c r="AH364" s="34" t="s">
        <v>1406</v>
      </c>
      <c r="AI364" s="35">
        <f>416218.9+121145.8+152202.09-7471.8-36155.33</f>
        <v>645939.66</v>
      </c>
      <c r="AJ364" s="36">
        <f>14022.63+14374.66+9282.27+24787.75+23442.2+29025.69+8248.64</f>
        <v>123183.84</v>
      </c>
      <c r="AK364" s="28">
        <f t="shared" si="150"/>
        <v>83455.510000000009</v>
      </c>
      <c r="AL364" s="28">
        <f t="shared" si="151"/>
        <v>15915.440000000002</v>
      </c>
      <c r="AM364" s="29">
        <f t="shared" si="152"/>
        <v>0.88558258481475827</v>
      </c>
    </row>
    <row r="365" spans="1:39" ht="192" customHeight="1" x14ac:dyDescent="0.25">
      <c r="A365" s="10">
        <v>362</v>
      </c>
      <c r="B365" s="37">
        <v>126511</v>
      </c>
      <c r="C365" s="37">
        <v>499</v>
      </c>
      <c r="D365" s="15" t="s">
        <v>425</v>
      </c>
      <c r="E365" s="14" t="s">
        <v>426</v>
      </c>
      <c r="F365" s="15" t="s">
        <v>1407</v>
      </c>
      <c r="G365" s="15" t="s">
        <v>1408</v>
      </c>
      <c r="H365" s="20" t="s">
        <v>35</v>
      </c>
      <c r="I365" s="55" t="s">
        <v>1409</v>
      </c>
      <c r="J365" s="30">
        <v>43535</v>
      </c>
      <c r="K365" s="30">
        <v>44266</v>
      </c>
      <c r="L365" s="31">
        <f t="shared" si="155"/>
        <v>83.300000000000011</v>
      </c>
      <c r="M365" s="20" t="s">
        <v>1410</v>
      </c>
      <c r="N365" s="20" t="s">
        <v>1411</v>
      </c>
      <c r="O365" s="20" t="s">
        <v>1411</v>
      </c>
      <c r="P365" s="20" t="s">
        <v>850</v>
      </c>
      <c r="Q365" s="20" t="s">
        <v>40</v>
      </c>
      <c r="R365" s="35">
        <f t="shared" si="154"/>
        <v>2060383.85</v>
      </c>
      <c r="S365" s="2">
        <v>2060383.85</v>
      </c>
      <c r="T365" s="2">
        <v>0</v>
      </c>
      <c r="U365" s="35">
        <f t="shared" si="149"/>
        <v>363597.15</v>
      </c>
      <c r="V365" s="2">
        <v>363597.15</v>
      </c>
      <c r="W365" s="2">
        <v>0</v>
      </c>
      <c r="X365" s="35">
        <f t="shared" si="153"/>
        <v>0</v>
      </c>
      <c r="Y365" s="2">
        <v>0</v>
      </c>
      <c r="Z365" s="2">
        <v>0</v>
      </c>
      <c r="AA365" s="2">
        <f t="shared" si="156"/>
        <v>49469</v>
      </c>
      <c r="AB365" s="2">
        <v>49469</v>
      </c>
      <c r="AC365" s="2">
        <v>0</v>
      </c>
      <c r="AD365" s="2">
        <f t="shared" si="157"/>
        <v>2473450</v>
      </c>
      <c r="AE365" s="2">
        <v>0</v>
      </c>
      <c r="AF365" s="2">
        <f t="shared" si="158"/>
        <v>2473450</v>
      </c>
      <c r="AG365" s="39" t="s">
        <v>69</v>
      </c>
      <c r="AH365" s="34" t="s">
        <v>35</v>
      </c>
      <c r="AI365" s="35">
        <f>223418.82+247345-25227.12+247345+167983.62</f>
        <v>860865.32</v>
      </c>
      <c r="AJ365" s="36">
        <f>23926.18+54697.96+29644.16</f>
        <v>108268.3</v>
      </c>
      <c r="AK365" s="28">
        <f t="shared" si="150"/>
        <v>1199518.5300000003</v>
      </c>
      <c r="AL365" s="28">
        <f t="shared" si="151"/>
        <v>255328.85000000003</v>
      </c>
      <c r="AM365" s="29">
        <f t="shared" si="152"/>
        <v>0.41781793232362985</v>
      </c>
    </row>
    <row r="366" spans="1:39" ht="192" customHeight="1" x14ac:dyDescent="0.25">
      <c r="A366" s="10">
        <v>363</v>
      </c>
      <c r="B366" s="37">
        <v>113123</v>
      </c>
      <c r="C366" s="37">
        <v>217</v>
      </c>
      <c r="D366" s="20" t="s">
        <v>254</v>
      </c>
      <c r="E366" s="14" t="s">
        <v>1005</v>
      </c>
      <c r="F366" s="15" t="s">
        <v>1412</v>
      </c>
      <c r="G366" s="15" t="s">
        <v>1413</v>
      </c>
      <c r="H366" s="20" t="s">
        <v>132</v>
      </c>
      <c r="I366" s="112" t="s">
        <v>1414</v>
      </c>
      <c r="J366" s="30">
        <v>43312</v>
      </c>
      <c r="K366" s="30">
        <v>44043</v>
      </c>
      <c r="L366" s="31">
        <f t="shared" si="155"/>
        <v>82.304192016045192</v>
      </c>
      <c r="M366" s="20" t="s">
        <v>855</v>
      </c>
      <c r="N366" s="20" t="s">
        <v>229</v>
      </c>
      <c r="O366" s="20" t="s">
        <v>229</v>
      </c>
      <c r="P366" s="32" t="s">
        <v>850</v>
      </c>
      <c r="Q366" s="20" t="s">
        <v>40</v>
      </c>
      <c r="R366" s="2">
        <f t="shared" si="154"/>
        <v>500543.24</v>
      </c>
      <c r="S366" s="2">
        <v>403644.51</v>
      </c>
      <c r="T366" s="2">
        <v>96898.73</v>
      </c>
      <c r="U366" s="2">
        <f t="shared" si="149"/>
        <v>95456.03</v>
      </c>
      <c r="V366" s="2">
        <v>71231.39</v>
      </c>
      <c r="W366" s="2">
        <v>24224.639999999999</v>
      </c>
      <c r="X366" s="2">
        <f t="shared" si="153"/>
        <v>0</v>
      </c>
      <c r="Y366" s="2">
        <v>0</v>
      </c>
      <c r="Z366" s="2">
        <v>0</v>
      </c>
      <c r="AA366" s="2">
        <f t="shared" si="156"/>
        <v>12163.24</v>
      </c>
      <c r="AB366" s="2">
        <v>9691.31</v>
      </c>
      <c r="AC366" s="2">
        <v>2471.9299999999998</v>
      </c>
      <c r="AD366" s="2">
        <f t="shared" si="157"/>
        <v>608162.51</v>
      </c>
      <c r="AE366" s="2"/>
      <c r="AF366" s="2">
        <f t="shared" si="158"/>
        <v>608162.51</v>
      </c>
      <c r="AG366" s="39" t="s">
        <v>69</v>
      </c>
      <c r="AH366" s="34" t="s">
        <v>1415</v>
      </c>
      <c r="AI366" s="35">
        <f>290762.69+44490.67+37570.73+60763.37</f>
        <v>433587.45999999996</v>
      </c>
      <c r="AJ366" s="36">
        <f>7748.65+9425.87-0.12+10127.9+16559.69+16272.7+10964.7</f>
        <v>71099.39</v>
      </c>
      <c r="AK366" s="28">
        <f t="shared" si="150"/>
        <v>66955.780000000028</v>
      </c>
      <c r="AL366" s="28">
        <f t="shared" si="151"/>
        <v>24356.639999999999</v>
      </c>
      <c r="AM366" s="29">
        <f t="shared" si="152"/>
        <v>0.86623377432886717</v>
      </c>
    </row>
    <row r="367" spans="1:39" ht="192" customHeight="1" x14ac:dyDescent="0.25">
      <c r="A367" s="10">
        <v>364</v>
      </c>
      <c r="B367" s="37">
        <v>112769</v>
      </c>
      <c r="C367" s="37">
        <v>154</v>
      </c>
      <c r="D367" s="20" t="s">
        <v>254</v>
      </c>
      <c r="E367" s="14" t="s">
        <v>1005</v>
      </c>
      <c r="F367" s="15" t="s">
        <v>1416</v>
      </c>
      <c r="G367" s="15" t="s">
        <v>1417</v>
      </c>
      <c r="H367" s="20" t="s">
        <v>1418</v>
      </c>
      <c r="I367" s="112" t="s">
        <v>1419</v>
      </c>
      <c r="J367" s="30">
        <v>43312</v>
      </c>
      <c r="K367" s="30">
        <v>43799</v>
      </c>
      <c r="L367" s="31">
        <f t="shared" si="155"/>
        <v>82.304193908401487</v>
      </c>
      <c r="M367" s="20" t="s">
        <v>855</v>
      </c>
      <c r="N367" s="20" t="s">
        <v>229</v>
      </c>
      <c r="O367" s="20" t="s">
        <v>229</v>
      </c>
      <c r="P367" s="32" t="s">
        <v>850</v>
      </c>
      <c r="Q367" s="20" t="s">
        <v>40</v>
      </c>
      <c r="R367" s="2">
        <f t="shared" si="154"/>
        <v>810553.29</v>
      </c>
      <c r="S367" s="2">
        <v>653640.61</v>
      </c>
      <c r="T367" s="2">
        <v>156912.68</v>
      </c>
      <c r="U367" s="2">
        <f t="shared" si="149"/>
        <v>154576.41999999998</v>
      </c>
      <c r="V367" s="2">
        <v>115348.29</v>
      </c>
      <c r="W367" s="2">
        <v>39228.129999999997</v>
      </c>
      <c r="X367" s="2">
        <f t="shared" si="153"/>
        <v>0</v>
      </c>
      <c r="Y367" s="2"/>
      <c r="Z367" s="2"/>
      <c r="AA367" s="2">
        <f t="shared" si="156"/>
        <v>19696.52</v>
      </c>
      <c r="AB367" s="2">
        <v>15693.62</v>
      </c>
      <c r="AC367" s="2">
        <v>4002.9</v>
      </c>
      <c r="AD367" s="2">
        <f t="shared" si="157"/>
        <v>984826.23</v>
      </c>
      <c r="AE367" s="2"/>
      <c r="AF367" s="2">
        <f t="shared" si="158"/>
        <v>984826.23</v>
      </c>
      <c r="AG367" s="24" t="s">
        <v>41</v>
      </c>
      <c r="AH367" s="34" t="s">
        <v>35</v>
      </c>
      <c r="AI367" s="35">
        <f>505319.03+215529.97-3637.72</f>
        <v>717211.28</v>
      </c>
      <c r="AJ367" s="36">
        <f>15061.09+3.81+17176.67+17183.59+29510.05+41102.63+16737.76</f>
        <v>136775.6</v>
      </c>
      <c r="AK367" s="28">
        <f t="shared" si="150"/>
        <v>93342.010000000009</v>
      </c>
      <c r="AL367" s="28">
        <f t="shared" si="151"/>
        <v>17800.819999999978</v>
      </c>
      <c r="AM367" s="29">
        <f t="shared" si="152"/>
        <v>0.88484161232631597</v>
      </c>
    </row>
    <row r="368" spans="1:39" ht="192" customHeight="1" x14ac:dyDescent="0.25">
      <c r="A368" s="10">
        <v>365</v>
      </c>
      <c r="B368" s="37">
        <v>118824</v>
      </c>
      <c r="C368" s="37">
        <v>451</v>
      </c>
      <c r="D368" s="20" t="s">
        <v>1282</v>
      </c>
      <c r="E368" s="14" t="s">
        <v>1283</v>
      </c>
      <c r="F368" s="67" t="s">
        <v>1420</v>
      </c>
      <c r="G368" s="20" t="s">
        <v>1421</v>
      </c>
      <c r="H368" s="20" t="s">
        <v>1422</v>
      </c>
      <c r="I368" s="15" t="s">
        <v>1423</v>
      </c>
      <c r="J368" s="30">
        <v>43311</v>
      </c>
      <c r="K368" s="30">
        <v>44042</v>
      </c>
      <c r="L368" s="31">
        <f t="shared" si="155"/>
        <v>83.245540797683972</v>
      </c>
      <c r="M368" s="20" t="s">
        <v>855</v>
      </c>
      <c r="N368" s="20" t="s">
        <v>229</v>
      </c>
      <c r="O368" s="20" t="s">
        <v>229</v>
      </c>
      <c r="P368" s="32" t="s">
        <v>260</v>
      </c>
      <c r="Q368" s="20" t="s">
        <v>40</v>
      </c>
      <c r="R368" s="2">
        <f t="shared" si="154"/>
        <v>3071406.8699999992</v>
      </c>
      <c r="S368" s="2">
        <v>2476821.9799999991</v>
      </c>
      <c r="T368" s="2">
        <v>594584.89000000013</v>
      </c>
      <c r="U368" s="2">
        <f t="shared" si="149"/>
        <v>254554.26</v>
      </c>
      <c r="V368" s="2">
        <v>189953.91</v>
      </c>
      <c r="W368" s="2">
        <v>64600.35</v>
      </c>
      <c r="X368" s="2">
        <f t="shared" si="153"/>
        <v>331178.17999999993</v>
      </c>
      <c r="Y368" s="2">
        <v>247132.34487485181</v>
      </c>
      <c r="Z368" s="2">
        <v>84045.835125148122</v>
      </c>
      <c r="AA368" s="2">
        <f t="shared" si="156"/>
        <v>32435.940000000006</v>
      </c>
      <c r="AB368" s="2">
        <v>25844.1115279326</v>
      </c>
      <c r="AC368" s="2">
        <v>6591.8284720674046</v>
      </c>
      <c r="AD368" s="2">
        <f t="shared" si="157"/>
        <v>3689575.2499999986</v>
      </c>
      <c r="AE368" s="2"/>
      <c r="AF368" s="2">
        <f t="shared" si="158"/>
        <v>3689575.2499999986</v>
      </c>
      <c r="AG368" s="39" t="s">
        <v>69</v>
      </c>
      <c r="AH368" s="34" t="s">
        <v>1424</v>
      </c>
      <c r="AI368" s="35">
        <f>1525625.11+35665.38+461250.33+93312.31+190744.71</f>
        <v>2306597.84</v>
      </c>
      <c r="AJ368" s="36">
        <f>127973.9+32924.82+17795.12</f>
        <v>178693.84</v>
      </c>
      <c r="AK368" s="28">
        <f t="shared" si="150"/>
        <v>764809.02999999933</v>
      </c>
      <c r="AL368" s="28">
        <f t="shared" si="151"/>
        <v>75860.420000000013</v>
      </c>
      <c r="AM368" s="29">
        <f t="shared" si="152"/>
        <v>0.75099064944137484</v>
      </c>
    </row>
    <row r="369" spans="1:39" ht="192" customHeight="1" x14ac:dyDescent="0.25">
      <c r="A369" s="10">
        <v>366</v>
      </c>
      <c r="B369" s="37">
        <v>113009</v>
      </c>
      <c r="C369" s="37">
        <v>296</v>
      </c>
      <c r="D369" s="20" t="s">
        <v>254</v>
      </c>
      <c r="E369" s="14" t="s">
        <v>1005</v>
      </c>
      <c r="F369" s="15" t="s">
        <v>1425</v>
      </c>
      <c r="G369" s="15" t="s">
        <v>1426</v>
      </c>
      <c r="H369" s="20" t="s">
        <v>1427</v>
      </c>
      <c r="I369" s="112" t="s">
        <v>1428</v>
      </c>
      <c r="J369" s="30">
        <v>43318</v>
      </c>
      <c r="K369" s="30">
        <v>43775</v>
      </c>
      <c r="L369" s="31">
        <f t="shared" si="155"/>
        <v>82.304184738955826</v>
      </c>
      <c r="M369" s="20" t="s">
        <v>855</v>
      </c>
      <c r="N369" s="20" t="s">
        <v>1429</v>
      </c>
      <c r="O369" s="20" t="s">
        <v>1430</v>
      </c>
      <c r="P369" s="32" t="s">
        <v>850</v>
      </c>
      <c r="Q369" s="20" t="s">
        <v>40</v>
      </c>
      <c r="R369" s="2">
        <f t="shared" si="154"/>
        <v>819749.67999999993</v>
      </c>
      <c r="S369" s="2">
        <v>661056.71</v>
      </c>
      <c r="T369" s="2">
        <v>158692.97</v>
      </c>
      <c r="U369" s="2">
        <f t="shared" si="149"/>
        <v>156330.31</v>
      </c>
      <c r="V369" s="2">
        <v>116657.06</v>
      </c>
      <c r="W369" s="2">
        <v>39673.25</v>
      </c>
      <c r="X369" s="2">
        <f t="shared" si="153"/>
        <v>0</v>
      </c>
      <c r="Y369" s="2"/>
      <c r="Z369" s="2"/>
      <c r="AA369" s="2">
        <f t="shared" si="156"/>
        <v>19920.010000000002</v>
      </c>
      <c r="AB369" s="2">
        <v>15871.7</v>
      </c>
      <c r="AC369" s="2">
        <v>4048.31</v>
      </c>
      <c r="AD369" s="2">
        <f t="shared" si="157"/>
        <v>996000</v>
      </c>
      <c r="AE369" s="2"/>
      <c r="AF369" s="2">
        <f t="shared" si="158"/>
        <v>996000</v>
      </c>
      <c r="AG369" s="24" t="s">
        <v>41</v>
      </c>
      <c r="AH369" s="34" t="s">
        <v>1431</v>
      </c>
      <c r="AI369" s="35">
        <f>11711.89+112463.33+73006.84+70941.22+395259.82+67590.34</f>
        <v>730973.44000000006</v>
      </c>
      <c r="AJ369" s="36">
        <f>2233.51+2453.09+13922.77+13528.85+75378+31884.01</f>
        <v>139400.23000000001</v>
      </c>
      <c r="AK369" s="28">
        <f t="shared" si="150"/>
        <v>88776.239999999874</v>
      </c>
      <c r="AL369" s="28">
        <f t="shared" si="151"/>
        <v>16930.079999999987</v>
      </c>
      <c r="AM369" s="29">
        <f t="shared" si="152"/>
        <v>0.89170323311379651</v>
      </c>
    </row>
    <row r="370" spans="1:39" ht="192" customHeight="1" x14ac:dyDescent="0.25">
      <c r="A370" s="10">
        <v>367</v>
      </c>
      <c r="B370" s="37">
        <v>112982</v>
      </c>
      <c r="C370" s="37">
        <v>297</v>
      </c>
      <c r="D370" s="20" t="s">
        <v>254</v>
      </c>
      <c r="E370" s="14" t="s">
        <v>1005</v>
      </c>
      <c r="F370" s="146" t="s">
        <v>1432</v>
      </c>
      <c r="G370" s="15" t="s">
        <v>1433</v>
      </c>
      <c r="H370" s="20" t="s">
        <v>1434</v>
      </c>
      <c r="I370" s="112" t="s">
        <v>1435</v>
      </c>
      <c r="J370" s="30">
        <v>43318</v>
      </c>
      <c r="K370" s="30">
        <v>43683</v>
      </c>
      <c r="L370" s="31">
        <f t="shared" si="155"/>
        <v>82.304142421748935</v>
      </c>
      <c r="M370" s="20" t="s">
        <v>855</v>
      </c>
      <c r="N370" s="20" t="s">
        <v>571</v>
      </c>
      <c r="O370" s="20" t="s">
        <v>1436</v>
      </c>
      <c r="P370" s="32" t="s">
        <v>850</v>
      </c>
      <c r="Q370" s="20" t="s">
        <v>40</v>
      </c>
      <c r="R370" s="2">
        <f t="shared" si="154"/>
        <v>819220.94</v>
      </c>
      <c r="S370" s="2">
        <f>660630.63-0.29</f>
        <v>660630.34</v>
      </c>
      <c r="T370" s="2">
        <f>158590.68-0.08</f>
        <v>158590.6</v>
      </c>
      <c r="U370" s="2">
        <f t="shared" ref="U370:U401" si="159">V370+W370</f>
        <v>156229.57</v>
      </c>
      <c r="V370" s="2">
        <f>116581.9-0.05</f>
        <v>116581.84999999999</v>
      </c>
      <c r="W370" s="2">
        <f>39647.73-0.01</f>
        <v>39647.72</v>
      </c>
      <c r="X370" s="2">
        <f t="shared" si="153"/>
        <v>0</v>
      </c>
      <c r="Y370" s="2"/>
      <c r="Z370" s="2"/>
      <c r="AA370" s="2">
        <f t="shared" si="156"/>
        <v>19907.580000000002</v>
      </c>
      <c r="AB370" s="2">
        <f>15861.49+0.34</f>
        <v>15861.83</v>
      </c>
      <c r="AC370" s="2">
        <f>4045.66+0.09</f>
        <v>4045.75</v>
      </c>
      <c r="AD370" s="2">
        <f t="shared" si="157"/>
        <v>995358.09</v>
      </c>
      <c r="AE370" s="2"/>
      <c r="AF370" s="2">
        <f t="shared" si="158"/>
        <v>995358.09</v>
      </c>
      <c r="AG370" s="24" t="s">
        <v>41</v>
      </c>
      <c r="AH370" s="34"/>
      <c r="AI370" s="35">
        <f>764833.39+7900.03</f>
        <v>772733.42</v>
      </c>
      <c r="AJ370" s="36">
        <f>145857.5+1506.57</f>
        <v>147364.07</v>
      </c>
      <c r="AK370" s="28">
        <f t="shared" si="150"/>
        <v>46487.519999999902</v>
      </c>
      <c r="AL370" s="28">
        <f t="shared" si="151"/>
        <v>8865.5</v>
      </c>
      <c r="AM370" s="29">
        <f t="shared" si="152"/>
        <v>0.94325398957697548</v>
      </c>
    </row>
    <row r="371" spans="1:39" ht="192" customHeight="1" x14ac:dyDescent="0.25">
      <c r="A371" s="10">
        <v>368</v>
      </c>
      <c r="B371" s="37">
        <v>110476</v>
      </c>
      <c r="C371" s="37">
        <v>203</v>
      </c>
      <c r="D371" s="20" t="s">
        <v>254</v>
      </c>
      <c r="E371" s="14" t="s">
        <v>1005</v>
      </c>
      <c r="F371" s="146" t="s">
        <v>1437</v>
      </c>
      <c r="G371" s="15" t="s">
        <v>1438</v>
      </c>
      <c r="H371" s="20" t="s">
        <v>1439</v>
      </c>
      <c r="I371" s="112" t="s">
        <v>1440</v>
      </c>
      <c r="J371" s="30">
        <v>43321</v>
      </c>
      <c r="K371" s="30">
        <v>43808</v>
      </c>
      <c r="L371" s="31">
        <f t="shared" si="155"/>
        <v>82.304185104915661</v>
      </c>
      <c r="M371" s="20" t="s">
        <v>855</v>
      </c>
      <c r="N371" s="20" t="s">
        <v>117</v>
      </c>
      <c r="O371" s="20" t="s">
        <v>117</v>
      </c>
      <c r="P371" s="32" t="s">
        <v>850</v>
      </c>
      <c r="Q371" s="20" t="s">
        <v>40</v>
      </c>
      <c r="R371" s="2">
        <f t="shared" si="154"/>
        <v>792472.48</v>
      </c>
      <c r="S371" s="2">
        <v>639060</v>
      </c>
      <c r="T371" s="2">
        <v>153412.48000000001</v>
      </c>
      <c r="U371" s="2">
        <f t="shared" si="159"/>
        <v>151128.4</v>
      </c>
      <c r="V371" s="2">
        <v>112775.26</v>
      </c>
      <c r="W371" s="2">
        <v>38353.14</v>
      </c>
      <c r="X371" s="2">
        <f t="shared" si="153"/>
        <v>0</v>
      </c>
      <c r="Y371" s="2">
        <v>0</v>
      </c>
      <c r="Z371" s="2">
        <v>0</v>
      </c>
      <c r="AA371" s="2">
        <f t="shared" si="156"/>
        <v>19257.18</v>
      </c>
      <c r="AB371" s="2">
        <v>15343.63</v>
      </c>
      <c r="AC371" s="2">
        <v>3913.55</v>
      </c>
      <c r="AD371" s="2">
        <f t="shared" si="157"/>
        <v>962858.06</v>
      </c>
      <c r="AE371" s="2"/>
      <c r="AF371" s="2">
        <f t="shared" si="158"/>
        <v>962858.06</v>
      </c>
      <c r="AG371" s="24" t="s">
        <v>41</v>
      </c>
      <c r="AH371" s="34" t="s">
        <v>1441</v>
      </c>
      <c r="AI371" s="35">
        <f>428320.62+93776.01+55027.39+139592.25</f>
        <v>716716.27</v>
      </c>
      <c r="AJ371" s="36">
        <f>81204.25+10493.99+44983.15</f>
        <v>136681.39000000001</v>
      </c>
      <c r="AK371" s="28">
        <f t="shared" si="150"/>
        <v>75756.209999999963</v>
      </c>
      <c r="AL371" s="28">
        <f t="shared" si="151"/>
        <v>14447.00999999998</v>
      </c>
      <c r="AM371" s="29">
        <f t="shared" si="152"/>
        <v>0.90440524824281598</v>
      </c>
    </row>
    <row r="372" spans="1:39" ht="192" customHeight="1" x14ac:dyDescent="0.25">
      <c r="A372" s="10">
        <v>369</v>
      </c>
      <c r="B372" s="37">
        <v>111413</v>
      </c>
      <c r="C372" s="37">
        <v>245</v>
      </c>
      <c r="D372" s="20" t="s">
        <v>254</v>
      </c>
      <c r="E372" s="14" t="s">
        <v>1005</v>
      </c>
      <c r="F372" s="146" t="s">
        <v>1442</v>
      </c>
      <c r="G372" s="15" t="s">
        <v>1443</v>
      </c>
      <c r="H372" s="20" t="s">
        <v>1444</v>
      </c>
      <c r="I372" s="112" t="s">
        <v>1445</v>
      </c>
      <c r="J372" s="30">
        <v>43325</v>
      </c>
      <c r="K372" s="30">
        <v>43812</v>
      </c>
      <c r="L372" s="31">
        <f t="shared" si="155"/>
        <v>82.510189524515496</v>
      </c>
      <c r="M372" s="20" t="s">
        <v>855</v>
      </c>
      <c r="N372" s="20" t="s">
        <v>228</v>
      </c>
      <c r="O372" s="20" t="s">
        <v>228</v>
      </c>
      <c r="P372" s="32" t="s">
        <v>850</v>
      </c>
      <c r="Q372" s="20" t="s">
        <v>40</v>
      </c>
      <c r="R372" s="2">
        <f t="shared" si="154"/>
        <v>805149.57</v>
      </c>
      <c r="S372" s="2">
        <v>649282.97</v>
      </c>
      <c r="T372" s="2">
        <v>155866.6</v>
      </c>
      <c r="U372" s="2">
        <f t="shared" si="159"/>
        <v>134378</v>
      </c>
      <c r="V372" s="2">
        <v>100275.78</v>
      </c>
      <c r="W372" s="2">
        <v>34102.22</v>
      </c>
      <c r="X372" s="2">
        <f t="shared" si="153"/>
        <v>19168</v>
      </c>
      <c r="Y372" s="2">
        <v>14303.59</v>
      </c>
      <c r="Z372" s="2">
        <v>4864.41</v>
      </c>
      <c r="AA372" s="2">
        <f t="shared" si="156"/>
        <v>17122.78</v>
      </c>
      <c r="AB372" s="2">
        <v>13642.95</v>
      </c>
      <c r="AC372" s="2">
        <v>3479.83</v>
      </c>
      <c r="AD372" s="2">
        <f t="shared" si="157"/>
        <v>975818.35</v>
      </c>
      <c r="AE372" s="2">
        <v>0</v>
      </c>
      <c r="AF372" s="2">
        <f t="shared" si="158"/>
        <v>975818.35</v>
      </c>
      <c r="AG372" s="24" t="s">
        <v>41</v>
      </c>
      <c r="AH372" s="34" t="s">
        <v>46</v>
      </c>
      <c r="AI372" s="35">
        <f>85600-10278.92+91440.93+64880.29+85600+67989.89+122279.98+103700.71+78599.18+1013.75+8269.89</f>
        <v>699095.70000000007</v>
      </c>
      <c r="AJ372" s="36">
        <f>10278.92+5199.07+27998.08+12966.01+23319.38+19776.21+14989.25+14467.31</f>
        <v>128994.23000000001</v>
      </c>
      <c r="AK372" s="28">
        <f t="shared" si="150"/>
        <v>106053.86999999988</v>
      </c>
      <c r="AL372" s="28">
        <f t="shared" si="151"/>
        <v>5383.7699999999895</v>
      </c>
      <c r="AM372" s="29">
        <f t="shared" si="152"/>
        <v>0.86828053575188535</v>
      </c>
    </row>
    <row r="373" spans="1:39" ht="192" customHeight="1" x14ac:dyDescent="0.25">
      <c r="A373" s="10">
        <v>370</v>
      </c>
      <c r="B373" s="37">
        <v>112299</v>
      </c>
      <c r="C373" s="37">
        <v>370</v>
      </c>
      <c r="D373" s="20" t="s">
        <v>1289</v>
      </c>
      <c r="E373" s="14" t="s">
        <v>1290</v>
      </c>
      <c r="F373" s="146" t="s">
        <v>1446</v>
      </c>
      <c r="G373" s="15" t="s">
        <v>1447</v>
      </c>
      <c r="H373" s="20" t="s">
        <v>35</v>
      </c>
      <c r="I373" s="146" t="s">
        <v>1448</v>
      </c>
      <c r="J373" s="30">
        <v>43322</v>
      </c>
      <c r="K373" s="30">
        <v>43961</v>
      </c>
      <c r="L373" s="31">
        <f t="shared" si="155"/>
        <v>82.304185787048553</v>
      </c>
      <c r="M373" s="20" t="s">
        <v>855</v>
      </c>
      <c r="N373" s="20" t="s">
        <v>228</v>
      </c>
      <c r="O373" s="20" t="s">
        <v>228</v>
      </c>
      <c r="P373" s="32" t="s">
        <v>850</v>
      </c>
      <c r="Q373" s="20" t="s">
        <v>40</v>
      </c>
      <c r="R373" s="2">
        <f t="shared" si="154"/>
        <v>5950616.5500000007</v>
      </c>
      <c r="S373" s="2">
        <v>4798653.8600000003</v>
      </c>
      <c r="T373" s="2">
        <v>1151962.69</v>
      </c>
      <c r="U373" s="2">
        <f t="shared" si="159"/>
        <v>1134811.93</v>
      </c>
      <c r="V373" s="2">
        <v>846821.24</v>
      </c>
      <c r="W373" s="2">
        <v>287990.69</v>
      </c>
      <c r="X373" s="2">
        <f t="shared" si="153"/>
        <v>0</v>
      </c>
      <c r="Y373" s="2">
        <v>0</v>
      </c>
      <c r="Z373" s="2">
        <v>0</v>
      </c>
      <c r="AA373" s="2">
        <f t="shared" si="156"/>
        <v>144600.58000000002</v>
      </c>
      <c r="AB373" s="2">
        <v>115213.72</v>
      </c>
      <c r="AC373" s="2">
        <v>29386.86</v>
      </c>
      <c r="AD373" s="2">
        <f t="shared" si="157"/>
        <v>7230029.0600000005</v>
      </c>
      <c r="AE373" s="2">
        <v>125283.56</v>
      </c>
      <c r="AF373" s="2">
        <f t="shared" si="158"/>
        <v>7355312.6200000001</v>
      </c>
      <c r="AG373" s="39" t="s">
        <v>69</v>
      </c>
      <c r="AH373" s="34" t="s">
        <v>1449</v>
      </c>
      <c r="AI373" s="35">
        <f>2989084.5+138744.31+504052.17+175482.8+697385.83+985436.75</f>
        <v>5490186.3599999994</v>
      </c>
      <c r="AJ373" s="36">
        <f>432152.92+26459.23+96125.26+71707.5+132994.92+240620.64</f>
        <v>1000060.47</v>
      </c>
      <c r="AK373" s="28">
        <f t="shared" si="150"/>
        <v>460430.19000000134</v>
      </c>
      <c r="AL373" s="28">
        <f t="shared" si="151"/>
        <v>134751.45999999996</v>
      </c>
      <c r="AM373" s="29">
        <f t="shared" si="152"/>
        <v>0.92262479255195817</v>
      </c>
    </row>
    <row r="374" spans="1:39" ht="192" customHeight="1" x14ac:dyDescent="0.25">
      <c r="A374" s="10">
        <v>371</v>
      </c>
      <c r="B374" s="37">
        <v>112241</v>
      </c>
      <c r="C374" s="37">
        <v>291</v>
      </c>
      <c r="D374" s="20" t="s">
        <v>254</v>
      </c>
      <c r="E374" s="14" t="s">
        <v>1005</v>
      </c>
      <c r="F374" s="146" t="s">
        <v>1450</v>
      </c>
      <c r="G374" s="15" t="s">
        <v>1451</v>
      </c>
      <c r="H374" s="20" t="s">
        <v>1452</v>
      </c>
      <c r="I374" s="112" t="s">
        <v>1453</v>
      </c>
      <c r="J374" s="30">
        <v>43332</v>
      </c>
      <c r="K374" s="30">
        <v>43819</v>
      </c>
      <c r="L374" s="31">
        <f t="shared" si="155"/>
        <v>82.583882850083839</v>
      </c>
      <c r="M374" s="32" t="s">
        <v>259</v>
      </c>
      <c r="N374" s="20" t="s">
        <v>1342</v>
      </c>
      <c r="O374" s="20" t="s">
        <v>582</v>
      </c>
      <c r="P374" s="32" t="s">
        <v>850</v>
      </c>
      <c r="Q374" s="62" t="s">
        <v>40</v>
      </c>
      <c r="R374" s="2">
        <f t="shared" si="154"/>
        <v>824427.28</v>
      </c>
      <c r="S374" s="2">
        <v>664828.78</v>
      </c>
      <c r="T374" s="2">
        <v>159598.5</v>
      </c>
      <c r="U374" s="2">
        <f t="shared" si="159"/>
        <v>130597.97</v>
      </c>
      <c r="V374" s="2">
        <v>97455.03</v>
      </c>
      <c r="W374" s="2">
        <v>33142.94</v>
      </c>
      <c r="X374" s="2">
        <f t="shared" si="153"/>
        <v>26624.399999999998</v>
      </c>
      <c r="Y374" s="2">
        <v>19867.71</v>
      </c>
      <c r="Z374" s="2">
        <v>6756.69</v>
      </c>
      <c r="AA374" s="2">
        <f t="shared" si="156"/>
        <v>16641.12</v>
      </c>
      <c r="AB374" s="2">
        <v>13259.17</v>
      </c>
      <c r="AC374" s="2">
        <v>3381.95</v>
      </c>
      <c r="AD374" s="2">
        <f t="shared" si="157"/>
        <v>998290.77</v>
      </c>
      <c r="AE374" s="2"/>
      <c r="AF374" s="2">
        <f t="shared" si="158"/>
        <v>998290.77</v>
      </c>
      <c r="AG374" s="39" t="s">
        <v>41</v>
      </c>
      <c r="AH374" s="34"/>
      <c r="AI374" s="35">
        <v>750146.63999999978</v>
      </c>
      <c r="AJ374" s="36">
        <v>119349.39000000001</v>
      </c>
      <c r="AK374" s="28">
        <f t="shared" si="150"/>
        <v>74280.640000000247</v>
      </c>
      <c r="AL374" s="28">
        <f t="shared" si="151"/>
        <v>11248.579999999987</v>
      </c>
      <c r="AM374" s="29">
        <f t="shared" si="152"/>
        <v>0.90990031285718709</v>
      </c>
    </row>
    <row r="375" spans="1:39" ht="192" customHeight="1" x14ac:dyDescent="0.25">
      <c r="A375" s="10">
        <v>372</v>
      </c>
      <c r="B375" s="37">
        <v>111881</v>
      </c>
      <c r="C375" s="37">
        <v>222</v>
      </c>
      <c r="D375" s="20" t="s">
        <v>254</v>
      </c>
      <c r="E375" s="14" t="s">
        <v>1005</v>
      </c>
      <c r="F375" s="97" t="s">
        <v>1454</v>
      </c>
      <c r="G375" s="62" t="s">
        <v>1455</v>
      </c>
      <c r="H375" s="20" t="s">
        <v>683</v>
      </c>
      <c r="I375" s="16" t="s">
        <v>1456</v>
      </c>
      <c r="J375" s="30">
        <v>43332</v>
      </c>
      <c r="K375" s="30">
        <v>43819</v>
      </c>
      <c r="L375" s="31">
        <f t="shared" si="155"/>
        <v>82.304193109047048</v>
      </c>
      <c r="M375" s="32" t="s">
        <v>259</v>
      </c>
      <c r="N375" s="20" t="s">
        <v>228</v>
      </c>
      <c r="O375" s="20" t="s">
        <v>228</v>
      </c>
      <c r="P375" s="32" t="s">
        <v>850</v>
      </c>
      <c r="Q375" s="20" t="s">
        <v>40</v>
      </c>
      <c r="R375" s="2">
        <f t="shared" si="154"/>
        <v>817219.92999999993</v>
      </c>
      <c r="S375" s="2">
        <v>659016.73</v>
      </c>
      <c r="T375" s="2">
        <v>158203.20000000001</v>
      </c>
      <c r="U375" s="2">
        <f t="shared" si="159"/>
        <v>155847.79</v>
      </c>
      <c r="V375" s="2">
        <v>116297.02</v>
      </c>
      <c r="W375" s="2">
        <v>39550.769999999997</v>
      </c>
      <c r="X375" s="2">
        <f t="shared" si="153"/>
        <v>19858.52</v>
      </c>
      <c r="Y375" s="2">
        <v>15822.64</v>
      </c>
      <c r="Z375" s="2">
        <v>4035.88</v>
      </c>
      <c r="AA375" s="2">
        <f t="shared" si="156"/>
        <v>0</v>
      </c>
      <c r="AB375" s="2">
        <v>0</v>
      </c>
      <c r="AC375" s="2">
        <v>0</v>
      </c>
      <c r="AD375" s="2">
        <f t="shared" si="157"/>
        <v>992926.24</v>
      </c>
      <c r="AE375" s="2"/>
      <c r="AF375" s="2">
        <f t="shared" si="158"/>
        <v>992926.24</v>
      </c>
      <c r="AG375" s="39" t="s">
        <v>41</v>
      </c>
      <c r="AH375" s="34" t="s">
        <v>1457</v>
      </c>
      <c r="AI375" s="35">
        <f>99292.62-14519.17+90653.42-15093.22+94237.53+80664.42-14592.29+91109.94+330680.29</f>
        <v>742433.54</v>
      </c>
      <c r="AJ375" s="36">
        <f>14519.17+15093.22+15383.12+14592.29+81997.93</f>
        <v>141585.72999999998</v>
      </c>
      <c r="AK375" s="28">
        <f t="shared" si="150"/>
        <v>74786.389999999898</v>
      </c>
      <c r="AL375" s="28">
        <f t="shared" si="151"/>
        <v>14262.060000000027</v>
      </c>
      <c r="AM375" s="29">
        <f t="shared" si="152"/>
        <v>0.90848682557215665</v>
      </c>
    </row>
    <row r="376" spans="1:39" ht="192" customHeight="1" x14ac:dyDescent="0.25">
      <c r="A376" s="10">
        <v>373</v>
      </c>
      <c r="B376" s="37">
        <v>111434</v>
      </c>
      <c r="C376" s="37">
        <v>141</v>
      </c>
      <c r="D376" s="20" t="s">
        <v>254</v>
      </c>
      <c r="E376" s="14" t="s">
        <v>1005</v>
      </c>
      <c r="F376" s="146" t="s">
        <v>1458</v>
      </c>
      <c r="G376" s="15" t="s">
        <v>1459</v>
      </c>
      <c r="H376" s="20" t="s">
        <v>1460</v>
      </c>
      <c r="I376" s="112" t="s">
        <v>1461</v>
      </c>
      <c r="J376" s="30">
        <v>43332</v>
      </c>
      <c r="K376" s="30">
        <v>43881</v>
      </c>
      <c r="L376" s="31">
        <f t="shared" si="155"/>
        <v>82.30418537074344</v>
      </c>
      <c r="M376" s="20" t="s">
        <v>855</v>
      </c>
      <c r="N376" s="20" t="s">
        <v>229</v>
      </c>
      <c r="O376" s="20" t="s">
        <v>229</v>
      </c>
      <c r="P376" s="32" t="s">
        <v>850</v>
      </c>
      <c r="Q376" s="62" t="s">
        <v>40</v>
      </c>
      <c r="R376" s="2">
        <f t="shared" si="154"/>
        <v>822576.44</v>
      </c>
      <c r="S376" s="2">
        <v>663336.19999999995</v>
      </c>
      <c r="T376" s="2">
        <v>159240.24</v>
      </c>
      <c r="U376" s="2">
        <f t="shared" si="159"/>
        <v>156869.40000000002</v>
      </c>
      <c r="V376" s="2">
        <v>117059.35</v>
      </c>
      <c r="W376" s="2">
        <v>39810.050000000003</v>
      </c>
      <c r="X376" s="2">
        <f t="shared" si="153"/>
        <v>19988.68</v>
      </c>
      <c r="Y376" s="2">
        <v>15926.46</v>
      </c>
      <c r="Z376" s="2">
        <v>4062.22</v>
      </c>
      <c r="AA376" s="2">
        <f t="shared" si="156"/>
        <v>0</v>
      </c>
      <c r="AB376" s="2">
        <v>0</v>
      </c>
      <c r="AC376" s="2">
        <v>0</v>
      </c>
      <c r="AD376" s="2">
        <f t="shared" si="157"/>
        <v>999434.52</v>
      </c>
      <c r="AE376" s="2"/>
      <c r="AF376" s="2">
        <f t="shared" si="158"/>
        <v>999434.52</v>
      </c>
      <c r="AG376" s="39" t="s">
        <v>628</v>
      </c>
      <c r="AH376" s="34" t="s">
        <v>1462</v>
      </c>
      <c r="AI376" s="35">
        <f>49971.72+83543.84+96913+21111.43+81377.76+128016.73+84993.07+90341.92+71327.12</f>
        <v>707596.59000000008</v>
      </c>
      <c r="AJ376" s="36">
        <f>24884.17+21127.4+22831.19+16208.59+25868.4+24022.36</f>
        <v>134942.10999999999</v>
      </c>
      <c r="AK376" s="28">
        <f t="shared" si="150"/>
        <v>114979.84999999986</v>
      </c>
      <c r="AL376" s="28">
        <f t="shared" si="151"/>
        <v>21927.290000000037</v>
      </c>
      <c r="AM376" s="29">
        <f t="shared" si="152"/>
        <v>0.86021985993180172</v>
      </c>
    </row>
    <row r="377" spans="1:39" ht="192" customHeight="1" thickBot="1" x14ac:dyDescent="0.3">
      <c r="A377" s="10">
        <v>374</v>
      </c>
      <c r="B377" s="37">
        <v>112374</v>
      </c>
      <c r="C377" s="37">
        <v>142</v>
      </c>
      <c r="D377" s="20" t="s">
        <v>254</v>
      </c>
      <c r="E377" s="14" t="s">
        <v>1005</v>
      </c>
      <c r="F377" s="146" t="s">
        <v>1463</v>
      </c>
      <c r="G377" s="15" t="s">
        <v>1464</v>
      </c>
      <c r="H377" s="20" t="s">
        <v>173</v>
      </c>
      <c r="I377" s="112" t="s">
        <v>1465</v>
      </c>
      <c r="J377" s="30">
        <v>43333</v>
      </c>
      <c r="K377" s="30">
        <v>43911</v>
      </c>
      <c r="L377" s="31">
        <f t="shared" si="155"/>
        <v>82.304182898535288</v>
      </c>
      <c r="M377" s="20" t="s">
        <v>855</v>
      </c>
      <c r="N377" s="20" t="s">
        <v>229</v>
      </c>
      <c r="O377" s="20" t="s">
        <v>229</v>
      </c>
      <c r="P377" s="32" t="s">
        <v>850</v>
      </c>
      <c r="Q377" s="20" t="s">
        <v>40</v>
      </c>
      <c r="R377" s="2">
        <f t="shared" si="154"/>
        <v>776266.51</v>
      </c>
      <c r="S377" s="2">
        <v>625991.30000000005</v>
      </c>
      <c r="T377" s="2">
        <v>150275.21</v>
      </c>
      <c r="U377" s="2">
        <f t="shared" si="159"/>
        <v>148037.87</v>
      </c>
      <c r="V377" s="2">
        <v>110469.08</v>
      </c>
      <c r="W377" s="2">
        <v>37568.79</v>
      </c>
      <c r="X377" s="2">
        <f t="shared" si="153"/>
        <v>0</v>
      </c>
      <c r="Y377" s="2"/>
      <c r="Z377" s="2"/>
      <c r="AA377" s="2">
        <f t="shared" si="156"/>
        <v>18863.37</v>
      </c>
      <c r="AB377" s="2">
        <v>15029.81</v>
      </c>
      <c r="AC377" s="2">
        <v>3833.56</v>
      </c>
      <c r="AD377" s="151">
        <f t="shared" si="157"/>
        <v>943167.75</v>
      </c>
      <c r="AE377" s="2">
        <v>0</v>
      </c>
      <c r="AF377" s="2">
        <f t="shared" si="158"/>
        <v>943167.75</v>
      </c>
      <c r="AG377" s="39" t="s">
        <v>41</v>
      </c>
      <c r="AH377" s="34" t="s">
        <v>1466</v>
      </c>
      <c r="AI377" s="35">
        <f>94316.78+88365.15+32352.46+93883.38+44276.08+94316.78+78710.2+34471.03+94204.16</f>
        <v>654896.02</v>
      </c>
      <c r="AJ377" s="36">
        <f>21755.69+19252.4+433.4+25914.37+15010.43+24560.42+17965.2</f>
        <v>124891.91</v>
      </c>
      <c r="AK377" s="28">
        <f t="shared" si="150"/>
        <v>121370.48999999999</v>
      </c>
      <c r="AL377" s="28">
        <f t="shared" si="151"/>
        <v>23145.959999999992</v>
      </c>
      <c r="AM377" s="29">
        <f t="shared" si="152"/>
        <v>0.84364842687854713</v>
      </c>
    </row>
    <row r="378" spans="1:39" ht="192" customHeight="1" thickTop="1" x14ac:dyDescent="0.25">
      <c r="A378" s="10">
        <v>375</v>
      </c>
      <c r="B378" s="37">
        <v>111379</v>
      </c>
      <c r="C378" s="37">
        <v>228</v>
      </c>
      <c r="D378" s="20" t="s">
        <v>254</v>
      </c>
      <c r="E378" s="14" t="s">
        <v>1005</v>
      </c>
      <c r="F378" s="54" t="s">
        <v>1467</v>
      </c>
      <c r="G378" s="53" t="s">
        <v>1468</v>
      </c>
      <c r="H378" s="20" t="s">
        <v>1469</v>
      </c>
      <c r="I378" s="112" t="s">
        <v>1470</v>
      </c>
      <c r="J378" s="30">
        <v>43333</v>
      </c>
      <c r="K378" s="30">
        <v>43820</v>
      </c>
      <c r="L378" s="31">
        <f t="shared" si="155"/>
        <v>82.304192034439112</v>
      </c>
      <c r="M378" s="20" t="s">
        <v>855</v>
      </c>
      <c r="N378" s="20" t="s">
        <v>229</v>
      </c>
      <c r="O378" s="20" t="s">
        <v>229</v>
      </c>
      <c r="P378" s="32" t="s">
        <v>850</v>
      </c>
      <c r="Q378" s="20" t="s">
        <v>40</v>
      </c>
      <c r="R378" s="2">
        <f t="shared" si="154"/>
        <v>811155.73</v>
      </c>
      <c r="S378" s="2">
        <v>654126.39</v>
      </c>
      <c r="T378" s="2">
        <v>157029.34</v>
      </c>
      <c r="U378" s="2">
        <f t="shared" si="159"/>
        <v>154691.31</v>
      </c>
      <c r="V378" s="2">
        <v>115434</v>
      </c>
      <c r="W378" s="2">
        <v>39257.31</v>
      </c>
      <c r="X378" s="2">
        <f t="shared" si="153"/>
        <v>19711.18</v>
      </c>
      <c r="Y378" s="2">
        <v>15705.37</v>
      </c>
      <c r="Z378" s="2">
        <v>4005.81</v>
      </c>
      <c r="AA378" s="2">
        <f t="shared" si="156"/>
        <v>0</v>
      </c>
      <c r="AB378" s="2">
        <v>0</v>
      </c>
      <c r="AC378" s="2">
        <v>0</v>
      </c>
      <c r="AD378" s="2">
        <f t="shared" si="157"/>
        <v>985558.22000000009</v>
      </c>
      <c r="AE378" s="2"/>
      <c r="AF378" s="2">
        <f t="shared" si="158"/>
        <v>985558.22000000009</v>
      </c>
      <c r="AG378" s="39" t="s">
        <v>41</v>
      </c>
      <c r="AH378" s="34" t="s">
        <v>1471</v>
      </c>
      <c r="AI378" s="35">
        <f>91009.38-9270.26+57880.76-12678.05+33855.88+91009.38+115144.49+303539.89+74137.89</f>
        <v>744629.36</v>
      </c>
      <c r="AJ378" s="36">
        <f>9270.26+12678.05+8716.65+21958.63+75242.46+14138.42</f>
        <v>142004.47</v>
      </c>
      <c r="AK378" s="28">
        <f t="shared" si="150"/>
        <v>66526.37</v>
      </c>
      <c r="AL378" s="28">
        <f t="shared" si="151"/>
        <v>12686.839999999997</v>
      </c>
      <c r="AM378" s="29">
        <f t="shared" si="152"/>
        <v>0.91798569924421292</v>
      </c>
    </row>
    <row r="379" spans="1:39" ht="192" customHeight="1" x14ac:dyDescent="0.25">
      <c r="A379" s="10">
        <v>376</v>
      </c>
      <c r="B379" s="37">
        <v>112711</v>
      </c>
      <c r="C379" s="37">
        <v>209</v>
      </c>
      <c r="D379" s="152" t="s">
        <v>254</v>
      </c>
      <c r="E379" s="14" t="s">
        <v>1005</v>
      </c>
      <c r="F379" s="146" t="s">
        <v>1472</v>
      </c>
      <c r="G379" s="15" t="s">
        <v>1473</v>
      </c>
      <c r="H379" s="152" t="s">
        <v>1474</v>
      </c>
      <c r="I379" s="16" t="s">
        <v>1475</v>
      </c>
      <c r="J379" s="30">
        <v>43335</v>
      </c>
      <c r="K379" s="30">
        <v>43822</v>
      </c>
      <c r="L379" s="31">
        <f t="shared" si="155"/>
        <v>82.640124999999998</v>
      </c>
      <c r="M379" s="20" t="s">
        <v>855</v>
      </c>
      <c r="N379" s="20" t="s">
        <v>229</v>
      </c>
      <c r="O379" s="20" t="s">
        <v>229</v>
      </c>
      <c r="P379" s="32" t="s">
        <v>850</v>
      </c>
      <c r="Q379" s="20" t="s">
        <v>40</v>
      </c>
      <c r="R379" s="2">
        <f t="shared" si="154"/>
        <v>826401.25</v>
      </c>
      <c r="S379" s="2">
        <v>666420.59</v>
      </c>
      <c r="T379" s="2">
        <v>159980.66</v>
      </c>
      <c r="U379" s="2">
        <f t="shared" si="159"/>
        <v>153598.75</v>
      </c>
      <c r="V379" s="2">
        <v>114416.53</v>
      </c>
      <c r="W379" s="2">
        <v>39182.22</v>
      </c>
      <c r="X379" s="2">
        <f t="shared" si="153"/>
        <v>20000</v>
      </c>
      <c r="Y379" s="2">
        <v>15935.46</v>
      </c>
      <c r="Z379" s="2">
        <v>4064.54</v>
      </c>
      <c r="AA379" s="2">
        <f t="shared" si="156"/>
        <v>0</v>
      </c>
      <c r="AB379" s="2">
        <v>0</v>
      </c>
      <c r="AC379" s="2">
        <v>0</v>
      </c>
      <c r="AD379" s="2">
        <f t="shared" si="157"/>
        <v>1000000</v>
      </c>
      <c r="AE379" s="2"/>
      <c r="AF379" s="2">
        <f t="shared" si="158"/>
        <v>1000000</v>
      </c>
      <c r="AG379" s="39" t="s">
        <v>41</v>
      </c>
      <c r="AH379" s="34" t="s">
        <v>683</v>
      </c>
      <c r="AI379" s="35">
        <f>98952.8+38728.19+96005.78+68225.96+103165.27+4938.26+145762.12+161102.5+9031.2+61138.02</f>
        <v>787050.1</v>
      </c>
      <c r="AJ379" s="36">
        <f>24992.94+30773.35+1365.53+941.74+26883.3+29808.77+1722.28+29615.87</f>
        <v>146103.78</v>
      </c>
      <c r="AK379" s="28">
        <f t="shared" si="150"/>
        <v>39351.150000000023</v>
      </c>
      <c r="AL379" s="28">
        <f t="shared" si="151"/>
        <v>7494.9700000000012</v>
      </c>
      <c r="AM379" s="29">
        <f t="shared" si="152"/>
        <v>0.95238251394222839</v>
      </c>
    </row>
    <row r="380" spans="1:39" ht="192" customHeight="1" x14ac:dyDescent="0.25">
      <c r="A380" s="10">
        <v>377</v>
      </c>
      <c r="B380" s="37">
        <v>112827</v>
      </c>
      <c r="C380" s="37">
        <v>305</v>
      </c>
      <c r="D380" s="20" t="s">
        <v>254</v>
      </c>
      <c r="E380" s="14" t="s">
        <v>1005</v>
      </c>
      <c r="F380" s="146" t="s">
        <v>1476</v>
      </c>
      <c r="G380" s="146" t="s">
        <v>1477</v>
      </c>
      <c r="H380" s="20" t="s">
        <v>1478</v>
      </c>
      <c r="I380" s="112" t="s">
        <v>1479</v>
      </c>
      <c r="J380" s="30">
        <v>43325</v>
      </c>
      <c r="K380" s="30">
        <v>43812</v>
      </c>
      <c r="L380" s="31">
        <f t="shared" si="155"/>
        <v>82.304185909112974</v>
      </c>
      <c r="M380" s="20" t="s">
        <v>855</v>
      </c>
      <c r="N380" s="20" t="s">
        <v>203</v>
      </c>
      <c r="O380" s="20" t="s">
        <v>1480</v>
      </c>
      <c r="P380" s="32" t="s">
        <v>850</v>
      </c>
      <c r="Q380" s="20" t="s">
        <v>40</v>
      </c>
      <c r="R380" s="2">
        <f t="shared" si="154"/>
        <v>819344.36</v>
      </c>
      <c r="S380" s="2">
        <v>660729.87</v>
      </c>
      <c r="T380" s="2">
        <v>158614.49</v>
      </c>
      <c r="U380" s="2">
        <f t="shared" si="159"/>
        <v>156253</v>
      </c>
      <c r="V380" s="2">
        <v>116599.38</v>
      </c>
      <c r="W380" s="2">
        <v>39653.620000000003</v>
      </c>
      <c r="X380" s="2">
        <f t="shared" si="153"/>
        <v>0</v>
      </c>
      <c r="Y380" s="2"/>
      <c r="Z380" s="2"/>
      <c r="AA380" s="2">
        <f t="shared" si="156"/>
        <v>19910.16</v>
      </c>
      <c r="AB380" s="2">
        <v>15863.84</v>
      </c>
      <c r="AC380" s="2">
        <v>4046.32</v>
      </c>
      <c r="AD380" s="2">
        <f t="shared" si="157"/>
        <v>995507.52</v>
      </c>
      <c r="AE380" s="2"/>
      <c r="AF380" s="2">
        <f t="shared" si="158"/>
        <v>995507.52</v>
      </c>
      <c r="AG380" s="24" t="s">
        <v>41</v>
      </c>
      <c r="AH380" s="34" t="s">
        <v>1481</v>
      </c>
      <c r="AI380" s="35">
        <f>165274.95+38664.92+10408+235707.44+78966.94+38496.07-3710.24</f>
        <v>563808.07999999996</v>
      </c>
      <c r="AJ380" s="36">
        <f>22672.13+60694.84+16616.38+7341.42</f>
        <v>107324.77</v>
      </c>
      <c r="AK380" s="28">
        <f t="shared" si="150"/>
        <v>255536.28000000003</v>
      </c>
      <c r="AL380" s="28">
        <f t="shared" si="151"/>
        <v>48928.229999999996</v>
      </c>
      <c r="AM380" s="29">
        <f t="shared" si="152"/>
        <v>0.68812102398556818</v>
      </c>
    </row>
    <row r="381" spans="1:39" ht="192" customHeight="1" x14ac:dyDescent="0.25">
      <c r="A381" s="10">
        <v>378</v>
      </c>
      <c r="B381" s="37">
        <v>112220</v>
      </c>
      <c r="C381" s="37">
        <v>239</v>
      </c>
      <c r="D381" s="152" t="s">
        <v>254</v>
      </c>
      <c r="E381" s="14" t="s">
        <v>1005</v>
      </c>
      <c r="F381" s="15" t="s">
        <v>1482</v>
      </c>
      <c r="G381" s="15" t="s">
        <v>1483</v>
      </c>
      <c r="H381" s="20" t="s">
        <v>1484</v>
      </c>
      <c r="I381" s="112" t="s">
        <v>1485</v>
      </c>
      <c r="J381" s="30">
        <v>43346</v>
      </c>
      <c r="K381" s="30">
        <v>43772</v>
      </c>
      <c r="L381" s="31">
        <f t="shared" si="155"/>
        <v>82.53761528755669</v>
      </c>
      <c r="M381" s="20" t="s">
        <v>855</v>
      </c>
      <c r="N381" s="20" t="s">
        <v>338</v>
      </c>
      <c r="O381" s="20" t="s">
        <v>1486</v>
      </c>
      <c r="P381" s="32" t="s">
        <v>850</v>
      </c>
      <c r="Q381" s="20" t="s">
        <v>40</v>
      </c>
      <c r="R381" s="2">
        <f t="shared" si="154"/>
        <v>770988.47</v>
      </c>
      <c r="S381" s="2">
        <v>621735</v>
      </c>
      <c r="T381" s="2">
        <v>149253.47</v>
      </c>
      <c r="U381" s="2">
        <f t="shared" si="159"/>
        <v>126240.19</v>
      </c>
      <c r="V381" s="2">
        <v>94203.17</v>
      </c>
      <c r="W381" s="2">
        <v>32037.02</v>
      </c>
      <c r="X381" s="2">
        <f t="shared" si="153"/>
        <v>20791.07</v>
      </c>
      <c r="Y381" s="2">
        <v>15514.77</v>
      </c>
      <c r="Z381" s="2">
        <v>5276.3</v>
      </c>
      <c r="AA381" s="2">
        <f t="shared" si="156"/>
        <v>16085.85</v>
      </c>
      <c r="AB381" s="2">
        <v>12816.75</v>
      </c>
      <c r="AC381" s="2">
        <v>3269.1</v>
      </c>
      <c r="AD381" s="2">
        <f t="shared" si="157"/>
        <v>934105.57999999984</v>
      </c>
      <c r="AE381" s="2"/>
      <c r="AF381" s="2">
        <f t="shared" si="158"/>
        <v>934105.57999999984</v>
      </c>
      <c r="AG381" s="24" t="s">
        <v>41</v>
      </c>
      <c r="AH381" s="34" t="s">
        <v>46</v>
      </c>
      <c r="AI381" s="35">
        <f>539565.25+96369.35+53688.91+16794.02</f>
        <v>706417.53</v>
      </c>
      <c r="AJ381" s="36">
        <f>81386.87+28616.84+7174.44</f>
        <v>117178.15</v>
      </c>
      <c r="AK381" s="28">
        <f t="shared" si="150"/>
        <v>64570.939999999944</v>
      </c>
      <c r="AL381" s="28">
        <f t="shared" si="151"/>
        <v>9062.0400000000081</v>
      </c>
      <c r="AM381" s="29">
        <f t="shared" si="152"/>
        <v>0.91624914961439052</v>
      </c>
    </row>
    <row r="382" spans="1:39" ht="192" customHeight="1" x14ac:dyDescent="0.25">
      <c r="A382" s="10">
        <v>379</v>
      </c>
      <c r="B382" s="37">
        <v>111775</v>
      </c>
      <c r="C382" s="37">
        <v>364</v>
      </c>
      <c r="D382" s="152" t="s">
        <v>254</v>
      </c>
      <c r="E382" s="14" t="s">
        <v>1005</v>
      </c>
      <c r="F382" s="54" t="s">
        <v>1487</v>
      </c>
      <c r="G382" s="136" t="s">
        <v>1488</v>
      </c>
      <c r="H382" s="20" t="s">
        <v>1489</v>
      </c>
      <c r="I382" s="112" t="s">
        <v>1490</v>
      </c>
      <c r="J382" s="30">
        <v>43346</v>
      </c>
      <c r="K382" s="30">
        <v>43833</v>
      </c>
      <c r="L382" s="31">
        <f t="shared" si="155"/>
        <v>82.30418188922819</v>
      </c>
      <c r="M382" s="20" t="s">
        <v>855</v>
      </c>
      <c r="N382" s="20" t="s">
        <v>338</v>
      </c>
      <c r="O382" s="20" t="s">
        <v>1162</v>
      </c>
      <c r="P382" s="32" t="s">
        <v>850</v>
      </c>
      <c r="Q382" s="20" t="s">
        <v>40</v>
      </c>
      <c r="R382" s="2">
        <f t="shared" si="154"/>
        <v>779789.21</v>
      </c>
      <c r="S382" s="2">
        <v>628832.06999999995</v>
      </c>
      <c r="T382" s="2">
        <v>150957.14000000001</v>
      </c>
      <c r="U382" s="2">
        <f t="shared" si="159"/>
        <v>148709.68</v>
      </c>
      <c r="V382" s="2">
        <v>110970.39</v>
      </c>
      <c r="W382" s="2">
        <v>37739.29</v>
      </c>
      <c r="X382" s="2">
        <f t="shared" si="153"/>
        <v>0</v>
      </c>
      <c r="Y382" s="2"/>
      <c r="Z382" s="2"/>
      <c r="AA382" s="2">
        <f t="shared" si="156"/>
        <v>18948.97</v>
      </c>
      <c r="AB382" s="2">
        <v>15098.01</v>
      </c>
      <c r="AC382" s="2">
        <v>3850.96</v>
      </c>
      <c r="AD382" s="2">
        <f t="shared" si="157"/>
        <v>947447.85999999987</v>
      </c>
      <c r="AE382" s="2">
        <v>0</v>
      </c>
      <c r="AF382" s="2">
        <f t="shared" si="158"/>
        <v>947447.85999999987</v>
      </c>
      <c r="AG382" s="39" t="s">
        <v>41</v>
      </c>
      <c r="AH382" s="34" t="s">
        <v>46</v>
      </c>
      <c r="AI382" s="35">
        <f>94744.78+10125.98+94121.04-10122.56+91207.91+17880.02+109270.79+147206.72+63316.18</f>
        <v>617750.8600000001</v>
      </c>
      <c r="AJ382" s="36">
        <f>7252.41+12628.02+15463.44+21478.12+20838.49+28073.09+12074.68</f>
        <v>117808.25</v>
      </c>
      <c r="AK382" s="28">
        <f t="shared" si="150"/>
        <v>162038.34999999986</v>
      </c>
      <c r="AL382" s="28">
        <f t="shared" si="151"/>
        <v>30901.429999999993</v>
      </c>
      <c r="AM382" s="29">
        <f t="shared" si="152"/>
        <v>0.79220236966346347</v>
      </c>
    </row>
    <row r="383" spans="1:39" ht="192" customHeight="1" x14ac:dyDescent="0.25">
      <c r="A383" s="10">
        <v>380</v>
      </c>
      <c r="B383" s="37">
        <v>112027</v>
      </c>
      <c r="C383" s="37">
        <v>290</v>
      </c>
      <c r="D383" s="152" t="s">
        <v>254</v>
      </c>
      <c r="E383" s="14" t="s">
        <v>1005</v>
      </c>
      <c r="F383" s="4" t="s">
        <v>1491</v>
      </c>
      <c r="G383" s="88" t="s">
        <v>1492</v>
      </c>
      <c r="H383" s="87" t="s">
        <v>173</v>
      </c>
      <c r="I383" s="112" t="s">
        <v>1493</v>
      </c>
      <c r="J383" s="30">
        <v>43346</v>
      </c>
      <c r="K383" s="30">
        <v>43833</v>
      </c>
      <c r="L383" s="31">
        <f t="shared" si="155"/>
        <v>82.30418483269878</v>
      </c>
      <c r="M383" s="20" t="s">
        <v>855</v>
      </c>
      <c r="N383" s="20" t="s">
        <v>229</v>
      </c>
      <c r="O383" s="20" t="s">
        <v>229</v>
      </c>
      <c r="P383" s="32" t="s">
        <v>850</v>
      </c>
      <c r="Q383" s="20" t="s">
        <v>40</v>
      </c>
      <c r="R383" s="2">
        <f t="shared" si="154"/>
        <v>765927.6</v>
      </c>
      <c r="S383" s="2">
        <v>617653.87</v>
      </c>
      <c r="T383" s="2">
        <v>148273.73000000001</v>
      </c>
      <c r="U383" s="2">
        <f t="shared" si="159"/>
        <v>146066.19</v>
      </c>
      <c r="V383" s="2">
        <v>108997.75999999999</v>
      </c>
      <c r="W383" s="2">
        <v>37068.43</v>
      </c>
      <c r="X383" s="2">
        <f t="shared" si="153"/>
        <v>0</v>
      </c>
      <c r="Y383" s="2"/>
      <c r="Z383" s="2"/>
      <c r="AA383" s="2">
        <f t="shared" si="156"/>
        <v>18612.11</v>
      </c>
      <c r="AB383" s="2">
        <v>14829.62</v>
      </c>
      <c r="AC383" s="2">
        <v>3782.49</v>
      </c>
      <c r="AD383" s="2">
        <f t="shared" si="157"/>
        <v>930605.9</v>
      </c>
      <c r="AE383" s="2"/>
      <c r="AF383" s="2">
        <f t="shared" si="158"/>
        <v>930605.9</v>
      </c>
      <c r="AG383" s="39" t="s">
        <v>41</v>
      </c>
      <c r="AH383" s="34" t="s">
        <v>1494</v>
      </c>
      <c r="AI383" s="35">
        <f>459559.75+93000+163179.08+18037.22</f>
        <v>733776.04999999993</v>
      </c>
      <c r="AJ383" s="36">
        <f>87640.32+31119.04+21175.37</f>
        <v>139934.73000000001</v>
      </c>
      <c r="AK383" s="28">
        <f t="shared" si="150"/>
        <v>32151.550000000047</v>
      </c>
      <c r="AL383" s="28">
        <f t="shared" si="151"/>
        <v>6131.4599999999919</v>
      </c>
      <c r="AM383" s="29">
        <f t="shared" si="152"/>
        <v>0.95802272956347301</v>
      </c>
    </row>
    <row r="384" spans="1:39" ht="144.75" customHeight="1" x14ac:dyDescent="0.25">
      <c r="A384" s="10">
        <v>381</v>
      </c>
      <c r="B384" s="37">
        <v>112733</v>
      </c>
      <c r="C384" s="37">
        <v>146</v>
      </c>
      <c r="D384" s="152" t="s">
        <v>254</v>
      </c>
      <c r="E384" s="14" t="s">
        <v>1005</v>
      </c>
      <c r="F384" s="146" t="s">
        <v>1495</v>
      </c>
      <c r="G384" s="15" t="s">
        <v>1496</v>
      </c>
      <c r="H384" s="20" t="s">
        <v>1497</v>
      </c>
      <c r="I384" s="112" t="s">
        <v>1498</v>
      </c>
      <c r="J384" s="30">
        <v>43349</v>
      </c>
      <c r="K384" s="30">
        <v>43836</v>
      </c>
      <c r="L384" s="31">
        <f t="shared" si="155"/>
        <v>82.53318349196968</v>
      </c>
      <c r="M384" s="20" t="s">
        <v>855</v>
      </c>
      <c r="N384" s="20" t="s">
        <v>229</v>
      </c>
      <c r="O384" s="20" t="s">
        <v>229</v>
      </c>
      <c r="P384" s="32" t="s">
        <v>850</v>
      </c>
      <c r="Q384" s="20" t="s">
        <v>40</v>
      </c>
      <c r="R384" s="2">
        <f t="shared" si="154"/>
        <v>819750.19</v>
      </c>
      <c r="S384" s="2">
        <v>661057.13</v>
      </c>
      <c r="T384" s="2">
        <v>158693.06</v>
      </c>
      <c r="U384" s="2">
        <f t="shared" si="159"/>
        <v>134642.41999999998</v>
      </c>
      <c r="V384" s="2">
        <v>100473.09</v>
      </c>
      <c r="W384" s="2">
        <v>34169.33</v>
      </c>
      <c r="X384" s="2">
        <f t="shared" si="153"/>
        <v>21688.010000000002</v>
      </c>
      <c r="Y384" s="2">
        <v>16184.04</v>
      </c>
      <c r="Z384" s="2">
        <v>5503.97</v>
      </c>
      <c r="AA384" s="2">
        <f t="shared" si="156"/>
        <v>17156.47</v>
      </c>
      <c r="AB384" s="2">
        <v>13669.8</v>
      </c>
      <c r="AC384" s="2">
        <v>3486.67</v>
      </c>
      <c r="AD384" s="2">
        <f t="shared" si="157"/>
        <v>993237.08999999985</v>
      </c>
      <c r="AE384" s="2"/>
      <c r="AF384" s="2">
        <f t="shared" si="158"/>
        <v>993237.08999999985</v>
      </c>
      <c r="AG384" s="39" t="s">
        <v>41</v>
      </c>
      <c r="AH384" s="34" t="s">
        <v>46</v>
      </c>
      <c r="AI384" s="35">
        <f>85782.36-3113.23+78199.1+6754.09+75351.32+67788.76+80934.28+47367.75+243835.23+7975.27+6575.1</f>
        <v>697450.03</v>
      </c>
      <c r="AJ384" s="36">
        <f>12524.47+12068.37+12962.55+11810.14+16080.76+46500.56+1520.93</f>
        <v>113467.78</v>
      </c>
      <c r="AK384" s="28">
        <f t="shared" si="150"/>
        <v>122300.15999999992</v>
      </c>
      <c r="AL384" s="28">
        <f t="shared" si="151"/>
        <v>21174.639999999985</v>
      </c>
      <c r="AM384" s="29">
        <f t="shared" si="152"/>
        <v>0.85080801262150374</v>
      </c>
    </row>
    <row r="385" spans="1:39" ht="146.25" customHeight="1" x14ac:dyDescent="0.25">
      <c r="A385" s="10">
        <v>382</v>
      </c>
      <c r="B385" s="37">
        <v>111432</v>
      </c>
      <c r="C385" s="37">
        <v>277</v>
      </c>
      <c r="D385" s="152" t="s">
        <v>254</v>
      </c>
      <c r="E385" s="14" t="s">
        <v>1005</v>
      </c>
      <c r="F385" s="63" t="s">
        <v>1499</v>
      </c>
      <c r="G385" s="15" t="s">
        <v>1500</v>
      </c>
      <c r="H385" s="20" t="s">
        <v>1501</v>
      </c>
      <c r="I385" s="16" t="s">
        <v>1502</v>
      </c>
      <c r="J385" s="30">
        <v>43349</v>
      </c>
      <c r="K385" s="30">
        <v>43836</v>
      </c>
      <c r="L385" s="31">
        <f t="shared" si="155"/>
        <v>82.304186591731991</v>
      </c>
      <c r="M385" s="20" t="s">
        <v>855</v>
      </c>
      <c r="N385" s="20" t="s">
        <v>229</v>
      </c>
      <c r="O385" s="20" t="s">
        <v>229</v>
      </c>
      <c r="P385" s="32" t="s">
        <v>850</v>
      </c>
      <c r="Q385" s="20" t="s">
        <v>40</v>
      </c>
      <c r="R385" s="2">
        <f t="shared" si="154"/>
        <v>811369.98</v>
      </c>
      <c r="S385" s="2">
        <v>654299.23</v>
      </c>
      <c r="T385" s="2">
        <v>157070.75</v>
      </c>
      <c r="U385" s="2">
        <f t="shared" si="159"/>
        <v>154732.24</v>
      </c>
      <c r="V385" s="2">
        <v>115464.54</v>
      </c>
      <c r="W385" s="2">
        <v>39267.699999999997</v>
      </c>
      <c r="X385" s="2">
        <f t="shared" si="153"/>
        <v>0</v>
      </c>
      <c r="Y385" s="2"/>
      <c r="Z385" s="2"/>
      <c r="AA385" s="2">
        <f t="shared" si="156"/>
        <v>19716.38</v>
      </c>
      <c r="AB385" s="2">
        <v>15709.45</v>
      </c>
      <c r="AC385" s="2">
        <v>4006.93</v>
      </c>
      <c r="AD385" s="2">
        <f t="shared" si="157"/>
        <v>985818.6</v>
      </c>
      <c r="AE385" s="2">
        <v>0</v>
      </c>
      <c r="AF385" s="2">
        <f t="shared" si="158"/>
        <v>985818.6</v>
      </c>
      <c r="AG385" s="39" t="s">
        <v>41</v>
      </c>
      <c r="AH385" s="34" t="s">
        <v>1503</v>
      </c>
      <c r="AI385" s="35">
        <f>98500+28477.95+215174.75+92328.2+224990.6+149766.49-5027.14-10718.19</f>
        <v>793492.66</v>
      </c>
      <c r="AJ385" s="36">
        <f>23037.95+41034.92+43208.62+30634.3+13407.25</f>
        <v>151323.03999999998</v>
      </c>
      <c r="AK385" s="28">
        <f t="shared" si="150"/>
        <v>17877.319999999949</v>
      </c>
      <c r="AL385" s="28">
        <f t="shared" si="151"/>
        <v>3409.2000000000116</v>
      </c>
      <c r="AM385" s="29">
        <f t="shared" si="152"/>
        <v>0.97796650055995427</v>
      </c>
    </row>
    <row r="386" spans="1:39" ht="192" customHeight="1" x14ac:dyDescent="0.25">
      <c r="A386" s="10">
        <v>383</v>
      </c>
      <c r="B386" s="37">
        <v>112592</v>
      </c>
      <c r="C386" s="37">
        <v>144</v>
      </c>
      <c r="D386" s="20" t="s">
        <v>254</v>
      </c>
      <c r="E386" s="14" t="s">
        <v>1005</v>
      </c>
      <c r="F386" s="63" t="s">
        <v>1504</v>
      </c>
      <c r="G386" s="15" t="s">
        <v>1505</v>
      </c>
      <c r="H386" s="20" t="s">
        <v>46</v>
      </c>
      <c r="I386" s="112" t="s">
        <v>1506</v>
      </c>
      <c r="J386" s="30">
        <v>43349</v>
      </c>
      <c r="K386" s="30">
        <v>43836</v>
      </c>
      <c r="L386" s="31">
        <f t="shared" si="155"/>
        <v>82.304195666897996</v>
      </c>
      <c r="M386" s="20" t="s">
        <v>855</v>
      </c>
      <c r="N386" s="20" t="s">
        <v>228</v>
      </c>
      <c r="O386" s="20" t="s">
        <v>228</v>
      </c>
      <c r="P386" s="32" t="s">
        <v>850</v>
      </c>
      <c r="Q386" s="62" t="s">
        <v>40</v>
      </c>
      <c r="R386" s="2">
        <f t="shared" si="154"/>
        <v>809057.98</v>
      </c>
      <c r="S386" s="2">
        <v>652434.75</v>
      </c>
      <c r="T386" s="2">
        <v>156623.23000000001</v>
      </c>
      <c r="U386" s="2">
        <f t="shared" si="159"/>
        <v>154291.24</v>
      </c>
      <c r="V386" s="2">
        <v>115135.49</v>
      </c>
      <c r="W386" s="2">
        <v>39155.75</v>
      </c>
      <c r="X386" s="2">
        <f t="shared" si="153"/>
        <v>0</v>
      </c>
      <c r="Y386" s="2"/>
      <c r="Z386" s="2"/>
      <c r="AA386" s="2">
        <f t="shared" si="156"/>
        <v>19660.18</v>
      </c>
      <c r="AB386" s="2">
        <v>15664.68</v>
      </c>
      <c r="AC386" s="2">
        <v>3995.5</v>
      </c>
      <c r="AD386" s="2">
        <f t="shared" si="157"/>
        <v>983009.4</v>
      </c>
      <c r="AE386" s="2">
        <v>0</v>
      </c>
      <c r="AF386" s="2">
        <f t="shared" si="158"/>
        <v>983009.4</v>
      </c>
      <c r="AG386" s="39" t="s">
        <v>41</v>
      </c>
      <c r="AH386" s="34" t="s">
        <v>46</v>
      </c>
      <c r="AI386" s="35">
        <f>409932.52+98300+186513.93+69525</f>
        <v>764271.45</v>
      </c>
      <c r="AJ386" s="36">
        <f>78176.15+54315.44+13258.71</f>
        <v>145750.29999999999</v>
      </c>
      <c r="AK386" s="28">
        <f t="shared" si="150"/>
        <v>44786.530000000028</v>
      </c>
      <c r="AL386" s="28">
        <f t="shared" si="151"/>
        <v>8540.9400000000023</v>
      </c>
      <c r="AM386" s="29">
        <f t="shared" si="152"/>
        <v>0.94464360885483134</v>
      </c>
    </row>
    <row r="387" spans="1:39" ht="192" customHeight="1" x14ac:dyDescent="0.25">
      <c r="A387" s="10">
        <v>384</v>
      </c>
      <c r="B387" s="37">
        <v>111141</v>
      </c>
      <c r="C387" s="37">
        <v>312</v>
      </c>
      <c r="D387" s="20" t="s">
        <v>254</v>
      </c>
      <c r="E387" s="14" t="s">
        <v>1005</v>
      </c>
      <c r="F387" s="63" t="s">
        <v>1507</v>
      </c>
      <c r="G387" s="15" t="s">
        <v>1508</v>
      </c>
      <c r="H387" s="20" t="s">
        <v>1509</v>
      </c>
      <c r="I387" s="112" t="s">
        <v>1510</v>
      </c>
      <c r="J387" s="30">
        <v>43349</v>
      </c>
      <c r="K387" s="30">
        <v>43836</v>
      </c>
      <c r="L387" s="31">
        <f t="shared" si="155"/>
        <v>82.8034002708998</v>
      </c>
      <c r="M387" s="20" t="s">
        <v>855</v>
      </c>
      <c r="N387" s="20" t="s">
        <v>228</v>
      </c>
      <c r="O387" s="20" t="s">
        <v>228</v>
      </c>
      <c r="P387" s="32" t="s">
        <v>850</v>
      </c>
      <c r="Q387" s="62" t="s">
        <v>40</v>
      </c>
      <c r="R387" s="2">
        <f t="shared" si="154"/>
        <v>826298.46000000008</v>
      </c>
      <c r="S387" s="2">
        <v>666337.68000000005</v>
      </c>
      <c r="T387" s="2">
        <v>159960.78</v>
      </c>
      <c r="U387" s="2">
        <f t="shared" si="159"/>
        <v>151647.47000000003</v>
      </c>
      <c r="V387" s="2">
        <v>112862.79000000001</v>
      </c>
      <c r="W387" s="2">
        <v>38784.680000000008</v>
      </c>
      <c r="X387" s="2">
        <f t="shared" si="153"/>
        <v>0</v>
      </c>
      <c r="Y387" s="2"/>
      <c r="Z387" s="2"/>
      <c r="AA387" s="2">
        <f t="shared" si="156"/>
        <v>19958.09</v>
      </c>
      <c r="AB387" s="2">
        <v>15902.08</v>
      </c>
      <c r="AC387" s="2">
        <v>4056.01</v>
      </c>
      <c r="AD387" s="2">
        <f t="shared" si="157"/>
        <v>997904.02000000014</v>
      </c>
      <c r="AE387" s="2">
        <v>0</v>
      </c>
      <c r="AF387" s="2">
        <f t="shared" si="158"/>
        <v>997904.02000000014</v>
      </c>
      <c r="AG387" s="39" t="s">
        <v>41</v>
      </c>
      <c r="AH387" s="34"/>
      <c r="AI387" s="35">
        <f>632254.35-10189.51+33087.89+85540.85+35748.72</f>
        <v>776442.29999999993</v>
      </c>
      <c r="AJ387" s="36">
        <f>11343.79+2719.14+19935.24+14501.99+9712.84+39877.8+10189.51+12230.9+14249.55+7931</f>
        <v>142691.75999999998</v>
      </c>
      <c r="AK387" s="28">
        <f t="shared" si="150"/>
        <v>49856.160000000149</v>
      </c>
      <c r="AL387" s="28">
        <f t="shared" si="151"/>
        <v>8955.7100000000501</v>
      </c>
      <c r="AM387" s="29">
        <f t="shared" si="152"/>
        <v>0.93966325436453058</v>
      </c>
    </row>
    <row r="388" spans="1:39" ht="192" customHeight="1" x14ac:dyDescent="0.25">
      <c r="A388" s="10">
        <v>385</v>
      </c>
      <c r="B388" s="37">
        <v>110676</v>
      </c>
      <c r="C388" s="37">
        <v>129</v>
      </c>
      <c r="D388" s="20" t="s">
        <v>254</v>
      </c>
      <c r="E388" s="14" t="s">
        <v>1005</v>
      </c>
      <c r="F388" s="15" t="s">
        <v>1511</v>
      </c>
      <c r="G388" s="15" t="s">
        <v>1512</v>
      </c>
      <c r="H388" s="20"/>
      <c r="I388" s="112" t="s">
        <v>1513</v>
      </c>
      <c r="J388" s="30">
        <v>43350</v>
      </c>
      <c r="K388" s="30">
        <v>43715</v>
      </c>
      <c r="L388" s="31">
        <f t="shared" si="155"/>
        <v>82.304181371109394</v>
      </c>
      <c r="M388" s="20" t="s">
        <v>855</v>
      </c>
      <c r="N388" s="20" t="s">
        <v>228</v>
      </c>
      <c r="O388" s="20" t="s">
        <v>228</v>
      </c>
      <c r="P388" s="32" t="s">
        <v>850</v>
      </c>
      <c r="Q388" s="62" t="s">
        <v>40</v>
      </c>
      <c r="R388" s="2">
        <f t="shared" si="154"/>
        <v>815129.60000000009</v>
      </c>
      <c r="S388" s="2">
        <v>657331.03</v>
      </c>
      <c r="T388" s="2">
        <v>157798.57</v>
      </c>
      <c r="U388" s="2">
        <f t="shared" si="159"/>
        <v>155449.32</v>
      </c>
      <c r="V388" s="2">
        <v>115999.63</v>
      </c>
      <c r="W388" s="2">
        <v>39449.69</v>
      </c>
      <c r="X388" s="2">
        <f t="shared" si="153"/>
        <v>0</v>
      </c>
      <c r="Y388" s="2">
        <v>0</v>
      </c>
      <c r="Z388" s="2">
        <v>0</v>
      </c>
      <c r="AA388" s="2">
        <f t="shared" si="156"/>
        <v>19807.7</v>
      </c>
      <c r="AB388" s="2">
        <v>15782.23</v>
      </c>
      <c r="AC388" s="2">
        <v>4025.47</v>
      </c>
      <c r="AD388" s="2">
        <f t="shared" si="157"/>
        <v>990386.62000000011</v>
      </c>
      <c r="AE388" s="2">
        <v>0</v>
      </c>
      <c r="AF388" s="2">
        <f t="shared" si="158"/>
        <v>990386.62000000011</v>
      </c>
      <c r="AG388" s="24" t="s">
        <v>41</v>
      </c>
      <c r="AH388" s="34" t="s">
        <v>1514</v>
      </c>
      <c r="AI388" s="35">
        <f>743622.47+43643.44+7380.99</f>
        <v>794646.89999999991</v>
      </c>
      <c r="AJ388" s="36">
        <f>123314.06+26821.35+1407.6</f>
        <v>151543.01</v>
      </c>
      <c r="AK388" s="28">
        <f t="shared" si="150"/>
        <v>20482.700000000186</v>
      </c>
      <c r="AL388" s="28">
        <f t="shared" si="151"/>
        <v>3906.3099999999977</v>
      </c>
      <c r="AM388" s="29">
        <f t="shared" si="152"/>
        <v>0.97487184859928999</v>
      </c>
    </row>
    <row r="389" spans="1:39" ht="192" customHeight="1" x14ac:dyDescent="0.25">
      <c r="A389" s="10">
        <v>386</v>
      </c>
      <c r="B389" s="37">
        <v>111475</v>
      </c>
      <c r="C389" s="37">
        <v>168</v>
      </c>
      <c r="D389" s="20" t="s">
        <v>254</v>
      </c>
      <c r="E389" s="14" t="s">
        <v>1005</v>
      </c>
      <c r="F389" s="63" t="s">
        <v>1515</v>
      </c>
      <c r="G389" s="15" t="s">
        <v>1516</v>
      </c>
      <c r="H389" s="20"/>
      <c r="I389" s="112" t="s">
        <v>1517</v>
      </c>
      <c r="J389" s="30">
        <v>43353</v>
      </c>
      <c r="K389" s="30">
        <v>44022</v>
      </c>
      <c r="L389" s="31">
        <f t="shared" si="155"/>
        <v>82.304183420576962</v>
      </c>
      <c r="M389" s="20" t="s">
        <v>855</v>
      </c>
      <c r="N389" s="20" t="s">
        <v>228</v>
      </c>
      <c r="O389" s="20" t="s">
        <v>228</v>
      </c>
      <c r="P389" s="32" t="s">
        <v>850</v>
      </c>
      <c r="Q389" s="62" t="s">
        <v>40</v>
      </c>
      <c r="R389" s="2">
        <f t="shared" si="154"/>
        <v>771409.35000000009</v>
      </c>
      <c r="S389" s="2">
        <v>622074.41</v>
      </c>
      <c r="T389" s="2">
        <v>149334.94</v>
      </c>
      <c r="U389" s="2">
        <f t="shared" si="159"/>
        <v>147111.59</v>
      </c>
      <c r="V389" s="2">
        <v>109777.84</v>
      </c>
      <c r="W389" s="2">
        <v>37333.75</v>
      </c>
      <c r="X389" s="2">
        <f t="shared" si="153"/>
        <v>0</v>
      </c>
      <c r="Y389" s="2">
        <v>0</v>
      </c>
      <c r="Z389" s="2">
        <v>0</v>
      </c>
      <c r="AA389" s="2">
        <f t="shared" si="156"/>
        <v>18745.329999999998</v>
      </c>
      <c r="AB389" s="2">
        <v>14935.8</v>
      </c>
      <c r="AC389" s="2">
        <v>3809.53</v>
      </c>
      <c r="AD389" s="2">
        <f t="shared" si="157"/>
        <v>937266.27</v>
      </c>
      <c r="AE389" s="2">
        <v>0</v>
      </c>
      <c r="AF389" s="2">
        <f t="shared" si="158"/>
        <v>937266.27</v>
      </c>
      <c r="AG389" s="39" t="s">
        <v>69</v>
      </c>
      <c r="AH389" s="34" t="s">
        <v>1518</v>
      </c>
      <c r="AI389" s="35">
        <v>588678.78</v>
      </c>
      <c r="AJ389" s="36">
        <v>94389.89</v>
      </c>
      <c r="AK389" s="28">
        <f t="shared" ref="AK389:AK452" si="160">R389-AI389</f>
        <v>182730.57000000007</v>
      </c>
      <c r="AL389" s="28">
        <f t="shared" ref="AL389:AL452" si="161">U389-AJ389</f>
        <v>52721.7</v>
      </c>
      <c r="AM389" s="29">
        <f t="shared" ref="AM389:AM452" si="162">AI389/R389</f>
        <v>0.7631211366572106</v>
      </c>
    </row>
    <row r="390" spans="1:39" ht="192" customHeight="1" x14ac:dyDescent="0.25">
      <c r="A390" s="10">
        <v>387</v>
      </c>
      <c r="B390" s="19">
        <v>118813</v>
      </c>
      <c r="C390" s="19">
        <v>449</v>
      </c>
      <c r="D390" s="20" t="s">
        <v>1282</v>
      </c>
      <c r="E390" s="14" t="s">
        <v>1283</v>
      </c>
      <c r="F390" s="32" t="s">
        <v>1519</v>
      </c>
      <c r="G390" s="32" t="s">
        <v>1520</v>
      </c>
      <c r="H390" s="32" t="s">
        <v>257</v>
      </c>
      <c r="I390" s="153" t="s">
        <v>1521</v>
      </c>
      <c r="J390" s="30">
        <v>43350</v>
      </c>
      <c r="K390" s="30">
        <v>44172</v>
      </c>
      <c r="L390" s="31">
        <f t="shared" si="155"/>
        <v>83.983863931415527</v>
      </c>
      <c r="M390" s="20" t="s">
        <v>855</v>
      </c>
      <c r="N390" s="20" t="s">
        <v>228</v>
      </c>
      <c r="O390" s="20" t="s">
        <v>228</v>
      </c>
      <c r="P390" s="32" t="s">
        <v>260</v>
      </c>
      <c r="Q390" s="62" t="s">
        <v>40</v>
      </c>
      <c r="R390" s="2">
        <f t="shared" si="154"/>
        <v>4865899.05</v>
      </c>
      <c r="S390" s="2">
        <v>3923923.61</v>
      </c>
      <c r="T390" s="2">
        <v>941975.44</v>
      </c>
      <c r="U390" s="2">
        <f t="shared" si="159"/>
        <v>0</v>
      </c>
      <c r="V390" s="2">
        <v>0</v>
      </c>
      <c r="W390" s="2">
        <v>0</v>
      </c>
      <c r="X390" s="2">
        <f t="shared" si="153"/>
        <v>927950.8899999999</v>
      </c>
      <c r="Y390" s="2">
        <v>692457.08</v>
      </c>
      <c r="Z390" s="2">
        <v>235493.81</v>
      </c>
      <c r="AA390" s="2">
        <f t="shared" si="156"/>
        <v>0</v>
      </c>
      <c r="AB390" s="2">
        <v>0</v>
      </c>
      <c r="AC390" s="2">
        <v>0</v>
      </c>
      <c r="AD390" s="2">
        <f t="shared" si="157"/>
        <v>5793849.9399999995</v>
      </c>
      <c r="AE390" s="2">
        <v>0</v>
      </c>
      <c r="AF390" s="2">
        <f t="shared" si="158"/>
        <v>5793849.9399999995</v>
      </c>
      <c r="AG390" s="39" t="s">
        <v>69</v>
      </c>
      <c r="AH390" s="143" t="s">
        <v>1522</v>
      </c>
      <c r="AI390" s="35">
        <f>15282.4+285261.79</f>
        <v>300544.19</v>
      </c>
      <c r="AJ390" s="36">
        <v>0</v>
      </c>
      <c r="AK390" s="28">
        <f t="shared" si="160"/>
        <v>4565354.8599999994</v>
      </c>
      <c r="AL390" s="28">
        <f t="shared" si="161"/>
        <v>0</v>
      </c>
      <c r="AM390" s="29">
        <f t="shared" si="162"/>
        <v>6.176539770178751E-2</v>
      </c>
    </row>
    <row r="391" spans="1:39" ht="192" customHeight="1" x14ac:dyDescent="0.25">
      <c r="A391" s="10">
        <v>388</v>
      </c>
      <c r="B391" s="37">
        <v>126532</v>
      </c>
      <c r="C391" s="37">
        <v>500</v>
      </c>
      <c r="D391" s="15" t="s">
        <v>425</v>
      </c>
      <c r="E391" s="14" t="s">
        <v>426</v>
      </c>
      <c r="F391" s="15" t="s">
        <v>1523</v>
      </c>
      <c r="G391" s="20" t="s">
        <v>1524</v>
      </c>
      <c r="H391" s="20" t="s">
        <v>35</v>
      </c>
      <c r="I391" s="55" t="s">
        <v>1525</v>
      </c>
      <c r="J391" s="30">
        <v>43516</v>
      </c>
      <c r="K391" s="30">
        <v>44247</v>
      </c>
      <c r="L391" s="31">
        <f t="shared" si="155"/>
        <v>83.299999838210468</v>
      </c>
      <c r="M391" s="20" t="s">
        <v>1526</v>
      </c>
      <c r="N391" s="20" t="s">
        <v>1527</v>
      </c>
      <c r="O391" s="20" t="s">
        <v>1527</v>
      </c>
      <c r="P391" s="20" t="s">
        <v>850</v>
      </c>
      <c r="Q391" s="20" t="s">
        <v>40</v>
      </c>
      <c r="R391" s="35">
        <f t="shared" si="154"/>
        <v>2059465.88</v>
      </c>
      <c r="S391" s="2">
        <v>2059465.88</v>
      </c>
      <c r="T391" s="2">
        <v>0</v>
      </c>
      <c r="U391" s="35">
        <f t="shared" si="159"/>
        <v>363435.16</v>
      </c>
      <c r="V391" s="2">
        <v>363435.16</v>
      </c>
      <c r="W391" s="2">
        <v>0</v>
      </c>
      <c r="X391" s="35">
        <f t="shared" si="153"/>
        <v>0</v>
      </c>
      <c r="Y391" s="2">
        <v>0</v>
      </c>
      <c r="Z391" s="2">
        <v>0</v>
      </c>
      <c r="AA391" s="2">
        <f t="shared" si="156"/>
        <v>49446.96</v>
      </c>
      <c r="AB391" s="2">
        <v>49446.96</v>
      </c>
      <c r="AC391" s="2">
        <v>0</v>
      </c>
      <c r="AD391" s="2">
        <f t="shared" si="157"/>
        <v>2472348</v>
      </c>
      <c r="AE391" s="2">
        <v>0</v>
      </c>
      <c r="AF391" s="2">
        <f t="shared" si="158"/>
        <v>2472348</v>
      </c>
      <c r="AG391" s="39" t="s">
        <v>69</v>
      </c>
      <c r="AH391" s="34" t="s">
        <v>35</v>
      </c>
      <c r="AI391" s="35">
        <v>1040799.12</v>
      </c>
      <c r="AJ391" s="36">
        <v>140041.60000000001</v>
      </c>
      <c r="AK391" s="28">
        <f t="shared" si="160"/>
        <v>1018666.7599999999</v>
      </c>
      <c r="AL391" s="28">
        <f t="shared" si="161"/>
        <v>223393.55999999997</v>
      </c>
      <c r="AM391" s="29">
        <f t="shared" si="162"/>
        <v>0.50537332524295087</v>
      </c>
    </row>
    <row r="392" spans="1:39" ht="192" customHeight="1" x14ac:dyDescent="0.25">
      <c r="A392" s="10">
        <v>389</v>
      </c>
      <c r="B392" s="37">
        <v>112820</v>
      </c>
      <c r="C392" s="37">
        <v>158</v>
      </c>
      <c r="D392" s="20" t="s">
        <v>254</v>
      </c>
      <c r="E392" s="14" t="s">
        <v>1005</v>
      </c>
      <c r="F392" s="32" t="s">
        <v>1528</v>
      </c>
      <c r="G392" s="32" t="s">
        <v>1529</v>
      </c>
      <c r="H392" s="20" t="s">
        <v>46</v>
      </c>
      <c r="I392" s="112" t="s">
        <v>1530</v>
      </c>
      <c r="J392" s="30">
        <v>43361</v>
      </c>
      <c r="K392" s="30">
        <v>43848</v>
      </c>
      <c r="L392" s="31">
        <f t="shared" si="155"/>
        <v>82.304187792803134</v>
      </c>
      <c r="M392" s="20" t="s">
        <v>855</v>
      </c>
      <c r="N392" s="20" t="s">
        <v>386</v>
      </c>
      <c r="O392" s="20" t="s">
        <v>1531</v>
      </c>
      <c r="P392" s="32" t="s">
        <v>850</v>
      </c>
      <c r="Q392" s="62" t="s">
        <v>40</v>
      </c>
      <c r="R392" s="2">
        <f t="shared" si="154"/>
        <v>812316.49</v>
      </c>
      <c r="S392" s="2">
        <v>655062.44999999995</v>
      </c>
      <c r="T392" s="2">
        <v>157254.04</v>
      </c>
      <c r="U392" s="2">
        <f t="shared" si="159"/>
        <v>154912.73000000001</v>
      </c>
      <c r="V392" s="2">
        <v>115599.25</v>
      </c>
      <c r="W392" s="2">
        <v>39313.480000000003</v>
      </c>
      <c r="X392" s="2">
        <f t="shared" si="153"/>
        <v>0</v>
      </c>
      <c r="Y392" s="2"/>
      <c r="Z392" s="2"/>
      <c r="AA392" s="2">
        <f t="shared" si="156"/>
        <v>19739.38</v>
      </c>
      <c r="AB392" s="2">
        <v>15727.81</v>
      </c>
      <c r="AC392" s="2">
        <v>4011.57</v>
      </c>
      <c r="AD392" s="2">
        <f t="shared" si="157"/>
        <v>986968.6</v>
      </c>
      <c r="AE392" s="2"/>
      <c r="AF392" s="2">
        <f t="shared" si="158"/>
        <v>986968.6</v>
      </c>
      <c r="AG392" s="39" t="s">
        <v>41</v>
      </c>
      <c r="AH392" s="34"/>
      <c r="AI392" s="35">
        <f>385890.19+98696.6+156767.33+71161.76+44833.4</f>
        <v>757349.28</v>
      </c>
      <c r="AJ392" s="36">
        <f>73591.17+48718.2+13570.88+8549.93</f>
        <v>144430.18</v>
      </c>
      <c r="AK392" s="28">
        <f t="shared" si="160"/>
        <v>54967.209999999963</v>
      </c>
      <c r="AL392" s="28">
        <f t="shared" si="161"/>
        <v>10482.550000000017</v>
      </c>
      <c r="AM392" s="29">
        <f t="shared" si="162"/>
        <v>0.93233276601340453</v>
      </c>
    </row>
    <row r="393" spans="1:39" ht="192" customHeight="1" x14ac:dyDescent="0.25">
      <c r="A393" s="10">
        <v>390</v>
      </c>
      <c r="B393" s="37">
        <v>111916</v>
      </c>
      <c r="C393" s="37">
        <v>145</v>
      </c>
      <c r="D393" s="20" t="s">
        <v>254</v>
      </c>
      <c r="E393" s="14" t="s">
        <v>1005</v>
      </c>
      <c r="F393" s="32" t="s">
        <v>1532</v>
      </c>
      <c r="G393" s="32" t="s">
        <v>1533</v>
      </c>
      <c r="H393" s="20" t="s">
        <v>46</v>
      </c>
      <c r="I393" s="112" t="s">
        <v>1534</v>
      </c>
      <c r="J393" s="30">
        <v>43361</v>
      </c>
      <c r="K393" s="30">
        <v>43848</v>
      </c>
      <c r="L393" s="31">
        <f t="shared" si="155"/>
        <v>82.304185955094169</v>
      </c>
      <c r="M393" s="20" t="s">
        <v>855</v>
      </c>
      <c r="N393" s="20" t="s">
        <v>708</v>
      </c>
      <c r="O393" s="20" t="s">
        <v>708</v>
      </c>
      <c r="P393" s="32" t="s">
        <v>850</v>
      </c>
      <c r="Q393" s="62" t="s">
        <v>40</v>
      </c>
      <c r="R393" s="2">
        <f t="shared" si="154"/>
        <v>810699.03</v>
      </c>
      <c r="S393" s="2">
        <v>653758.11</v>
      </c>
      <c r="T393" s="2">
        <v>156940.92000000001</v>
      </c>
      <c r="U393" s="2">
        <f t="shared" si="159"/>
        <v>154604.29</v>
      </c>
      <c r="V393" s="2">
        <v>115369.07</v>
      </c>
      <c r="W393" s="2">
        <v>39235.22</v>
      </c>
      <c r="X393" s="2">
        <f t="shared" si="153"/>
        <v>0</v>
      </c>
      <c r="Y393" s="2"/>
      <c r="Z393" s="2"/>
      <c r="AA393" s="2">
        <f t="shared" si="156"/>
        <v>19700.080000000002</v>
      </c>
      <c r="AB393" s="2">
        <v>15696.51</v>
      </c>
      <c r="AC393" s="2">
        <v>4003.57</v>
      </c>
      <c r="AD393" s="2">
        <f t="shared" si="157"/>
        <v>985003.4</v>
      </c>
      <c r="AE393" s="2"/>
      <c r="AF393" s="2">
        <f t="shared" si="158"/>
        <v>985003.4</v>
      </c>
      <c r="AG393" s="39" t="s">
        <v>41</v>
      </c>
      <c r="AH393" s="34"/>
      <c r="AI393" s="35">
        <f>98000+15936.3+98000+14229.11+98000+184958.55+34915.59+218662.58+34786.69</f>
        <v>797488.81999999983</v>
      </c>
      <c r="AJ393" s="36">
        <f>21728.22+21402.65+35272.51+25347.65+41700.04+6633.99</f>
        <v>152085.06</v>
      </c>
      <c r="AK393" s="28">
        <f t="shared" si="160"/>
        <v>13210.210000000196</v>
      </c>
      <c r="AL393" s="28">
        <f t="shared" si="161"/>
        <v>2519.2300000000105</v>
      </c>
      <c r="AM393" s="29">
        <f t="shared" si="162"/>
        <v>0.98370516121130647</v>
      </c>
    </row>
    <row r="394" spans="1:39" ht="192" customHeight="1" x14ac:dyDescent="0.25">
      <c r="A394" s="10">
        <v>391</v>
      </c>
      <c r="B394" s="37">
        <v>116156</v>
      </c>
      <c r="C394" s="37">
        <v>392</v>
      </c>
      <c r="D394" s="20" t="s">
        <v>254</v>
      </c>
      <c r="E394" s="14" t="s">
        <v>1015</v>
      </c>
      <c r="F394" s="67" t="s">
        <v>1535</v>
      </c>
      <c r="G394" s="32" t="s">
        <v>257</v>
      </c>
      <c r="H394" s="20" t="s">
        <v>1536</v>
      </c>
      <c r="I394" s="15" t="s">
        <v>1537</v>
      </c>
      <c r="J394" s="30">
        <v>43356</v>
      </c>
      <c r="K394" s="30">
        <v>44012</v>
      </c>
      <c r="L394" s="31">
        <f t="shared" si="155"/>
        <v>83.98386240618575</v>
      </c>
      <c r="M394" s="20" t="s">
        <v>855</v>
      </c>
      <c r="N394" s="20" t="s">
        <v>228</v>
      </c>
      <c r="O394" s="20" t="s">
        <v>228</v>
      </c>
      <c r="P394" s="32" t="s">
        <v>260</v>
      </c>
      <c r="Q394" s="20" t="s">
        <v>40</v>
      </c>
      <c r="R394" s="2">
        <f t="shared" si="154"/>
        <v>2443303.91</v>
      </c>
      <c r="S394" s="2">
        <v>1970311.71</v>
      </c>
      <c r="T394" s="2">
        <v>472992.2</v>
      </c>
      <c r="U394" s="2">
        <f t="shared" si="159"/>
        <v>0</v>
      </c>
      <c r="V394" s="2">
        <v>0</v>
      </c>
      <c r="W394" s="2">
        <v>0</v>
      </c>
      <c r="X394" s="2">
        <f t="shared" ref="X394:X411" si="163">Y394+Z394</f>
        <v>465950.13</v>
      </c>
      <c r="Y394" s="2">
        <v>347702.1</v>
      </c>
      <c r="Z394" s="2">
        <v>118248.03</v>
      </c>
      <c r="AA394" s="2">
        <f t="shared" si="156"/>
        <v>0</v>
      </c>
      <c r="AB394" s="2">
        <v>0</v>
      </c>
      <c r="AC394" s="2">
        <v>0</v>
      </c>
      <c r="AD394" s="2">
        <f t="shared" si="157"/>
        <v>2909254.04</v>
      </c>
      <c r="AE394" s="2"/>
      <c r="AF394" s="2">
        <f t="shared" si="158"/>
        <v>2909254.04</v>
      </c>
      <c r="AG394" s="39" t="s">
        <v>69</v>
      </c>
      <c r="AH394" s="34"/>
      <c r="AI394" s="35">
        <f>194922.68+48813.95+146150.63</f>
        <v>389887.26</v>
      </c>
      <c r="AJ394" s="36">
        <v>0</v>
      </c>
      <c r="AK394" s="28">
        <f t="shared" si="160"/>
        <v>2053416.6500000001</v>
      </c>
      <c r="AL394" s="28">
        <f t="shared" si="161"/>
        <v>0</v>
      </c>
      <c r="AM394" s="29">
        <f t="shared" si="162"/>
        <v>0.15957378793700697</v>
      </c>
    </row>
    <row r="395" spans="1:39" ht="192" customHeight="1" x14ac:dyDescent="0.25">
      <c r="A395" s="10">
        <v>392</v>
      </c>
      <c r="B395" s="37">
        <v>109770</v>
      </c>
      <c r="C395" s="37">
        <v>300</v>
      </c>
      <c r="D395" s="20" t="s">
        <v>254</v>
      </c>
      <c r="E395" s="14" t="s">
        <v>1005</v>
      </c>
      <c r="F395" s="65" t="s">
        <v>1538</v>
      </c>
      <c r="G395" s="15" t="s">
        <v>1539</v>
      </c>
      <c r="H395" s="20" t="s">
        <v>46</v>
      </c>
      <c r="I395" s="112" t="s">
        <v>1540</v>
      </c>
      <c r="J395" s="30">
        <v>43362</v>
      </c>
      <c r="K395" s="30">
        <v>43849</v>
      </c>
      <c r="L395" s="31">
        <f t="shared" si="155"/>
        <v>82.304184197970017</v>
      </c>
      <c r="M395" s="20" t="s">
        <v>855</v>
      </c>
      <c r="N395" s="20" t="s">
        <v>228</v>
      </c>
      <c r="O395" s="20" t="s">
        <v>228</v>
      </c>
      <c r="P395" s="32" t="s">
        <v>850</v>
      </c>
      <c r="Q395" s="20" t="s">
        <v>40</v>
      </c>
      <c r="R395" s="2">
        <f t="shared" si="154"/>
        <v>786369.83000000007</v>
      </c>
      <c r="S395" s="2">
        <v>634138.80000000005</v>
      </c>
      <c r="T395" s="2">
        <v>152231.03</v>
      </c>
      <c r="U395" s="2">
        <f t="shared" si="159"/>
        <v>149964.62</v>
      </c>
      <c r="V395" s="2">
        <v>111906.86</v>
      </c>
      <c r="W395" s="2">
        <v>38057.760000000002</v>
      </c>
      <c r="X395" s="2">
        <f t="shared" si="163"/>
        <v>0</v>
      </c>
      <c r="Y395" s="2"/>
      <c r="Z395" s="2"/>
      <c r="AA395" s="2">
        <f t="shared" si="156"/>
        <v>19108.870000000003</v>
      </c>
      <c r="AB395" s="2">
        <v>15225.37</v>
      </c>
      <c r="AC395" s="2">
        <v>3883.5</v>
      </c>
      <c r="AD395" s="2">
        <f t="shared" si="157"/>
        <v>955443.32000000007</v>
      </c>
      <c r="AE395" s="2"/>
      <c r="AF395" s="2">
        <f t="shared" si="158"/>
        <v>955443.32000000007</v>
      </c>
      <c r="AG395" s="39" t="s">
        <v>41</v>
      </c>
      <c r="AH395" s="34"/>
      <c r="AI395" s="35">
        <f>495588.73+36434.18+37098.36+130866.04+63944.95-22724.91</f>
        <v>741207.35</v>
      </c>
      <c r="AJ395" s="36">
        <f>13512.19+19201.01+11646.04+10486.67+21444.53+15302.78+16400.64+17142.5+2328.48+13886.98</f>
        <v>141351.82</v>
      </c>
      <c r="AK395" s="28">
        <f t="shared" si="160"/>
        <v>45162.480000000098</v>
      </c>
      <c r="AL395" s="28">
        <f t="shared" si="161"/>
        <v>8612.7999999999884</v>
      </c>
      <c r="AM395" s="29">
        <f t="shared" si="162"/>
        <v>0.94256839685723948</v>
      </c>
    </row>
    <row r="396" spans="1:39" ht="192" customHeight="1" x14ac:dyDescent="0.25">
      <c r="A396" s="10">
        <v>393</v>
      </c>
      <c r="B396" s="37">
        <v>112155</v>
      </c>
      <c r="C396" s="37">
        <v>224</v>
      </c>
      <c r="D396" s="20" t="s">
        <v>254</v>
      </c>
      <c r="E396" s="14" t="s">
        <v>1005</v>
      </c>
      <c r="F396" s="67" t="s">
        <v>1541</v>
      </c>
      <c r="G396" s="15" t="s">
        <v>1542</v>
      </c>
      <c r="H396" s="20" t="s">
        <v>1543</v>
      </c>
      <c r="I396" s="112" t="s">
        <v>1544</v>
      </c>
      <c r="J396" s="30">
        <v>43362</v>
      </c>
      <c r="K396" s="30">
        <v>44031</v>
      </c>
      <c r="L396" s="31">
        <f t="shared" si="155"/>
        <v>82.838167350644355</v>
      </c>
      <c r="M396" s="20" t="s">
        <v>855</v>
      </c>
      <c r="N396" s="20" t="s">
        <v>708</v>
      </c>
      <c r="O396" s="20" t="s">
        <v>708</v>
      </c>
      <c r="P396" s="32" t="s">
        <v>850</v>
      </c>
      <c r="Q396" s="20" t="s">
        <v>40</v>
      </c>
      <c r="R396" s="2">
        <f t="shared" si="154"/>
        <v>821979.65000000014</v>
      </c>
      <c r="S396" s="2">
        <v>662854.95000000019</v>
      </c>
      <c r="T396" s="2">
        <v>159124.70000000001</v>
      </c>
      <c r="U396" s="2">
        <f t="shared" si="159"/>
        <v>150446.54</v>
      </c>
      <c r="V396" s="2">
        <v>111947.54000000001</v>
      </c>
      <c r="W396" s="2">
        <v>38499.000000000007</v>
      </c>
      <c r="X396" s="2">
        <f t="shared" si="163"/>
        <v>6308.9900000000007</v>
      </c>
      <c r="Y396" s="2">
        <v>5026.8500000000004</v>
      </c>
      <c r="Z396" s="2">
        <v>1282.1400000000001</v>
      </c>
      <c r="AA396" s="2">
        <f t="shared" si="156"/>
        <v>13536.47</v>
      </c>
      <c r="AB396" s="2">
        <v>10785.49</v>
      </c>
      <c r="AC396" s="2">
        <v>2750.98</v>
      </c>
      <c r="AD396" s="2">
        <f t="shared" si="157"/>
        <v>992271.65000000014</v>
      </c>
      <c r="AE396" s="2"/>
      <c r="AF396" s="2">
        <f t="shared" si="158"/>
        <v>992271.65000000014</v>
      </c>
      <c r="AG396" s="39" t="s">
        <v>69</v>
      </c>
      <c r="AH396" s="34" t="s">
        <v>1851</v>
      </c>
      <c r="AI396" s="35">
        <f>243977.82+98355.61+115120.45+99227.15</f>
        <v>556681.03</v>
      </c>
      <c r="AJ396" s="36">
        <f>45167.34+39471.6</f>
        <v>84638.94</v>
      </c>
      <c r="AK396" s="28">
        <f t="shared" si="160"/>
        <v>265298.62000000011</v>
      </c>
      <c r="AL396" s="28">
        <f t="shared" si="161"/>
        <v>65807.600000000006</v>
      </c>
      <c r="AM396" s="29">
        <f t="shared" si="162"/>
        <v>0.67724429674140951</v>
      </c>
    </row>
    <row r="397" spans="1:39" ht="192" customHeight="1" x14ac:dyDescent="0.25">
      <c r="A397" s="10">
        <v>394</v>
      </c>
      <c r="B397" s="37">
        <v>111612</v>
      </c>
      <c r="C397" s="37">
        <v>153</v>
      </c>
      <c r="D397" s="20" t="s">
        <v>254</v>
      </c>
      <c r="E397" s="14" t="s">
        <v>1005</v>
      </c>
      <c r="F397" s="15" t="s">
        <v>1545</v>
      </c>
      <c r="G397" s="15" t="s">
        <v>1546</v>
      </c>
      <c r="H397" s="20" t="s">
        <v>1547</v>
      </c>
      <c r="I397" s="112" t="s">
        <v>1548</v>
      </c>
      <c r="J397" s="30">
        <v>43371</v>
      </c>
      <c r="K397" s="30">
        <v>43889</v>
      </c>
      <c r="L397" s="31">
        <f t="shared" si="155"/>
        <v>82.304183068176116</v>
      </c>
      <c r="M397" s="20" t="s">
        <v>855</v>
      </c>
      <c r="N397" s="20" t="s">
        <v>228</v>
      </c>
      <c r="O397" s="20" t="s">
        <v>228</v>
      </c>
      <c r="P397" s="32" t="s">
        <v>850</v>
      </c>
      <c r="Q397" s="20" t="s">
        <v>40</v>
      </c>
      <c r="R397" s="2">
        <f t="shared" si="154"/>
        <v>719578.88</v>
      </c>
      <c r="S397" s="2">
        <v>580277.67000000004</v>
      </c>
      <c r="T397" s="2">
        <v>139301.21</v>
      </c>
      <c r="U397" s="2">
        <f t="shared" si="159"/>
        <v>137227.27000000002</v>
      </c>
      <c r="V397" s="2">
        <v>102401.97</v>
      </c>
      <c r="W397" s="2">
        <v>34825.300000000003</v>
      </c>
      <c r="X397" s="2">
        <f t="shared" si="163"/>
        <v>0</v>
      </c>
      <c r="Y397" s="2">
        <v>0</v>
      </c>
      <c r="Z397" s="2">
        <v>0</v>
      </c>
      <c r="AA397" s="2">
        <f t="shared" si="156"/>
        <v>17485.84</v>
      </c>
      <c r="AB397" s="2">
        <v>13932.24</v>
      </c>
      <c r="AC397" s="2">
        <v>3553.6</v>
      </c>
      <c r="AD397" s="2">
        <f t="shared" si="157"/>
        <v>874291.99</v>
      </c>
      <c r="AE397" s="2"/>
      <c r="AF397" s="2">
        <f t="shared" si="158"/>
        <v>874291.99</v>
      </c>
      <c r="AG397" s="39" t="s">
        <v>628</v>
      </c>
      <c r="AH397" s="34"/>
      <c r="AI397" s="35">
        <v>557994.05000000005</v>
      </c>
      <c r="AJ397" s="36">
        <v>106412.25</v>
      </c>
      <c r="AK397" s="28">
        <f t="shared" si="160"/>
        <v>161584.82999999996</v>
      </c>
      <c r="AL397" s="28">
        <f t="shared" si="161"/>
        <v>30815.020000000019</v>
      </c>
      <c r="AM397" s="29">
        <f t="shared" si="162"/>
        <v>0.77544528544250779</v>
      </c>
    </row>
    <row r="398" spans="1:39" ht="192" customHeight="1" x14ac:dyDescent="0.25">
      <c r="A398" s="10">
        <v>395</v>
      </c>
      <c r="B398" s="37">
        <v>110058</v>
      </c>
      <c r="C398" s="37">
        <v>302</v>
      </c>
      <c r="D398" s="20" t="s">
        <v>254</v>
      </c>
      <c r="E398" s="14" t="s">
        <v>1005</v>
      </c>
      <c r="F398" s="67" t="s">
        <v>1549</v>
      </c>
      <c r="G398" s="15" t="s">
        <v>1550</v>
      </c>
      <c r="H398" s="20" t="s">
        <v>1551</v>
      </c>
      <c r="I398" s="16" t="s">
        <v>1552</v>
      </c>
      <c r="J398" s="30">
        <v>43370</v>
      </c>
      <c r="K398" s="30">
        <v>43857</v>
      </c>
      <c r="L398" s="31">
        <f t="shared" si="155"/>
        <v>82.767157561916832</v>
      </c>
      <c r="M398" s="20" t="s">
        <v>855</v>
      </c>
      <c r="N398" s="20" t="s">
        <v>228</v>
      </c>
      <c r="O398" s="20" t="s">
        <v>228</v>
      </c>
      <c r="P398" s="32" t="s">
        <v>850</v>
      </c>
      <c r="Q398" s="20" t="s">
        <v>40</v>
      </c>
      <c r="R398" s="2">
        <f t="shared" si="154"/>
        <v>803873.75</v>
      </c>
      <c r="S398" s="2">
        <v>648254.14</v>
      </c>
      <c r="T398" s="2">
        <v>155619.60999999999</v>
      </c>
      <c r="U398" s="2">
        <f t="shared" si="159"/>
        <v>147948.57</v>
      </c>
      <c r="V398" s="2">
        <v>110131.78</v>
      </c>
      <c r="W398" s="2">
        <v>37816.79</v>
      </c>
      <c r="X398" s="2">
        <f t="shared" si="163"/>
        <v>0</v>
      </c>
      <c r="Y398" s="2">
        <v>0</v>
      </c>
      <c r="Z398" s="2">
        <v>0</v>
      </c>
      <c r="AA398" s="2">
        <f t="shared" si="156"/>
        <v>19424.939999999999</v>
      </c>
      <c r="AB398" s="2">
        <v>15477.26</v>
      </c>
      <c r="AC398" s="2">
        <v>3947.68</v>
      </c>
      <c r="AD398" s="2">
        <f t="shared" si="157"/>
        <v>971247.26</v>
      </c>
      <c r="AE398" s="42"/>
      <c r="AF398" s="2">
        <f t="shared" si="158"/>
        <v>971247.26</v>
      </c>
      <c r="AG398" s="39" t="s">
        <v>41</v>
      </c>
      <c r="AH398" s="34"/>
      <c r="AI398" s="35">
        <v>445374.68</v>
      </c>
      <c r="AJ398" s="36">
        <v>64020.07</v>
      </c>
      <c r="AK398" s="28">
        <f t="shared" si="160"/>
        <v>358499.07</v>
      </c>
      <c r="AL398" s="28">
        <f t="shared" si="161"/>
        <v>83928.5</v>
      </c>
      <c r="AM398" s="29">
        <f t="shared" si="162"/>
        <v>0.55403560571544974</v>
      </c>
    </row>
    <row r="399" spans="1:39" ht="393.75" x14ac:dyDescent="0.25">
      <c r="A399" s="10">
        <v>396</v>
      </c>
      <c r="B399" s="37">
        <v>111482</v>
      </c>
      <c r="C399" s="37">
        <v>133</v>
      </c>
      <c r="D399" s="20" t="s">
        <v>254</v>
      </c>
      <c r="E399" s="14" t="s">
        <v>1005</v>
      </c>
      <c r="F399" s="15" t="s">
        <v>1553</v>
      </c>
      <c r="G399" s="15" t="s">
        <v>1554</v>
      </c>
      <c r="H399" s="20" t="s">
        <v>1555</v>
      </c>
      <c r="I399" s="16" t="s">
        <v>1556</v>
      </c>
      <c r="J399" s="30">
        <v>43376</v>
      </c>
      <c r="K399" s="30">
        <v>43864</v>
      </c>
      <c r="L399" s="31">
        <f t="shared" si="155"/>
        <v>82.928005929547282</v>
      </c>
      <c r="M399" s="20" t="s">
        <v>855</v>
      </c>
      <c r="N399" s="20" t="s">
        <v>660</v>
      </c>
      <c r="O399" s="20" t="s">
        <v>1557</v>
      </c>
      <c r="P399" s="32" t="s">
        <v>850</v>
      </c>
      <c r="Q399" s="20" t="s">
        <v>40</v>
      </c>
      <c r="R399" s="2">
        <f t="shared" si="154"/>
        <v>795878.74</v>
      </c>
      <c r="S399" s="2">
        <v>641806.86</v>
      </c>
      <c r="T399" s="2">
        <v>154071.88</v>
      </c>
      <c r="U399" s="2">
        <f t="shared" si="159"/>
        <v>144649.33000000002</v>
      </c>
      <c r="V399" s="2">
        <v>107580.1</v>
      </c>
      <c r="W399" s="2">
        <v>37069.230000000003</v>
      </c>
      <c r="X399" s="2">
        <f t="shared" si="163"/>
        <v>0</v>
      </c>
      <c r="Y399" s="2"/>
      <c r="Z399" s="2"/>
      <c r="AA399" s="2">
        <f t="shared" si="156"/>
        <v>19194.440000000002</v>
      </c>
      <c r="AB399" s="2">
        <v>15293.61</v>
      </c>
      <c r="AC399" s="2">
        <v>3900.83</v>
      </c>
      <c r="AD399" s="2">
        <f t="shared" si="157"/>
        <v>959722.51</v>
      </c>
      <c r="AE399" s="42"/>
      <c r="AF399" s="2">
        <f t="shared" si="158"/>
        <v>959722.51</v>
      </c>
      <c r="AG399" s="39" t="s">
        <v>628</v>
      </c>
      <c r="AH399" s="34"/>
      <c r="AI399" s="35">
        <f>452366.02+99602.01+111344.12+21724.75+63905.55-5611.91+3477.02</f>
        <v>746807.56</v>
      </c>
      <c r="AJ399" s="36">
        <f>80055.29+4398.75+19458.27+15146.77+4830.12+12009.98</f>
        <v>135899.18</v>
      </c>
      <c r="AK399" s="28">
        <f t="shared" si="160"/>
        <v>49071.179999999935</v>
      </c>
      <c r="AL399" s="28">
        <f t="shared" si="161"/>
        <v>8750.1500000000233</v>
      </c>
      <c r="AM399" s="29">
        <f t="shared" si="162"/>
        <v>0.93834339638221775</v>
      </c>
    </row>
    <row r="400" spans="1:39" ht="267.75" x14ac:dyDescent="0.25">
      <c r="A400" s="10">
        <v>397</v>
      </c>
      <c r="B400" s="37">
        <v>112266</v>
      </c>
      <c r="C400" s="37">
        <v>310</v>
      </c>
      <c r="D400" s="20" t="s">
        <v>254</v>
      </c>
      <c r="E400" s="14" t="s">
        <v>1005</v>
      </c>
      <c r="F400" s="15" t="s">
        <v>1558</v>
      </c>
      <c r="G400" s="15" t="s">
        <v>1559</v>
      </c>
      <c r="H400" s="20" t="s">
        <v>1560</v>
      </c>
      <c r="I400" s="16" t="s">
        <v>1561</v>
      </c>
      <c r="J400" s="30">
        <v>43376</v>
      </c>
      <c r="K400" s="30">
        <v>43802</v>
      </c>
      <c r="L400" s="31">
        <f t="shared" si="155"/>
        <v>83.010839519489394</v>
      </c>
      <c r="M400" s="20" t="s">
        <v>855</v>
      </c>
      <c r="N400" s="20" t="s">
        <v>228</v>
      </c>
      <c r="O400" s="20" t="s">
        <v>228</v>
      </c>
      <c r="P400" s="32" t="s">
        <v>260</v>
      </c>
      <c r="Q400" s="20" t="s">
        <v>40</v>
      </c>
      <c r="R400" s="2">
        <f t="shared" si="154"/>
        <v>830076.27</v>
      </c>
      <c r="S400" s="2">
        <v>669384.21</v>
      </c>
      <c r="T400" s="2">
        <v>160692.06</v>
      </c>
      <c r="U400" s="2">
        <f t="shared" si="159"/>
        <v>149885.79999999999</v>
      </c>
      <c r="V400" s="2">
        <v>111422.7</v>
      </c>
      <c r="W400" s="2">
        <v>38463.1</v>
      </c>
      <c r="X400" s="2">
        <f t="shared" si="163"/>
        <v>0</v>
      </c>
      <c r="Y400" s="2"/>
      <c r="Z400" s="2"/>
      <c r="AA400" s="2">
        <f t="shared" si="156"/>
        <v>19999.23</v>
      </c>
      <c r="AB400" s="2">
        <v>15934.82</v>
      </c>
      <c r="AC400" s="2">
        <v>4064.41</v>
      </c>
      <c r="AD400" s="2">
        <f t="shared" si="157"/>
        <v>999961.3</v>
      </c>
      <c r="AE400" s="42"/>
      <c r="AF400" s="2">
        <f t="shared" si="158"/>
        <v>999961.3</v>
      </c>
      <c r="AG400" s="24" t="s">
        <v>41</v>
      </c>
      <c r="AH400" s="34"/>
      <c r="AI400" s="35">
        <f>469376.77+159988.61+70050.81+33529.44+16757.29</f>
        <v>749702.91999999993</v>
      </c>
      <c r="AJ400" s="36">
        <f>66498.13+28816.19+19174.69+12319.23+7898.78</f>
        <v>134707.02000000002</v>
      </c>
      <c r="AK400" s="28">
        <f t="shared" si="160"/>
        <v>80373.350000000093</v>
      </c>
      <c r="AL400" s="28">
        <f t="shared" si="161"/>
        <v>15178.77999999997</v>
      </c>
      <c r="AM400" s="29">
        <f t="shared" si="162"/>
        <v>0.90317353608964135</v>
      </c>
    </row>
    <row r="401" spans="1:39" ht="192" customHeight="1" x14ac:dyDescent="0.25">
      <c r="A401" s="154">
        <v>398</v>
      </c>
      <c r="B401" s="37">
        <v>118704</v>
      </c>
      <c r="C401" s="37">
        <v>434</v>
      </c>
      <c r="D401" s="20" t="s">
        <v>1282</v>
      </c>
      <c r="E401" s="14" t="s">
        <v>1283</v>
      </c>
      <c r="F401" s="67" t="s">
        <v>1562</v>
      </c>
      <c r="G401" s="15" t="s">
        <v>1563</v>
      </c>
      <c r="H401" s="20" t="s">
        <v>173</v>
      </c>
      <c r="I401" s="16" t="s">
        <v>1564</v>
      </c>
      <c r="J401" s="30">
        <v>43389</v>
      </c>
      <c r="K401" s="30">
        <v>43906</v>
      </c>
      <c r="L401" s="31">
        <f t="shared" si="155"/>
        <v>83.983864465105967</v>
      </c>
      <c r="M401" s="20" t="s">
        <v>855</v>
      </c>
      <c r="N401" s="20" t="s">
        <v>228</v>
      </c>
      <c r="O401" s="20" t="s">
        <v>228</v>
      </c>
      <c r="P401" s="32" t="s">
        <v>260</v>
      </c>
      <c r="Q401" s="62" t="s">
        <v>40</v>
      </c>
      <c r="R401" s="2">
        <f t="shared" si="154"/>
        <v>1448623.93</v>
      </c>
      <c r="S401" s="2">
        <v>1168188.98</v>
      </c>
      <c r="T401" s="2">
        <v>280434.95</v>
      </c>
      <c r="U401" s="2">
        <f t="shared" si="159"/>
        <v>0</v>
      </c>
      <c r="V401" s="2">
        <v>0</v>
      </c>
      <c r="W401" s="2">
        <v>0</v>
      </c>
      <c r="X401" s="2">
        <f t="shared" si="163"/>
        <v>0</v>
      </c>
      <c r="Y401" s="2">
        <v>0</v>
      </c>
      <c r="Z401" s="2">
        <v>0</v>
      </c>
      <c r="AA401" s="2">
        <f t="shared" si="156"/>
        <v>276259.7</v>
      </c>
      <c r="AB401" s="2">
        <v>206150.98</v>
      </c>
      <c r="AC401" s="2">
        <v>70108.72</v>
      </c>
      <c r="AD401" s="2">
        <f t="shared" si="157"/>
        <v>1724883.63</v>
      </c>
      <c r="AE401" s="42">
        <v>442846.63</v>
      </c>
      <c r="AF401" s="2">
        <f t="shared" si="158"/>
        <v>2167730.2599999998</v>
      </c>
      <c r="AG401" s="39" t="s">
        <v>41</v>
      </c>
      <c r="AH401" s="34" t="s">
        <v>1565</v>
      </c>
      <c r="AI401" s="35">
        <f>88271.18+664362.86+477327.24</f>
        <v>1229961.28</v>
      </c>
      <c r="AJ401" s="36">
        <v>0</v>
      </c>
      <c r="AK401" s="28">
        <f t="shared" si="160"/>
        <v>218662.64999999991</v>
      </c>
      <c r="AL401" s="28">
        <f t="shared" si="161"/>
        <v>0</v>
      </c>
      <c r="AM401" s="29">
        <f t="shared" si="162"/>
        <v>0.84905492345415012</v>
      </c>
    </row>
    <row r="402" spans="1:39" ht="192" customHeight="1" x14ac:dyDescent="0.25">
      <c r="A402" s="154">
        <v>399</v>
      </c>
      <c r="B402" s="37">
        <v>111265</v>
      </c>
      <c r="C402" s="37">
        <v>156</v>
      </c>
      <c r="D402" s="20" t="s">
        <v>254</v>
      </c>
      <c r="E402" s="14" t="s">
        <v>1005</v>
      </c>
      <c r="F402" s="67" t="s">
        <v>1566</v>
      </c>
      <c r="G402" s="15" t="s">
        <v>1567</v>
      </c>
      <c r="H402" s="20" t="s">
        <v>1568</v>
      </c>
      <c r="I402" s="16" t="s">
        <v>1569</v>
      </c>
      <c r="J402" s="30">
        <v>43390</v>
      </c>
      <c r="K402" s="30">
        <v>43968</v>
      </c>
      <c r="L402" s="31">
        <f t="shared" si="155"/>
        <v>82.304186113939977</v>
      </c>
      <c r="M402" s="20" t="s">
        <v>855</v>
      </c>
      <c r="N402" s="20" t="s">
        <v>198</v>
      </c>
      <c r="O402" s="20" t="s">
        <v>198</v>
      </c>
      <c r="P402" s="32" t="s">
        <v>850</v>
      </c>
      <c r="Q402" s="20" t="s">
        <v>40</v>
      </c>
      <c r="R402" s="2">
        <f t="shared" si="154"/>
        <v>800497.51</v>
      </c>
      <c r="S402" s="2">
        <v>645531.5</v>
      </c>
      <c r="T402" s="2">
        <v>154966.01</v>
      </c>
      <c r="U402" s="2">
        <f>V402+W402</f>
        <v>152658.81</v>
      </c>
      <c r="V402" s="2">
        <v>113917.34</v>
      </c>
      <c r="W402" s="2">
        <v>38741.47</v>
      </c>
      <c r="X402" s="2">
        <f t="shared" si="163"/>
        <v>0</v>
      </c>
      <c r="Y402" s="2">
        <v>0</v>
      </c>
      <c r="Z402" s="2">
        <v>0</v>
      </c>
      <c r="AA402" s="2">
        <f t="shared" si="156"/>
        <v>19452.18</v>
      </c>
      <c r="AB402" s="2">
        <v>15498.93</v>
      </c>
      <c r="AC402" s="2">
        <v>3953.25</v>
      </c>
      <c r="AD402" s="2">
        <f t="shared" si="157"/>
        <v>972608.50000000012</v>
      </c>
      <c r="AE402" s="42"/>
      <c r="AF402" s="2">
        <f t="shared" si="158"/>
        <v>972608.50000000012</v>
      </c>
      <c r="AG402" s="39" t="s">
        <v>69</v>
      </c>
      <c r="AH402" s="34" t="s">
        <v>1570</v>
      </c>
      <c r="AI402" s="35">
        <f>399269.56+86998.5+8687+36680.43+86998.5+93044.89</f>
        <v>711678.88</v>
      </c>
      <c r="AJ402" s="36">
        <f>76142.67+24658.2+17744.11</f>
        <v>118544.98</v>
      </c>
      <c r="AK402" s="28">
        <f t="shared" si="160"/>
        <v>88818.63</v>
      </c>
      <c r="AL402" s="28">
        <f t="shared" si="161"/>
        <v>34113.83</v>
      </c>
      <c r="AM402" s="29">
        <f t="shared" si="162"/>
        <v>0.8890457135837937</v>
      </c>
    </row>
    <row r="403" spans="1:39" ht="192" customHeight="1" x14ac:dyDescent="0.25">
      <c r="A403" s="154">
        <v>400</v>
      </c>
      <c r="B403" s="37">
        <v>112719</v>
      </c>
      <c r="C403" s="37">
        <v>287</v>
      </c>
      <c r="D403" s="20" t="s">
        <v>254</v>
      </c>
      <c r="E403" s="14" t="s">
        <v>1005</v>
      </c>
      <c r="F403" s="67" t="s">
        <v>1571</v>
      </c>
      <c r="G403" s="15" t="s">
        <v>1572</v>
      </c>
      <c r="H403" s="20" t="s">
        <v>1573</v>
      </c>
      <c r="I403" s="16" t="s">
        <v>1574</v>
      </c>
      <c r="J403" s="30">
        <v>43399</v>
      </c>
      <c r="K403" s="30">
        <v>43887</v>
      </c>
      <c r="L403" s="31">
        <f t="shared" si="155"/>
        <v>82.304184463081299</v>
      </c>
      <c r="M403" s="20" t="s">
        <v>855</v>
      </c>
      <c r="N403" s="20" t="s">
        <v>229</v>
      </c>
      <c r="O403" s="20" t="s">
        <v>229</v>
      </c>
      <c r="P403" s="32" t="s">
        <v>850</v>
      </c>
      <c r="Q403" s="20" t="s">
        <v>40</v>
      </c>
      <c r="R403" s="2">
        <f t="shared" si="154"/>
        <v>780735</v>
      </c>
      <c r="S403" s="2">
        <v>629594.75</v>
      </c>
      <c r="T403" s="2">
        <v>151140.25</v>
      </c>
      <c r="U403" s="2">
        <f t="shared" ref="U403:U431" si="164">V403+W403</f>
        <v>148890.03999999998</v>
      </c>
      <c r="V403" s="2">
        <v>111105.01</v>
      </c>
      <c r="W403" s="2">
        <v>37785.03</v>
      </c>
      <c r="X403" s="2">
        <f t="shared" si="163"/>
        <v>0</v>
      </c>
      <c r="Y403" s="2"/>
      <c r="Z403" s="2"/>
      <c r="AA403" s="2">
        <f t="shared" si="156"/>
        <v>18971.93</v>
      </c>
      <c r="AB403" s="2">
        <v>15116.28</v>
      </c>
      <c r="AC403" s="2">
        <v>3855.65</v>
      </c>
      <c r="AD403" s="2">
        <f t="shared" si="157"/>
        <v>948596.97000000009</v>
      </c>
      <c r="AE403" s="42"/>
      <c r="AF403" s="2">
        <f t="shared" si="158"/>
        <v>948596.97000000009</v>
      </c>
      <c r="AG403" s="39" t="s">
        <v>628</v>
      </c>
      <c r="AH403" s="34"/>
      <c r="AI403" s="35">
        <v>771851.04999999993</v>
      </c>
      <c r="AJ403" s="36">
        <v>147195.82</v>
      </c>
      <c r="AK403" s="28">
        <f t="shared" si="160"/>
        <v>8883.9500000000698</v>
      </c>
      <c r="AL403" s="28">
        <f t="shared" si="161"/>
        <v>1694.2199999999721</v>
      </c>
      <c r="AM403" s="29">
        <f t="shared" si="162"/>
        <v>0.98862104299153997</v>
      </c>
    </row>
    <row r="404" spans="1:39" ht="192" customHeight="1" x14ac:dyDescent="0.25">
      <c r="A404" s="154">
        <v>401</v>
      </c>
      <c r="B404" s="37">
        <v>112591</v>
      </c>
      <c r="C404" s="37">
        <v>205</v>
      </c>
      <c r="D404" s="20" t="s">
        <v>254</v>
      </c>
      <c r="E404" s="14" t="s">
        <v>1005</v>
      </c>
      <c r="F404" s="67" t="s">
        <v>1575</v>
      </c>
      <c r="G404" s="15" t="s">
        <v>1576</v>
      </c>
      <c r="H404" s="20" t="s">
        <v>1577</v>
      </c>
      <c r="I404" s="16" t="s">
        <v>1578</v>
      </c>
      <c r="J404" s="30">
        <v>43404</v>
      </c>
      <c r="K404" s="30">
        <v>44043</v>
      </c>
      <c r="L404" s="31">
        <f t="shared" si="155"/>
        <v>82.304185509371194</v>
      </c>
      <c r="M404" s="20" t="s">
        <v>855</v>
      </c>
      <c r="N404" s="20" t="s">
        <v>228</v>
      </c>
      <c r="O404" s="20" t="s">
        <v>228</v>
      </c>
      <c r="P404" s="32" t="s">
        <v>850</v>
      </c>
      <c r="Q404" s="20" t="s">
        <v>40</v>
      </c>
      <c r="R404" s="2">
        <f t="shared" si="154"/>
        <v>767059.33000000007</v>
      </c>
      <c r="S404" s="2">
        <v>618566.54</v>
      </c>
      <c r="T404" s="2">
        <v>148492.79</v>
      </c>
      <c r="U404" s="2">
        <f t="shared" si="164"/>
        <v>146282</v>
      </c>
      <c r="V404" s="2">
        <v>109158.78</v>
      </c>
      <c r="W404" s="2">
        <v>37123.22</v>
      </c>
      <c r="X404" s="2">
        <f t="shared" si="163"/>
        <v>0</v>
      </c>
      <c r="Y404" s="2"/>
      <c r="Z404" s="2"/>
      <c r="AA404" s="2">
        <f t="shared" si="156"/>
        <v>18639.620000000003</v>
      </c>
      <c r="AB404" s="2">
        <v>14851.53</v>
      </c>
      <c r="AC404" s="2">
        <v>3788.09</v>
      </c>
      <c r="AD404" s="2">
        <f t="shared" si="157"/>
        <v>931980.95000000007</v>
      </c>
      <c r="AE404" s="42"/>
      <c r="AF404" s="2">
        <f t="shared" si="158"/>
        <v>931980.95000000007</v>
      </c>
      <c r="AG404" s="39" t="s">
        <v>69</v>
      </c>
      <c r="AH404" s="34" t="s">
        <v>1579</v>
      </c>
      <c r="AI404" s="35">
        <v>679170.7300000001</v>
      </c>
      <c r="AJ404" s="36">
        <v>97007.639999999985</v>
      </c>
      <c r="AK404" s="28">
        <f t="shared" si="160"/>
        <v>87888.599999999977</v>
      </c>
      <c r="AL404" s="28">
        <f t="shared" si="161"/>
        <v>49274.360000000015</v>
      </c>
      <c r="AM404" s="29">
        <f t="shared" si="162"/>
        <v>0.88542137933450338</v>
      </c>
    </row>
    <row r="405" spans="1:39" ht="192" customHeight="1" x14ac:dyDescent="0.25">
      <c r="A405" s="154">
        <v>402</v>
      </c>
      <c r="B405" s="37">
        <v>109897</v>
      </c>
      <c r="C405" s="37">
        <v>159</v>
      </c>
      <c r="D405" s="20" t="s">
        <v>254</v>
      </c>
      <c r="E405" s="14" t="s">
        <v>1005</v>
      </c>
      <c r="F405" s="67" t="s">
        <v>1580</v>
      </c>
      <c r="G405" s="15" t="s">
        <v>1581</v>
      </c>
      <c r="H405" s="20" t="s">
        <v>46</v>
      </c>
      <c r="I405" s="16" t="s">
        <v>1865</v>
      </c>
      <c r="J405" s="30">
        <v>43418</v>
      </c>
      <c r="K405" s="30">
        <v>44026</v>
      </c>
      <c r="L405" s="31">
        <f t="shared" si="155"/>
        <v>82.304185631079861</v>
      </c>
      <c r="M405" s="20" t="s">
        <v>855</v>
      </c>
      <c r="N405" s="20" t="s">
        <v>228</v>
      </c>
      <c r="O405" s="20" t="s">
        <v>229</v>
      </c>
      <c r="P405" s="32" t="s">
        <v>850</v>
      </c>
      <c r="Q405" s="20" t="s">
        <v>40</v>
      </c>
      <c r="R405" s="2">
        <f t="shared" si="154"/>
        <v>763718.81</v>
      </c>
      <c r="S405" s="2">
        <v>615872.68000000005</v>
      </c>
      <c r="T405" s="2">
        <v>147846.13</v>
      </c>
      <c r="U405" s="2">
        <f t="shared" si="164"/>
        <v>145644.94</v>
      </c>
      <c r="V405" s="2">
        <v>108683.39</v>
      </c>
      <c r="W405" s="2">
        <v>36961.550000000003</v>
      </c>
      <c r="X405" s="2">
        <f t="shared" si="163"/>
        <v>0</v>
      </c>
      <c r="Y405" s="2"/>
      <c r="Z405" s="2"/>
      <c r="AA405" s="2">
        <f t="shared" si="156"/>
        <v>18558.45</v>
      </c>
      <c r="AB405" s="2">
        <v>14786.89</v>
      </c>
      <c r="AC405" s="2">
        <v>3771.56</v>
      </c>
      <c r="AD405" s="2">
        <f t="shared" si="157"/>
        <v>927922.2</v>
      </c>
      <c r="AE405" s="42"/>
      <c r="AF405" s="2">
        <f t="shared" si="158"/>
        <v>927922.2</v>
      </c>
      <c r="AG405" s="39" t="s">
        <v>69</v>
      </c>
      <c r="AH405" s="34" t="s">
        <v>1582</v>
      </c>
      <c r="AI405" s="35">
        <f>310284.02+72310.74+40374.05+25686.31+116698.66+6944.82</f>
        <v>572298.6</v>
      </c>
      <c r="AJ405" s="36">
        <f>52866.14+20096.52+7699.54+4898.51+22255+1324.42</f>
        <v>109140.12999999999</v>
      </c>
      <c r="AK405" s="28">
        <f t="shared" si="160"/>
        <v>191420.21000000008</v>
      </c>
      <c r="AL405" s="28">
        <f t="shared" si="161"/>
        <v>36504.810000000012</v>
      </c>
      <c r="AM405" s="29">
        <f t="shared" si="162"/>
        <v>0.74935773809211259</v>
      </c>
    </row>
    <row r="406" spans="1:39" ht="192" customHeight="1" x14ac:dyDescent="0.25">
      <c r="A406" s="154">
        <v>403</v>
      </c>
      <c r="B406" s="37">
        <v>127778</v>
      </c>
      <c r="C406" s="37">
        <v>580</v>
      </c>
      <c r="D406" s="20" t="s">
        <v>254</v>
      </c>
      <c r="E406" s="14" t="s">
        <v>1583</v>
      </c>
      <c r="F406" s="67" t="s">
        <v>1584</v>
      </c>
      <c r="G406" s="32" t="s">
        <v>257</v>
      </c>
      <c r="H406" s="20" t="s">
        <v>46</v>
      </c>
      <c r="I406" s="16" t="s">
        <v>1585</v>
      </c>
      <c r="J406" s="30">
        <v>43447</v>
      </c>
      <c r="K406" s="30">
        <v>44543</v>
      </c>
      <c r="L406" s="31">
        <f t="shared" si="155"/>
        <v>83.983863103096297</v>
      </c>
      <c r="M406" s="20" t="s">
        <v>855</v>
      </c>
      <c r="N406" s="20" t="s">
        <v>228</v>
      </c>
      <c r="O406" s="20" t="s">
        <v>228</v>
      </c>
      <c r="P406" s="32" t="s">
        <v>260</v>
      </c>
      <c r="Q406" s="20" t="s">
        <v>40</v>
      </c>
      <c r="R406" s="2">
        <f t="shared" si="154"/>
        <v>10837735.809999999</v>
      </c>
      <c r="S406" s="2">
        <v>8739689.6799999997</v>
      </c>
      <c r="T406" s="2">
        <v>2098046.13</v>
      </c>
      <c r="U406" s="2">
        <f t="shared" si="164"/>
        <v>0</v>
      </c>
      <c r="V406" s="2">
        <v>0</v>
      </c>
      <c r="W406" s="2">
        <v>0</v>
      </c>
      <c r="X406" s="2">
        <f t="shared" si="163"/>
        <v>2066809.67</v>
      </c>
      <c r="Y406" s="2">
        <v>1542298.16</v>
      </c>
      <c r="Z406" s="2">
        <v>524511.51</v>
      </c>
      <c r="AA406" s="2">
        <f t="shared" si="156"/>
        <v>0</v>
      </c>
      <c r="AB406" s="2">
        <v>0</v>
      </c>
      <c r="AC406" s="2">
        <v>0</v>
      </c>
      <c r="AD406" s="2">
        <f t="shared" si="157"/>
        <v>12904545.479999999</v>
      </c>
      <c r="AE406" s="42">
        <v>0</v>
      </c>
      <c r="AF406" s="2">
        <f t="shared" si="158"/>
        <v>12904545.479999999</v>
      </c>
      <c r="AG406" s="39" t="s">
        <v>69</v>
      </c>
      <c r="AH406" s="34" t="s">
        <v>46</v>
      </c>
      <c r="AI406" s="35">
        <v>4431509.92</v>
      </c>
      <c r="AJ406" s="36">
        <v>0</v>
      </c>
      <c r="AK406" s="28">
        <f t="shared" si="160"/>
        <v>6406225.8899999987</v>
      </c>
      <c r="AL406" s="28">
        <f t="shared" si="161"/>
        <v>0</v>
      </c>
      <c r="AM406" s="29">
        <f t="shared" si="162"/>
        <v>0.40889628587467852</v>
      </c>
    </row>
    <row r="407" spans="1:39" ht="192" customHeight="1" x14ac:dyDescent="0.25">
      <c r="A407" s="154">
        <v>404</v>
      </c>
      <c r="B407" s="37">
        <v>127575</v>
      </c>
      <c r="C407" s="37">
        <v>604</v>
      </c>
      <c r="D407" s="20" t="s">
        <v>254</v>
      </c>
      <c r="E407" s="14" t="s">
        <v>1583</v>
      </c>
      <c r="F407" s="67" t="s">
        <v>1586</v>
      </c>
      <c r="G407" s="15" t="s">
        <v>1587</v>
      </c>
      <c r="H407" s="20" t="s">
        <v>46</v>
      </c>
      <c r="I407" s="16" t="s">
        <v>1588</v>
      </c>
      <c r="J407" s="30">
        <v>43448</v>
      </c>
      <c r="K407" s="30">
        <v>44179</v>
      </c>
      <c r="L407" s="31">
        <f t="shared" si="155"/>
        <v>83.983862830635374</v>
      </c>
      <c r="M407" s="20" t="s">
        <v>855</v>
      </c>
      <c r="N407" s="20" t="s">
        <v>228</v>
      </c>
      <c r="O407" s="20" t="s">
        <v>228</v>
      </c>
      <c r="P407" s="32" t="s">
        <v>260</v>
      </c>
      <c r="Q407" s="20" t="s">
        <v>40</v>
      </c>
      <c r="R407" s="2">
        <f t="shared" si="154"/>
        <v>71134346.120000005</v>
      </c>
      <c r="S407" s="2">
        <v>57363652.549999997</v>
      </c>
      <c r="T407" s="2">
        <v>13770693.57</v>
      </c>
      <c r="U407" s="2">
        <f t="shared" si="164"/>
        <v>0</v>
      </c>
      <c r="V407" s="2">
        <v>0</v>
      </c>
      <c r="W407" s="2">
        <v>0</v>
      </c>
      <c r="X407" s="2">
        <f t="shared" si="163"/>
        <v>13565670.91</v>
      </c>
      <c r="Y407" s="2">
        <v>10122997.52</v>
      </c>
      <c r="Z407" s="2">
        <v>3442673.39</v>
      </c>
      <c r="AA407" s="2">
        <f t="shared" si="156"/>
        <v>0</v>
      </c>
      <c r="AB407" s="2">
        <v>0</v>
      </c>
      <c r="AC407" s="2">
        <v>0</v>
      </c>
      <c r="AD407" s="2">
        <f t="shared" si="157"/>
        <v>84700017.030000001</v>
      </c>
      <c r="AE407" s="42">
        <v>0</v>
      </c>
      <c r="AF407" s="2">
        <f t="shared" si="158"/>
        <v>84700017.030000001</v>
      </c>
      <c r="AG407" s="39" t="s">
        <v>69</v>
      </c>
      <c r="AH407" s="34"/>
      <c r="AI407" s="35">
        <f>64794622.27+13940.48+2648.69</f>
        <v>64811211.439999998</v>
      </c>
      <c r="AJ407" s="36">
        <v>0</v>
      </c>
      <c r="AK407" s="28">
        <f t="shared" si="160"/>
        <v>6323134.6800000072</v>
      </c>
      <c r="AL407" s="28">
        <f t="shared" si="161"/>
        <v>0</v>
      </c>
      <c r="AM407" s="29">
        <f t="shared" si="162"/>
        <v>0.91110996269884592</v>
      </c>
    </row>
    <row r="408" spans="1:39" ht="192" customHeight="1" x14ac:dyDescent="0.25">
      <c r="A408" s="154">
        <v>405</v>
      </c>
      <c r="B408" s="37">
        <v>116834</v>
      </c>
      <c r="C408" s="37">
        <v>397</v>
      </c>
      <c r="D408" s="20" t="s">
        <v>254</v>
      </c>
      <c r="E408" s="14" t="s">
        <v>1015</v>
      </c>
      <c r="F408" s="67" t="s">
        <v>1589</v>
      </c>
      <c r="G408" s="15" t="s">
        <v>880</v>
      </c>
      <c r="H408" s="20" t="s">
        <v>252</v>
      </c>
      <c r="I408" s="43" t="s">
        <v>1590</v>
      </c>
      <c r="J408" s="30">
        <v>43462</v>
      </c>
      <c r="K408" s="30">
        <v>44255</v>
      </c>
      <c r="L408" s="31">
        <f t="shared" si="155"/>
        <v>83.410873102181938</v>
      </c>
      <c r="M408" s="20" t="s">
        <v>855</v>
      </c>
      <c r="N408" s="20" t="s">
        <v>228</v>
      </c>
      <c r="O408" s="20" t="s">
        <v>228</v>
      </c>
      <c r="P408" s="32" t="s">
        <v>260</v>
      </c>
      <c r="Q408" s="20" t="s">
        <v>40</v>
      </c>
      <c r="R408" s="2">
        <f t="shared" si="154"/>
        <v>3404514.47</v>
      </c>
      <c r="S408" s="2">
        <v>2745444.31</v>
      </c>
      <c r="T408" s="2">
        <v>659070.16</v>
      </c>
      <c r="U408" s="2">
        <f t="shared" si="164"/>
        <v>218543.18</v>
      </c>
      <c r="V408" s="2">
        <v>163081.66</v>
      </c>
      <c r="W408" s="2">
        <v>55461.51999999999</v>
      </c>
      <c r="X408" s="2">
        <f t="shared" si="163"/>
        <v>458561.86</v>
      </c>
      <c r="Y408" s="2">
        <v>343596.49</v>
      </c>
      <c r="Z408" s="2">
        <v>114965.37</v>
      </c>
      <c r="AA408" s="2">
        <f t="shared" si="156"/>
        <v>0</v>
      </c>
      <c r="AB408" s="2">
        <v>0</v>
      </c>
      <c r="AC408" s="2">
        <v>0</v>
      </c>
      <c r="AD408" s="2">
        <f t="shared" si="157"/>
        <v>4081619.5100000002</v>
      </c>
      <c r="AE408" s="42">
        <v>0</v>
      </c>
      <c r="AF408" s="2">
        <f t="shared" si="158"/>
        <v>4081619.5100000002</v>
      </c>
      <c r="AG408" s="39" t="s">
        <v>69</v>
      </c>
      <c r="AH408" s="34"/>
      <c r="AI408" s="35">
        <v>300519.38</v>
      </c>
      <c r="AJ408" s="36">
        <v>13627.73</v>
      </c>
      <c r="AK408" s="28">
        <f t="shared" si="160"/>
        <v>3103995.0900000003</v>
      </c>
      <c r="AL408" s="28">
        <f t="shared" si="161"/>
        <v>204915.44999999998</v>
      </c>
      <c r="AM408" s="29">
        <f t="shared" si="162"/>
        <v>8.827084820702788E-2</v>
      </c>
    </row>
    <row r="409" spans="1:39" ht="192" customHeight="1" x14ac:dyDescent="0.25">
      <c r="A409" s="154">
        <v>406</v>
      </c>
      <c r="B409" s="37">
        <v>116793</v>
      </c>
      <c r="C409" s="37">
        <v>398</v>
      </c>
      <c r="D409" s="20" t="s">
        <v>254</v>
      </c>
      <c r="E409" s="14" t="s">
        <v>1015</v>
      </c>
      <c r="F409" s="67" t="s">
        <v>1591</v>
      </c>
      <c r="G409" s="15" t="s">
        <v>880</v>
      </c>
      <c r="H409" s="15" t="s">
        <v>1592</v>
      </c>
      <c r="I409" s="43" t="s">
        <v>1593</v>
      </c>
      <c r="J409" s="30">
        <v>43462</v>
      </c>
      <c r="K409" s="30">
        <v>44193</v>
      </c>
      <c r="L409" s="31">
        <f t="shared" si="155"/>
        <v>83.668357333333319</v>
      </c>
      <c r="M409" s="20" t="s">
        <v>855</v>
      </c>
      <c r="N409" s="20" t="s">
        <v>228</v>
      </c>
      <c r="O409" s="20" t="s">
        <v>228</v>
      </c>
      <c r="P409" s="32" t="s">
        <v>260</v>
      </c>
      <c r="Q409" s="20" t="s">
        <v>40</v>
      </c>
      <c r="R409" s="2">
        <f>S409+T409</f>
        <v>2510050.7199999997</v>
      </c>
      <c r="S409" s="2">
        <v>2024137.2</v>
      </c>
      <c r="T409" s="2">
        <v>485913.52</v>
      </c>
      <c r="U409" s="2">
        <f>V409+W409</f>
        <v>182355.47</v>
      </c>
      <c r="V409" s="2">
        <v>135400.23000000001</v>
      </c>
      <c r="W409" s="2">
        <v>46955.24</v>
      </c>
      <c r="X409" s="2">
        <f>Y409+Z409</f>
        <v>307593.81</v>
      </c>
      <c r="Y409" s="2">
        <v>230780.28</v>
      </c>
      <c r="Z409" s="2">
        <v>76813.53</v>
      </c>
      <c r="AA409" s="2">
        <f>AB409+AC409</f>
        <v>0</v>
      </c>
      <c r="AB409" s="2">
        <v>0</v>
      </c>
      <c r="AC409" s="2">
        <v>0</v>
      </c>
      <c r="AD409" s="2">
        <f>R409+U409+X409+AA409</f>
        <v>3000000</v>
      </c>
      <c r="AE409" s="42"/>
      <c r="AF409" s="2">
        <f>AD409+AE409</f>
        <v>3000000</v>
      </c>
      <c r="AG409" s="39" t="s">
        <v>69</v>
      </c>
      <c r="AH409" s="34" t="s">
        <v>1594</v>
      </c>
      <c r="AI409" s="35">
        <v>680588.05</v>
      </c>
      <c r="AJ409" s="36">
        <v>58485.17</v>
      </c>
      <c r="AK409" s="28">
        <f t="shared" si="160"/>
        <v>1829462.6699999997</v>
      </c>
      <c r="AL409" s="28">
        <f t="shared" si="161"/>
        <v>123870.3</v>
      </c>
      <c r="AM409" s="29">
        <f t="shared" si="162"/>
        <v>0.27114513845361665</v>
      </c>
    </row>
    <row r="410" spans="1:39" ht="192" customHeight="1" x14ac:dyDescent="0.25">
      <c r="A410" s="154">
        <v>407</v>
      </c>
      <c r="B410" s="37">
        <v>129668</v>
      </c>
      <c r="C410" s="37">
        <v>673</v>
      </c>
      <c r="D410" s="15" t="s">
        <v>31</v>
      </c>
      <c r="E410" s="14" t="s">
        <v>249</v>
      </c>
      <c r="F410" s="67" t="s">
        <v>1595</v>
      </c>
      <c r="G410" s="20" t="s">
        <v>1596</v>
      </c>
      <c r="H410" s="20" t="s">
        <v>35</v>
      </c>
      <c r="I410" s="61" t="s">
        <v>1597</v>
      </c>
      <c r="J410" s="30">
        <v>43635</v>
      </c>
      <c r="K410" s="30">
        <v>44549</v>
      </c>
      <c r="L410" s="31">
        <f t="shared" si="155"/>
        <v>80.000000100149578</v>
      </c>
      <c r="M410" s="20">
        <v>8</v>
      </c>
      <c r="N410" s="20" t="s">
        <v>228</v>
      </c>
      <c r="O410" s="20" t="s">
        <v>228</v>
      </c>
      <c r="P410" s="20" t="s">
        <v>39</v>
      </c>
      <c r="Q410" s="20" t="s">
        <v>40</v>
      </c>
      <c r="R410" s="33">
        <f t="shared" si="154"/>
        <v>3195221.02</v>
      </c>
      <c r="S410" s="35">
        <v>0</v>
      </c>
      <c r="T410" s="2">
        <v>3195221.02</v>
      </c>
      <c r="U410" s="33">
        <f t="shared" si="164"/>
        <v>718924.72</v>
      </c>
      <c r="V410" s="35">
        <v>0</v>
      </c>
      <c r="W410" s="2">
        <v>718924.72</v>
      </c>
      <c r="X410" s="33">
        <f t="shared" si="163"/>
        <v>79880.53</v>
      </c>
      <c r="Y410" s="35">
        <v>0</v>
      </c>
      <c r="Z410" s="2">
        <v>79880.53</v>
      </c>
      <c r="AA410" s="2">
        <f t="shared" si="156"/>
        <v>0</v>
      </c>
      <c r="AB410" s="2">
        <v>0</v>
      </c>
      <c r="AC410" s="2">
        <v>0</v>
      </c>
      <c r="AD410" s="2">
        <f t="shared" si="157"/>
        <v>3994026.27</v>
      </c>
      <c r="AE410" s="42">
        <v>0</v>
      </c>
      <c r="AF410" s="2">
        <f t="shared" si="158"/>
        <v>3994026.27</v>
      </c>
      <c r="AG410" s="39" t="s">
        <v>69</v>
      </c>
      <c r="AH410" s="39" t="s">
        <v>35</v>
      </c>
      <c r="AI410" s="35">
        <f>104321.74</f>
        <v>104321.74</v>
      </c>
      <c r="AJ410" s="36">
        <f>23472.39</f>
        <v>23472.39</v>
      </c>
      <c r="AK410" s="28">
        <f t="shared" si="160"/>
        <v>3090899.28</v>
      </c>
      <c r="AL410" s="28">
        <f t="shared" si="161"/>
        <v>695452.33</v>
      </c>
      <c r="AM410" s="29">
        <f t="shared" si="162"/>
        <v>3.2649303239748968E-2</v>
      </c>
    </row>
    <row r="411" spans="1:39" ht="192" customHeight="1" x14ac:dyDescent="0.25">
      <c r="A411" s="154">
        <v>408</v>
      </c>
      <c r="B411" s="37">
        <v>127534</v>
      </c>
      <c r="C411" s="37">
        <v>619</v>
      </c>
      <c r="D411" s="20" t="s">
        <v>254</v>
      </c>
      <c r="E411" s="14" t="s">
        <v>1583</v>
      </c>
      <c r="F411" s="67" t="s">
        <v>1598</v>
      </c>
      <c r="G411" s="32" t="s">
        <v>876</v>
      </c>
      <c r="H411" s="20" t="s">
        <v>132</v>
      </c>
      <c r="I411" s="16" t="s">
        <v>1599</v>
      </c>
      <c r="J411" s="30">
        <v>43490</v>
      </c>
      <c r="K411" s="30">
        <v>44372</v>
      </c>
      <c r="L411" s="31">
        <f t="shared" si="155"/>
        <v>83.983862775890657</v>
      </c>
      <c r="M411" s="20" t="s">
        <v>855</v>
      </c>
      <c r="N411" s="20" t="s">
        <v>228</v>
      </c>
      <c r="O411" s="20" t="s">
        <v>228</v>
      </c>
      <c r="P411" s="32" t="s">
        <v>260</v>
      </c>
      <c r="Q411" s="20" t="s">
        <v>40</v>
      </c>
      <c r="R411" s="2">
        <f t="shared" si="154"/>
        <v>8137225.3799999999</v>
      </c>
      <c r="S411" s="2">
        <v>6561963.3499999996</v>
      </c>
      <c r="T411" s="2">
        <v>1575262.03</v>
      </c>
      <c r="U411" s="2">
        <f t="shared" si="164"/>
        <v>0</v>
      </c>
      <c r="V411" s="2">
        <v>0</v>
      </c>
      <c r="W411" s="2">
        <v>0</v>
      </c>
      <c r="X411" s="2">
        <f t="shared" si="163"/>
        <v>1551809.05</v>
      </c>
      <c r="Y411" s="2">
        <v>1157993.49</v>
      </c>
      <c r="Z411" s="2">
        <v>393815.56</v>
      </c>
      <c r="AA411" s="2">
        <f t="shared" si="156"/>
        <v>0</v>
      </c>
      <c r="AB411" s="2">
        <v>0</v>
      </c>
      <c r="AC411" s="2">
        <v>0</v>
      </c>
      <c r="AD411" s="2">
        <f t="shared" si="157"/>
        <v>9689034.4299999997</v>
      </c>
      <c r="AE411" s="42">
        <v>0</v>
      </c>
      <c r="AF411" s="2">
        <f t="shared" si="158"/>
        <v>9689034.4299999997</v>
      </c>
      <c r="AG411" s="39" t="s">
        <v>69</v>
      </c>
      <c r="AH411" s="34"/>
      <c r="AI411" s="35">
        <f>738779.53+55263.07+616151.85</f>
        <v>1410194.45</v>
      </c>
      <c r="AJ411" s="36">
        <v>0</v>
      </c>
      <c r="AK411" s="28">
        <f t="shared" si="160"/>
        <v>6727030.9299999997</v>
      </c>
      <c r="AL411" s="28">
        <f t="shared" si="161"/>
        <v>0</v>
      </c>
      <c r="AM411" s="29">
        <f t="shared" si="162"/>
        <v>0.17330163343712129</v>
      </c>
    </row>
    <row r="412" spans="1:39" ht="192" customHeight="1" x14ac:dyDescent="0.25">
      <c r="A412" s="154">
        <v>409</v>
      </c>
      <c r="B412" s="37">
        <v>111384</v>
      </c>
      <c r="C412" s="37">
        <v>166</v>
      </c>
      <c r="D412" s="20" t="s">
        <v>254</v>
      </c>
      <c r="E412" s="14" t="s">
        <v>1005</v>
      </c>
      <c r="F412" s="67" t="s">
        <v>1600</v>
      </c>
      <c r="G412" s="15" t="s">
        <v>1601</v>
      </c>
      <c r="H412" s="20" t="s">
        <v>132</v>
      </c>
      <c r="I412" s="16" t="s">
        <v>1602</v>
      </c>
      <c r="J412" s="30">
        <v>43497</v>
      </c>
      <c r="K412" s="30">
        <v>43983</v>
      </c>
      <c r="L412" s="31">
        <f t="shared" si="155"/>
        <v>82.304190607330156</v>
      </c>
      <c r="M412" s="20" t="s">
        <v>855</v>
      </c>
      <c r="N412" s="20" t="s">
        <v>433</v>
      </c>
      <c r="O412" s="20" t="s">
        <v>433</v>
      </c>
      <c r="P412" s="32" t="s">
        <v>850</v>
      </c>
      <c r="Q412" s="20" t="s">
        <v>40</v>
      </c>
      <c r="R412" s="2">
        <f t="shared" si="154"/>
        <v>765704.55999999994</v>
      </c>
      <c r="S412" s="2">
        <v>617473.98</v>
      </c>
      <c r="T412" s="2">
        <v>148230.57999999999</v>
      </c>
      <c r="U412" s="2">
        <f t="shared" si="164"/>
        <v>146023.57999999999</v>
      </c>
      <c r="V412" s="2">
        <v>108965.98</v>
      </c>
      <c r="W412" s="2">
        <v>37057.599999999999</v>
      </c>
      <c r="X412" s="2">
        <v>0</v>
      </c>
      <c r="Y412" s="2"/>
      <c r="Z412" s="2"/>
      <c r="AA412" s="2">
        <f t="shared" si="156"/>
        <v>18606.7</v>
      </c>
      <c r="AB412" s="2">
        <v>14825.33</v>
      </c>
      <c r="AC412" s="2">
        <v>3781.37</v>
      </c>
      <c r="AD412" s="2">
        <f t="shared" si="157"/>
        <v>930334.83999999985</v>
      </c>
      <c r="AE412" s="42"/>
      <c r="AF412" s="2">
        <f t="shared" si="158"/>
        <v>930334.83999999985</v>
      </c>
      <c r="AG412" s="39" t="s">
        <v>69</v>
      </c>
      <c r="AH412" s="34"/>
      <c r="AI412" s="35">
        <v>407560.11</v>
      </c>
      <c r="AJ412" s="36">
        <v>76478.45</v>
      </c>
      <c r="AK412" s="28">
        <f t="shared" si="160"/>
        <v>358144.44999999995</v>
      </c>
      <c r="AL412" s="28">
        <f t="shared" si="161"/>
        <v>69545.12999999999</v>
      </c>
      <c r="AM412" s="29">
        <f t="shared" si="162"/>
        <v>0.53226809828584543</v>
      </c>
    </row>
    <row r="413" spans="1:39" ht="192" customHeight="1" x14ac:dyDescent="0.25">
      <c r="A413" s="154">
        <v>410</v>
      </c>
      <c r="B413" s="37">
        <v>118765</v>
      </c>
      <c r="C413" s="37">
        <v>454</v>
      </c>
      <c r="D413" s="20" t="s">
        <v>1200</v>
      </c>
      <c r="E413" s="14" t="s">
        <v>1201</v>
      </c>
      <c r="F413" s="67" t="s">
        <v>1603</v>
      </c>
      <c r="G413" s="15" t="s">
        <v>1604</v>
      </c>
      <c r="H413" s="20" t="s">
        <v>1605</v>
      </c>
      <c r="I413" s="55" t="s">
        <v>1606</v>
      </c>
      <c r="J413" s="30">
        <v>43348</v>
      </c>
      <c r="K413" s="30">
        <v>44444</v>
      </c>
      <c r="L413" s="31">
        <f t="shared" si="155"/>
        <v>83.983862678981282</v>
      </c>
      <c r="M413" s="32" t="s">
        <v>259</v>
      </c>
      <c r="N413" s="20" t="s">
        <v>228</v>
      </c>
      <c r="O413" s="20" t="s">
        <v>229</v>
      </c>
      <c r="P413" s="19" t="s">
        <v>260</v>
      </c>
      <c r="Q413" s="32" t="s">
        <v>40</v>
      </c>
      <c r="R413" s="2">
        <f t="shared" si="154"/>
        <v>24915549.649999999</v>
      </c>
      <c r="S413" s="2">
        <v>20092220.059999999</v>
      </c>
      <c r="T413" s="2">
        <v>4823329.59</v>
      </c>
      <c r="U413" s="2">
        <f t="shared" si="164"/>
        <v>0</v>
      </c>
      <c r="V413" s="2"/>
      <c r="W413" s="2"/>
      <c r="X413" s="2">
        <f t="shared" ref="X413:X431" si="165">Y413+Z413</f>
        <v>4751518.3499999996</v>
      </c>
      <c r="Y413" s="2">
        <v>3545685.89</v>
      </c>
      <c r="Z413" s="2">
        <v>1205832.46</v>
      </c>
      <c r="AA413" s="2">
        <f t="shared" si="156"/>
        <v>0</v>
      </c>
      <c r="AB413" s="2">
        <v>0</v>
      </c>
      <c r="AC413" s="2">
        <v>0</v>
      </c>
      <c r="AD413" s="2">
        <f t="shared" si="157"/>
        <v>29667068</v>
      </c>
      <c r="AE413" s="2"/>
      <c r="AF413" s="2">
        <f t="shared" si="158"/>
        <v>29667068</v>
      </c>
      <c r="AG413" s="39" t="s">
        <v>69</v>
      </c>
      <c r="AH413" s="34" t="s">
        <v>1241</v>
      </c>
      <c r="AI413" s="35">
        <f>1385140.99+337996.69+1667186.64</f>
        <v>3390324.32</v>
      </c>
      <c r="AJ413" s="36">
        <v>0</v>
      </c>
      <c r="AK413" s="28">
        <f t="shared" si="160"/>
        <v>21525225.329999998</v>
      </c>
      <c r="AL413" s="28">
        <f t="shared" si="161"/>
        <v>0</v>
      </c>
      <c r="AM413" s="29">
        <f t="shared" si="162"/>
        <v>0.1360726280425445</v>
      </c>
    </row>
    <row r="414" spans="1:39" ht="192" customHeight="1" x14ac:dyDescent="0.25">
      <c r="A414" s="154">
        <v>411</v>
      </c>
      <c r="B414" s="37">
        <v>127403</v>
      </c>
      <c r="C414" s="37">
        <v>579</v>
      </c>
      <c r="D414" s="20" t="s">
        <v>254</v>
      </c>
      <c r="E414" s="14" t="s">
        <v>1583</v>
      </c>
      <c r="F414" s="67" t="s">
        <v>1607</v>
      </c>
      <c r="G414" s="32" t="s">
        <v>833</v>
      </c>
      <c r="H414" s="20" t="s">
        <v>132</v>
      </c>
      <c r="I414" s="16" t="s">
        <v>1608</v>
      </c>
      <c r="J414" s="30">
        <v>43514</v>
      </c>
      <c r="K414" s="30">
        <v>44245</v>
      </c>
      <c r="L414" s="31">
        <f t="shared" si="155"/>
        <v>83.983863067164137</v>
      </c>
      <c r="M414" s="32" t="s">
        <v>259</v>
      </c>
      <c r="N414" s="20" t="s">
        <v>228</v>
      </c>
      <c r="O414" s="20" t="s">
        <v>228</v>
      </c>
      <c r="P414" s="19" t="s">
        <v>260</v>
      </c>
      <c r="Q414" s="32" t="s">
        <v>40</v>
      </c>
      <c r="R414" s="2">
        <f t="shared" ref="R414:R431" si="166">S414+T414</f>
        <v>5070433.51</v>
      </c>
      <c r="S414" s="2">
        <v>4088862.86</v>
      </c>
      <c r="T414" s="2">
        <v>981570.65</v>
      </c>
      <c r="U414" s="2">
        <f t="shared" si="164"/>
        <v>0</v>
      </c>
      <c r="V414" s="2">
        <v>0</v>
      </c>
      <c r="W414" s="2">
        <v>0</v>
      </c>
      <c r="X414" s="2">
        <f t="shared" si="165"/>
        <v>966956.68</v>
      </c>
      <c r="Y414" s="2">
        <v>721564.03</v>
      </c>
      <c r="Z414" s="2">
        <v>245392.65</v>
      </c>
      <c r="AA414" s="2">
        <f t="shared" si="156"/>
        <v>0</v>
      </c>
      <c r="AB414" s="2">
        <v>0</v>
      </c>
      <c r="AC414" s="2">
        <v>0</v>
      </c>
      <c r="AD414" s="2">
        <f t="shared" si="157"/>
        <v>6037390.1899999995</v>
      </c>
      <c r="AE414" s="42">
        <v>0</v>
      </c>
      <c r="AF414" s="2">
        <f t="shared" si="158"/>
        <v>6037390.1899999995</v>
      </c>
      <c r="AG414" s="39" t="s">
        <v>69</v>
      </c>
      <c r="AH414" s="34" t="s">
        <v>132</v>
      </c>
      <c r="AI414" s="35">
        <f>24576.2+66456.97+20464.35+37833.89</f>
        <v>149331.40999999997</v>
      </c>
      <c r="AJ414" s="36">
        <v>0</v>
      </c>
      <c r="AK414" s="28">
        <f t="shared" si="160"/>
        <v>4921102.0999999996</v>
      </c>
      <c r="AL414" s="28">
        <f t="shared" si="161"/>
        <v>0</v>
      </c>
      <c r="AM414" s="29">
        <f t="shared" si="162"/>
        <v>2.9451408781021562E-2</v>
      </c>
    </row>
    <row r="415" spans="1:39" ht="192" customHeight="1" x14ac:dyDescent="0.25">
      <c r="A415" s="154">
        <v>412</v>
      </c>
      <c r="B415" s="37">
        <v>127820</v>
      </c>
      <c r="C415" s="37">
        <v>605</v>
      </c>
      <c r="D415" s="20" t="s">
        <v>254</v>
      </c>
      <c r="E415" s="14" t="s">
        <v>1583</v>
      </c>
      <c r="F415" s="67" t="s">
        <v>1609</v>
      </c>
      <c r="G415" s="32" t="s">
        <v>257</v>
      </c>
      <c r="H415" s="20" t="s">
        <v>35</v>
      </c>
      <c r="I415" s="16" t="s">
        <v>1610</v>
      </c>
      <c r="J415" s="30">
        <v>43528</v>
      </c>
      <c r="K415" s="30">
        <v>44808</v>
      </c>
      <c r="L415" s="31">
        <f t="shared" si="155"/>
        <v>83.983862642815609</v>
      </c>
      <c r="M415" s="32" t="s">
        <v>259</v>
      </c>
      <c r="N415" s="20" t="s">
        <v>228</v>
      </c>
      <c r="O415" s="20" t="s">
        <v>228</v>
      </c>
      <c r="P415" s="19" t="s">
        <v>260</v>
      </c>
      <c r="Q415" s="32" t="s">
        <v>40</v>
      </c>
      <c r="R415" s="2">
        <f t="shared" si="166"/>
        <v>8804544.8300000001</v>
      </c>
      <c r="S415" s="2">
        <v>7100098.3100000005</v>
      </c>
      <c r="T415" s="2">
        <v>1704446.52</v>
      </c>
      <c r="U415" s="2">
        <f t="shared" si="164"/>
        <v>0</v>
      </c>
      <c r="V415" s="2">
        <v>0</v>
      </c>
      <c r="W415" s="2">
        <v>0</v>
      </c>
      <c r="X415" s="2">
        <f t="shared" si="165"/>
        <v>1679070.1800000002</v>
      </c>
      <c r="Y415" s="2">
        <v>1252958.54</v>
      </c>
      <c r="Z415" s="2">
        <v>426111.64</v>
      </c>
      <c r="AA415" s="2">
        <f t="shared" si="156"/>
        <v>0</v>
      </c>
      <c r="AB415" s="2">
        <v>0</v>
      </c>
      <c r="AC415" s="2">
        <v>0</v>
      </c>
      <c r="AD415" s="2">
        <f t="shared" si="157"/>
        <v>10483615.01</v>
      </c>
      <c r="AE415" s="42">
        <v>0</v>
      </c>
      <c r="AF415" s="2">
        <f t="shared" si="158"/>
        <v>10483615.01</v>
      </c>
      <c r="AG415" s="39" t="s">
        <v>1611</v>
      </c>
      <c r="AH415" s="34" t="s">
        <v>1612</v>
      </c>
      <c r="AI415" s="35">
        <f>142773.41+459978.96+262581.43</f>
        <v>865333.8</v>
      </c>
      <c r="AJ415" s="36">
        <v>0</v>
      </c>
      <c r="AK415" s="28">
        <f t="shared" si="160"/>
        <v>7939211.0300000003</v>
      </c>
      <c r="AL415" s="28">
        <f t="shared" si="161"/>
        <v>0</v>
      </c>
      <c r="AM415" s="29">
        <f t="shared" si="162"/>
        <v>9.8282627518860619E-2</v>
      </c>
    </row>
    <row r="416" spans="1:39" ht="192" customHeight="1" x14ac:dyDescent="0.25">
      <c r="A416" s="154">
        <v>413</v>
      </c>
      <c r="B416" s="37">
        <v>127148</v>
      </c>
      <c r="C416" s="37">
        <v>576</v>
      </c>
      <c r="D416" s="20" t="s">
        <v>1613</v>
      </c>
      <c r="E416" s="14" t="s">
        <v>1614</v>
      </c>
      <c r="F416" s="67" t="s">
        <v>1615</v>
      </c>
      <c r="G416" s="15" t="s">
        <v>880</v>
      </c>
      <c r="H416" s="20" t="s">
        <v>1616</v>
      </c>
      <c r="I416" s="16" t="s">
        <v>1617</v>
      </c>
      <c r="J416" s="30">
        <v>43552</v>
      </c>
      <c r="K416" s="30">
        <v>44193</v>
      </c>
      <c r="L416" s="31">
        <f t="shared" si="155"/>
        <v>83.791410330251352</v>
      </c>
      <c r="M416" s="32" t="s">
        <v>259</v>
      </c>
      <c r="N416" s="20" t="s">
        <v>228</v>
      </c>
      <c r="O416" s="20" t="s">
        <v>228</v>
      </c>
      <c r="P416" s="19" t="s">
        <v>260</v>
      </c>
      <c r="Q416" s="20" t="s">
        <v>40</v>
      </c>
      <c r="R416" s="2">
        <f t="shared" si="166"/>
        <v>4099805.0300000003</v>
      </c>
      <c r="S416" s="2">
        <v>3306135.56</v>
      </c>
      <c r="T416" s="2">
        <v>793669.47</v>
      </c>
      <c r="U416" s="2">
        <f t="shared" si="164"/>
        <v>87992.28</v>
      </c>
      <c r="V416" s="2">
        <v>65661.759999999995</v>
      </c>
      <c r="W416" s="2">
        <v>22330.52</v>
      </c>
      <c r="X416" s="2">
        <f t="shared" si="165"/>
        <v>705072.99</v>
      </c>
      <c r="Y416" s="2">
        <v>526707.51</v>
      </c>
      <c r="Z416" s="2">
        <v>178365.48</v>
      </c>
      <c r="AA416" s="2">
        <f t="shared" si="156"/>
        <v>0</v>
      </c>
      <c r="AB416" s="2">
        <v>0</v>
      </c>
      <c r="AC416" s="2">
        <v>0</v>
      </c>
      <c r="AD416" s="2">
        <f t="shared" si="157"/>
        <v>4892870.3</v>
      </c>
      <c r="AE416" s="42"/>
      <c r="AF416" s="2">
        <f t="shared" si="158"/>
        <v>4892870.3</v>
      </c>
      <c r="AG416" s="39" t="s">
        <v>69</v>
      </c>
      <c r="AH416" s="34" t="s">
        <v>1618</v>
      </c>
      <c r="AI416" s="35">
        <v>135946.35</v>
      </c>
      <c r="AJ416" s="36">
        <v>0</v>
      </c>
      <c r="AK416" s="28">
        <f t="shared" si="160"/>
        <v>3963858.68</v>
      </c>
      <c r="AL416" s="28">
        <f t="shared" si="161"/>
        <v>87992.28</v>
      </c>
      <c r="AM416" s="29">
        <f t="shared" si="162"/>
        <v>3.3159223183840035E-2</v>
      </c>
    </row>
    <row r="417" spans="1:39" ht="192" customHeight="1" x14ac:dyDescent="0.25">
      <c r="A417" s="154">
        <v>414</v>
      </c>
      <c r="B417" s="37">
        <v>129157</v>
      </c>
      <c r="C417" s="37">
        <v>653</v>
      </c>
      <c r="D417" s="20" t="s">
        <v>254</v>
      </c>
      <c r="E417" s="14" t="s">
        <v>1619</v>
      </c>
      <c r="F417" s="67" t="s">
        <v>1620</v>
      </c>
      <c r="G417" s="15" t="s">
        <v>1621</v>
      </c>
      <c r="H417" s="20" t="s">
        <v>1622</v>
      </c>
      <c r="I417" s="16" t="s">
        <v>1623</v>
      </c>
      <c r="J417" s="30">
        <v>43595</v>
      </c>
      <c r="K417" s="30">
        <v>43961</v>
      </c>
      <c r="L417" s="31">
        <f t="shared" ref="L417:L480" si="167">R417/AD417*100</f>
        <v>83.983862206528542</v>
      </c>
      <c r="M417" s="32" t="s">
        <v>259</v>
      </c>
      <c r="N417" s="20" t="s">
        <v>228</v>
      </c>
      <c r="O417" s="20" t="s">
        <v>228</v>
      </c>
      <c r="P417" s="19" t="s">
        <v>260</v>
      </c>
      <c r="Q417" s="20" t="s">
        <v>40</v>
      </c>
      <c r="R417" s="2">
        <f t="shared" si="166"/>
        <v>5246671.93</v>
      </c>
      <c r="S417" s="2">
        <v>4230983.8099999996</v>
      </c>
      <c r="T417" s="2">
        <v>1015688.12</v>
      </c>
      <c r="U417" s="2">
        <f t="shared" si="164"/>
        <v>397060.75</v>
      </c>
      <c r="V417" s="2">
        <v>293431.23</v>
      </c>
      <c r="W417" s="2">
        <v>103629.52</v>
      </c>
      <c r="X417" s="2">
        <f t="shared" si="165"/>
        <v>603505.53</v>
      </c>
      <c r="Y417" s="2">
        <v>453212.99</v>
      </c>
      <c r="Z417" s="2">
        <v>150292.54</v>
      </c>
      <c r="AA417" s="2">
        <f t="shared" ref="AA417:AA419" si="168">AB417+AC417</f>
        <v>0</v>
      </c>
      <c r="AB417" s="2">
        <v>0</v>
      </c>
      <c r="AC417" s="2">
        <v>0</v>
      </c>
      <c r="AD417" s="2">
        <f t="shared" ref="AD417:AD431" si="169">R417+U417+X417+AA417</f>
        <v>6247238.21</v>
      </c>
      <c r="AE417" s="42">
        <v>0</v>
      </c>
      <c r="AF417" s="2">
        <f t="shared" ref="AF417:AF431" si="170">AD417+AE417</f>
        <v>6247238.21</v>
      </c>
      <c r="AG417" s="39" t="s">
        <v>69</v>
      </c>
      <c r="AH417" s="34" t="s">
        <v>1624</v>
      </c>
      <c r="AI417" s="35">
        <f>27634.05+1119190.49+181709.16</f>
        <v>1328533.7</v>
      </c>
      <c r="AJ417" s="36">
        <f>145846.01+27046.1</f>
        <v>172892.11000000002</v>
      </c>
      <c r="AK417" s="28">
        <f t="shared" si="160"/>
        <v>3918138.2299999995</v>
      </c>
      <c r="AL417" s="28">
        <f t="shared" si="161"/>
        <v>224168.63999999998</v>
      </c>
      <c r="AM417" s="29">
        <f t="shared" si="162"/>
        <v>0.25321455538387361</v>
      </c>
    </row>
    <row r="418" spans="1:39" ht="192" customHeight="1" x14ac:dyDescent="0.25">
      <c r="A418" s="154">
        <v>415</v>
      </c>
      <c r="B418" s="37">
        <v>127557</v>
      </c>
      <c r="C418" s="37">
        <v>592</v>
      </c>
      <c r="D418" s="20" t="s">
        <v>254</v>
      </c>
      <c r="E418" s="14" t="s">
        <v>1583</v>
      </c>
      <c r="F418" s="67" t="s">
        <v>1625</v>
      </c>
      <c r="G418" s="15" t="s">
        <v>880</v>
      </c>
      <c r="H418" s="20" t="s">
        <v>1626</v>
      </c>
      <c r="I418" s="16" t="s">
        <v>1627</v>
      </c>
      <c r="J418" s="30">
        <v>43601</v>
      </c>
      <c r="K418" s="30">
        <v>44697</v>
      </c>
      <c r="L418" s="31">
        <f t="shared" si="167"/>
        <v>83.983862979972571</v>
      </c>
      <c r="M418" s="32" t="s">
        <v>259</v>
      </c>
      <c r="N418" s="20" t="s">
        <v>228</v>
      </c>
      <c r="O418" s="20" t="s">
        <v>228</v>
      </c>
      <c r="P418" s="19" t="s">
        <v>260</v>
      </c>
      <c r="Q418" s="20" t="s">
        <v>40</v>
      </c>
      <c r="R418" s="2">
        <f t="shared" si="166"/>
        <v>21869408.25</v>
      </c>
      <c r="S418" s="2">
        <v>17635772.390000001</v>
      </c>
      <c r="T418" s="2">
        <v>4233635.8600000003</v>
      </c>
      <c r="U418" s="2">
        <f t="shared" si="164"/>
        <v>2835302.4000000004</v>
      </c>
      <c r="V418" s="2">
        <v>2095312.34</v>
      </c>
      <c r="W418" s="2">
        <v>739990.06</v>
      </c>
      <c r="X418" s="2">
        <f t="shared" si="165"/>
        <v>1335301.6499999999</v>
      </c>
      <c r="Y418" s="2">
        <v>1016882.74</v>
      </c>
      <c r="Z418" s="2">
        <v>318418.90999999997</v>
      </c>
      <c r="AA418" s="2">
        <f t="shared" si="168"/>
        <v>0</v>
      </c>
      <c r="AB418" s="2">
        <v>0</v>
      </c>
      <c r="AC418" s="2">
        <v>0</v>
      </c>
      <c r="AD418" s="2">
        <f t="shared" si="169"/>
        <v>26040012.299999997</v>
      </c>
      <c r="AE418" s="42">
        <v>0</v>
      </c>
      <c r="AF418" s="2">
        <f t="shared" si="170"/>
        <v>26040012.299999997</v>
      </c>
      <c r="AG418" s="39" t="s">
        <v>69</v>
      </c>
      <c r="AH418" s="34" t="s">
        <v>132</v>
      </c>
      <c r="AI418" s="35">
        <f>2000000-199893.91+842707.08+2000000</f>
        <v>4642813.17</v>
      </c>
      <c r="AJ418" s="36">
        <f>213844.09+224889.04</f>
        <v>438733.13</v>
      </c>
      <c r="AK418" s="28">
        <f t="shared" si="160"/>
        <v>17226595.079999998</v>
      </c>
      <c r="AL418" s="28">
        <f t="shared" si="161"/>
        <v>2396569.2700000005</v>
      </c>
      <c r="AM418" s="29">
        <f t="shared" si="162"/>
        <v>0.21229715577695157</v>
      </c>
    </row>
    <row r="419" spans="1:39" ht="192" customHeight="1" x14ac:dyDescent="0.25">
      <c r="A419" s="154">
        <v>416</v>
      </c>
      <c r="B419" s="155">
        <v>127562</v>
      </c>
      <c r="C419" s="155">
        <v>606</v>
      </c>
      <c r="D419" s="156" t="s">
        <v>254</v>
      </c>
      <c r="E419" s="14" t="s">
        <v>1583</v>
      </c>
      <c r="F419" s="157" t="s">
        <v>1628</v>
      </c>
      <c r="G419" s="32" t="s">
        <v>853</v>
      </c>
      <c r="H419" s="156" t="s">
        <v>1629</v>
      </c>
      <c r="I419" s="158" t="s">
        <v>1630</v>
      </c>
      <c r="J419" s="159">
        <v>43608</v>
      </c>
      <c r="K419" s="159">
        <v>44339</v>
      </c>
      <c r="L419" s="31">
        <f t="shared" si="167"/>
        <v>83.983863082660847</v>
      </c>
      <c r="M419" s="160" t="s">
        <v>259</v>
      </c>
      <c r="N419" s="156" t="s">
        <v>228</v>
      </c>
      <c r="O419" s="156" t="s">
        <v>229</v>
      </c>
      <c r="P419" s="161" t="s">
        <v>260</v>
      </c>
      <c r="Q419" s="156" t="s">
        <v>40</v>
      </c>
      <c r="R419" s="59">
        <f t="shared" si="166"/>
        <v>8877559.8000000007</v>
      </c>
      <c r="S419" s="59">
        <v>7158978.4900000002</v>
      </c>
      <c r="T419" s="59">
        <v>1718581.31</v>
      </c>
      <c r="U419" s="59">
        <f t="shared" si="164"/>
        <v>156211.66</v>
      </c>
      <c r="V419" s="59">
        <v>115441.72</v>
      </c>
      <c r="W419" s="59">
        <v>40769.94</v>
      </c>
      <c r="X419" s="59">
        <f t="shared" si="165"/>
        <v>1536782.78</v>
      </c>
      <c r="Y419" s="59">
        <v>1147907.44</v>
      </c>
      <c r="Z419" s="59">
        <v>388875.34</v>
      </c>
      <c r="AA419" s="59">
        <f t="shared" si="168"/>
        <v>0</v>
      </c>
      <c r="AB419" s="59">
        <v>0</v>
      </c>
      <c r="AC419" s="59">
        <v>0</v>
      </c>
      <c r="AD419" s="59">
        <f t="shared" si="169"/>
        <v>10570554.24</v>
      </c>
      <c r="AE419" s="162">
        <v>0</v>
      </c>
      <c r="AF419" s="59">
        <f t="shared" si="170"/>
        <v>10570554.24</v>
      </c>
      <c r="AG419" s="39" t="s">
        <v>69</v>
      </c>
      <c r="AH419" s="163" t="str">
        <f>AH418</f>
        <v>n.a.</v>
      </c>
      <c r="AI419" s="105">
        <f>100000+43931.12+109486.41+2111676.42+175527.94</f>
        <v>2540621.8899999997</v>
      </c>
      <c r="AJ419" s="125">
        <f>12721.6+24511.71</f>
        <v>37233.31</v>
      </c>
      <c r="AK419" s="28">
        <f t="shared" si="160"/>
        <v>6336937.9100000011</v>
      </c>
      <c r="AL419" s="28">
        <f t="shared" si="161"/>
        <v>118978.35</v>
      </c>
      <c r="AM419" s="29">
        <f t="shared" si="162"/>
        <v>0.28618471147893587</v>
      </c>
    </row>
    <row r="420" spans="1:39" ht="192" customHeight="1" x14ac:dyDescent="0.25">
      <c r="A420" s="154">
        <v>417</v>
      </c>
      <c r="B420" s="20">
        <v>116178</v>
      </c>
      <c r="C420" s="20">
        <v>403</v>
      </c>
      <c r="D420" s="20" t="s">
        <v>254</v>
      </c>
      <c r="E420" s="14" t="s">
        <v>1015</v>
      </c>
      <c r="F420" s="32" t="s">
        <v>1631</v>
      </c>
      <c r="G420" s="15" t="s">
        <v>1632</v>
      </c>
      <c r="H420" s="20" t="s">
        <v>132</v>
      </c>
      <c r="I420" s="16" t="s">
        <v>1633</v>
      </c>
      <c r="J420" s="30">
        <v>43640</v>
      </c>
      <c r="K420" s="30">
        <v>44554</v>
      </c>
      <c r="L420" s="31">
        <f t="shared" si="167"/>
        <v>83.983862989767033</v>
      </c>
      <c r="M420" s="32" t="s">
        <v>259</v>
      </c>
      <c r="N420" s="20" t="s">
        <v>228</v>
      </c>
      <c r="O420" s="20" t="s">
        <v>229</v>
      </c>
      <c r="P420" s="19" t="s">
        <v>260</v>
      </c>
      <c r="Q420" s="20" t="s">
        <v>40</v>
      </c>
      <c r="R420" s="2">
        <f t="shared" si="166"/>
        <v>2394035.5999999996</v>
      </c>
      <c r="S420" s="2">
        <v>1930581.13</v>
      </c>
      <c r="T420" s="2">
        <v>463454.47</v>
      </c>
      <c r="U420" s="2">
        <f t="shared" si="164"/>
        <v>0</v>
      </c>
      <c r="V420" s="2">
        <v>0</v>
      </c>
      <c r="W420" s="2">
        <v>0</v>
      </c>
      <c r="X420" s="2">
        <f t="shared" si="165"/>
        <v>456554.4</v>
      </c>
      <c r="Y420" s="2">
        <v>340690.78</v>
      </c>
      <c r="Z420" s="2">
        <v>115863.62</v>
      </c>
      <c r="AA420" s="2"/>
      <c r="AB420" s="2">
        <v>0</v>
      </c>
      <c r="AC420" s="2">
        <v>0</v>
      </c>
      <c r="AD420" s="2">
        <f t="shared" si="169"/>
        <v>2850589.9999999995</v>
      </c>
      <c r="AE420" s="42">
        <v>0</v>
      </c>
      <c r="AF420" s="2">
        <f t="shared" si="170"/>
        <v>2850589.9999999995</v>
      </c>
      <c r="AG420" s="39" t="s">
        <v>69</v>
      </c>
      <c r="AH420" s="34"/>
      <c r="AI420" s="35">
        <v>0</v>
      </c>
      <c r="AJ420" s="36">
        <v>0</v>
      </c>
      <c r="AK420" s="28">
        <f t="shared" si="160"/>
        <v>2394035.5999999996</v>
      </c>
      <c r="AL420" s="28">
        <f t="shared" si="161"/>
        <v>0</v>
      </c>
      <c r="AM420" s="29">
        <f t="shared" si="162"/>
        <v>0</v>
      </c>
    </row>
    <row r="421" spans="1:39" ht="192" customHeight="1" x14ac:dyDescent="0.25">
      <c r="A421" s="154">
        <v>418</v>
      </c>
      <c r="B421" s="20">
        <v>126949</v>
      </c>
      <c r="C421" s="20">
        <v>625</v>
      </c>
      <c r="D421" s="20" t="s">
        <v>840</v>
      </c>
      <c r="E421" s="14" t="s">
        <v>1634</v>
      </c>
      <c r="F421" s="32" t="s">
        <v>1635</v>
      </c>
      <c r="G421" s="15" t="s">
        <v>843</v>
      </c>
      <c r="H421" s="20" t="s">
        <v>1636</v>
      </c>
      <c r="I421" s="15" t="s">
        <v>1637</v>
      </c>
      <c r="J421" s="30">
        <v>43656</v>
      </c>
      <c r="K421" s="30">
        <v>44752</v>
      </c>
      <c r="L421" s="31">
        <f t="shared" si="167"/>
        <v>83.983862837739466</v>
      </c>
      <c r="M421" s="32" t="s">
        <v>259</v>
      </c>
      <c r="N421" s="20" t="s">
        <v>228</v>
      </c>
      <c r="O421" s="20" t="s">
        <v>229</v>
      </c>
      <c r="P421" s="19" t="s">
        <v>260</v>
      </c>
      <c r="Q421" s="20" t="s">
        <v>40</v>
      </c>
      <c r="R421" s="2">
        <f t="shared" si="166"/>
        <v>100678170.02000001</v>
      </c>
      <c r="S421" s="2">
        <v>81188172.530000016</v>
      </c>
      <c r="T421" s="2">
        <v>19489997.489999998</v>
      </c>
      <c r="U421" s="2">
        <f t="shared" si="164"/>
        <v>3857997.5300000003</v>
      </c>
      <c r="V421" s="2">
        <v>2851092.66</v>
      </c>
      <c r="W421" s="2">
        <v>1006904.87</v>
      </c>
      <c r="X421" s="2">
        <f t="shared" si="165"/>
        <v>15341826.41</v>
      </c>
      <c r="Y421" s="2">
        <v>11476231.890000001</v>
      </c>
      <c r="Z421" s="2">
        <v>3865594.52</v>
      </c>
      <c r="AA421" s="2">
        <f t="shared" ref="AA421:AA431" si="171">AB421+AC421</f>
        <v>0</v>
      </c>
      <c r="AB421" s="2">
        <v>0</v>
      </c>
      <c r="AC421" s="2">
        <v>0</v>
      </c>
      <c r="AD421" s="2">
        <f t="shared" si="169"/>
        <v>119877993.96000001</v>
      </c>
      <c r="AE421" s="42">
        <v>93474.39</v>
      </c>
      <c r="AF421" s="2">
        <f t="shared" si="170"/>
        <v>119971468.35000001</v>
      </c>
      <c r="AG421" s="39" t="s">
        <v>69</v>
      </c>
      <c r="AH421" s="34" t="s">
        <v>35</v>
      </c>
      <c r="AI421" s="35">
        <f>6062646.43</f>
        <v>6062646.4299999997</v>
      </c>
      <c r="AJ421" s="36">
        <f>1813.69</f>
        <v>1813.69</v>
      </c>
      <c r="AK421" s="28">
        <f t="shared" si="160"/>
        <v>94615523.590000004</v>
      </c>
      <c r="AL421" s="28">
        <f t="shared" si="161"/>
        <v>3856183.8400000003</v>
      </c>
      <c r="AM421" s="29">
        <f t="shared" si="162"/>
        <v>6.0218083312356965E-2</v>
      </c>
    </row>
    <row r="422" spans="1:39" ht="192" customHeight="1" x14ac:dyDescent="0.25">
      <c r="A422" s="154">
        <v>419</v>
      </c>
      <c r="B422" s="20">
        <v>127610</v>
      </c>
      <c r="C422" s="20">
        <v>583</v>
      </c>
      <c r="D422" s="20" t="s">
        <v>254</v>
      </c>
      <c r="E422" s="14" t="s">
        <v>1583</v>
      </c>
      <c r="F422" s="32" t="s">
        <v>1638</v>
      </c>
      <c r="G422" s="15" t="s">
        <v>1639</v>
      </c>
      <c r="H422" s="32" t="s">
        <v>257</v>
      </c>
      <c r="I422" s="15" t="s">
        <v>1640</v>
      </c>
      <c r="J422" s="30">
        <v>43658</v>
      </c>
      <c r="K422" s="30">
        <v>44389</v>
      </c>
      <c r="L422" s="31">
        <f t="shared" si="167"/>
        <v>83.983862820897855</v>
      </c>
      <c r="M422" s="32" t="s">
        <v>259</v>
      </c>
      <c r="N422" s="20" t="s">
        <v>228</v>
      </c>
      <c r="O422" s="20" t="s">
        <v>229</v>
      </c>
      <c r="P422" s="19" t="s">
        <v>260</v>
      </c>
      <c r="Q422" s="20" t="s">
        <v>40</v>
      </c>
      <c r="R422" s="2">
        <f t="shared" si="166"/>
        <v>8218742.2799999993</v>
      </c>
      <c r="S422" s="2">
        <v>6627699.5899999999</v>
      </c>
      <c r="T422" s="2">
        <v>1591042.69</v>
      </c>
      <c r="U422" s="2">
        <f t="shared" si="164"/>
        <v>1361267.6600000001</v>
      </c>
      <c r="V422" s="2">
        <v>1005988.26</v>
      </c>
      <c r="W422" s="2">
        <v>355279.4</v>
      </c>
      <c r="X422" s="2">
        <f t="shared" si="165"/>
        <v>206087.06</v>
      </c>
      <c r="Y422" s="2">
        <v>163605.79</v>
      </c>
      <c r="Z422" s="2">
        <v>42481.27</v>
      </c>
      <c r="AA422" s="2">
        <f t="shared" si="171"/>
        <v>0</v>
      </c>
      <c r="AB422" s="2">
        <v>0</v>
      </c>
      <c r="AC422" s="2">
        <v>0</v>
      </c>
      <c r="AD422" s="2">
        <f t="shared" si="169"/>
        <v>9786097</v>
      </c>
      <c r="AE422" s="42">
        <v>0</v>
      </c>
      <c r="AF422" s="2">
        <f t="shared" si="170"/>
        <v>9786097</v>
      </c>
      <c r="AG422" s="39" t="s">
        <v>69</v>
      </c>
      <c r="AH422" s="34" t="s">
        <v>35</v>
      </c>
      <c r="AI422" s="35">
        <v>393577.05</v>
      </c>
      <c r="AJ422" s="36">
        <v>65684.38</v>
      </c>
      <c r="AK422" s="28">
        <f t="shared" si="160"/>
        <v>7825165.2299999995</v>
      </c>
      <c r="AL422" s="28">
        <f t="shared" si="161"/>
        <v>1295583.2800000003</v>
      </c>
      <c r="AM422" s="29">
        <f t="shared" si="162"/>
        <v>4.7887746882847873E-2</v>
      </c>
    </row>
    <row r="423" spans="1:39" ht="192" customHeight="1" x14ac:dyDescent="0.25">
      <c r="A423" s="154">
        <v>420</v>
      </c>
      <c r="B423" s="20">
        <v>127961</v>
      </c>
      <c r="C423" s="20">
        <v>609</v>
      </c>
      <c r="D423" s="20" t="s">
        <v>254</v>
      </c>
      <c r="E423" s="14" t="s">
        <v>1583</v>
      </c>
      <c r="F423" s="32" t="s">
        <v>1641</v>
      </c>
      <c r="G423" s="15" t="s">
        <v>858</v>
      </c>
      <c r="H423" s="20" t="s">
        <v>1642</v>
      </c>
      <c r="I423" s="15" t="s">
        <v>1643</v>
      </c>
      <c r="J423" s="30">
        <v>43662</v>
      </c>
      <c r="K423" s="30">
        <v>44181</v>
      </c>
      <c r="L423" s="31">
        <f t="shared" si="167"/>
        <v>83.659542071333206</v>
      </c>
      <c r="M423" s="32" t="s">
        <v>259</v>
      </c>
      <c r="N423" s="20" t="s">
        <v>228</v>
      </c>
      <c r="O423" s="20" t="s">
        <v>229</v>
      </c>
      <c r="P423" s="19" t="s">
        <v>260</v>
      </c>
      <c r="Q423" s="20" t="s">
        <v>40</v>
      </c>
      <c r="R423" s="2">
        <f t="shared" si="166"/>
        <v>19839980.370000001</v>
      </c>
      <c r="S423" s="2">
        <v>15999215.59</v>
      </c>
      <c r="T423" s="2">
        <v>3840764.78</v>
      </c>
      <c r="U423" s="2">
        <f t="shared" si="164"/>
        <v>1684738.41</v>
      </c>
      <c r="V423" s="2">
        <v>1250220.19</v>
      </c>
      <c r="W423" s="2">
        <v>434518.22</v>
      </c>
      <c r="X423" s="2">
        <f t="shared" si="165"/>
        <v>2098843.62</v>
      </c>
      <c r="Y423" s="2">
        <v>1573170.69</v>
      </c>
      <c r="Z423" s="2">
        <v>525672.93000000005</v>
      </c>
      <c r="AA423" s="2">
        <f t="shared" si="171"/>
        <v>91581</v>
      </c>
      <c r="AB423" s="2">
        <v>72969.23</v>
      </c>
      <c r="AC423" s="2">
        <v>18611.77</v>
      </c>
      <c r="AD423" s="2">
        <f t="shared" si="169"/>
        <v>23715143.400000002</v>
      </c>
      <c r="AE423" s="42">
        <v>0</v>
      </c>
      <c r="AF423" s="2">
        <f t="shared" si="170"/>
        <v>23715143.400000002</v>
      </c>
      <c r="AG423" s="39" t="s">
        <v>69</v>
      </c>
      <c r="AH423" s="34" t="s">
        <v>1644</v>
      </c>
      <c r="AI423" s="35">
        <f>580000+1614162.38</f>
        <v>2194162.38</v>
      </c>
      <c r="AJ423" s="36">
        <f>331514.87</f>
        <v>331514.87</v>
      </c>
      <c r="AK423" s="28">
        <f t="shared" si="160"/>
        <v>17645817.990000002</v>
      </c>
      <c r="AL423" s="28">
        <f t="shared" si="161"/>
        <v>1353223.54</v>
      </c>
      <c r="AM423" s="29">
        <f t="shared" si="162"/>
        <v>0.11059297131754167</v>
      </c>
    </row>
    <row r="424" spans="1:39" ht="192" customHeight="1" x14ac:dyDescent="0.25">
      <c r="A424" s="154">
        <v>421</v>
      </c>
      <c r="B424" s="20">
        <v>129745</v>
      </c>
      <c r="C424" s="20">
        <v>745</v>
      </c>
      <c r="D424" s="20" t="s">
        <v>999</v>
      </c>
      <c r="E424" s="14" t="s">
        <v>1645</v>
      </c>
      <c r="F424" s="32" t="s">
        <v>1646</v>
      </c>
      <c r="G424" s="15" t="s">
        <v>1647</v>
      </c>
      <c r="H424" s="20" t="s">
        <v>35</v>
      </c>
      <c r="I424" s="15" t="s">
        <v>1648</v>
      </c>
      <c r="J424" s="30">
        <v>43663</v>
      </c>
      <c r="K424" s="30">
        <v>44759</v>
      </c>
      <c r="L424" s="31">
        <f t="shared" si="167"/>
        <v>83.983862972999745</v>
      </c>
      <c r="M424" s="32" t="s">
        <v>259</v>
      </c>
      <c r="N424" s="20" t="s">
        <v>228</v>
      </c>
      <c r="O424" s="20" t="s">
        <v>229</v>
      </c>
      <c r="P424" s="19" t="s">
        <v>260</v>
      </c>
      <c r="Q424" s="20" t="s">
        <v>40</v>
      </c>
      <c r="R424" s="2">
        <f t="shared" si="166"/>
        <v>20432953.949999996</v>
      </c>
      <c r="S424" s="2">
        <v>16477397.119999995</v>
      </c>
      <c r="T424" s="2">
        <v>3955556.83</v>
      </c>
      <c r="U424" s="2">
        <f t="shared" si="164"/>
        <v>0</v>
      </c>
      <c r="V424" s="2">
        <v>0</v>
      </c>
      <c r="W424" s="2">
        <v>0</v>
      </c>
      <c r="X424" s="2">
        <f t="shared" si="165"/>
        <v>3896665.1300000004</v>
      </c>
      <c r="Y424" s="2">
        <v>2907775.95</v>
      </c>
      <c r="Z424" s="2">
        <v>988889.18</v>
      </c>
      <c r="AA424" s="2">
        <f t="shared" si="171"/>
        <v>0</v>
      </c>
      <c r="AB424" s="2">
        <v>0</v>
      </c>
      <c r="AC424" s="2">
        <v>0</v>
      </c>
      <c r="AD424" s="2">
        <f t="shared" si="169"/>
        <v>24329619.079999994</v>
      </c>
      <c r="AE424" s="42">
        <v>1520052.49</v>
      </c>
      <c r="AF424" s="2">
        <f t="shared" si="170"/>
        <v>25849671.569999993</v>
      </c>
      <c r="AG424" s="39" t="s">
        <v>69</v>
      </c>
      <c r="AH424" s="34" t="s">
        <v>990</v>
      </c>
      <c r="AI424" s="35">
        <f>199741.38+44946.79</f>
        <v>244688.17</v>
      </c>
      <c r="AJ424" s="36">
        <v>0</v>
      </c>
      <c r="AK424" s="28">
        <f t="shared" si="160"/>
        <v>20188265.779999994</v>
      </c>
      <c r="AL424" s="28">
        <f t="shared" si="161"/>
        <v>0</v>
      </c>
      <c r="AM424" s="29">
        <f t="shared" si="162"/>
        <v>1.1975173565151605E-2</v>
      </c>
    </row>
    <row r="425" spans="1:39" ht="192" customHeight="1" x14ac:dyDescent="0.25">
      <c r="A425" s="154">
        <v>422</v>
      </c>
      <c r="B425" s="20">
        <v>127604</v>
      </c>
      <c r="C425" s="20">
        <v>587</v>
      </c>
      <c r="D425" s="20" t="s">
        <v>1649</v>
      </c>
      <c r="E425" s="14" t="s">
        <v>1583</v>
      </c>
      <c r="F425" s="32" t="s">
        <v>1650</v>
      </c>
      <c r="G425" s="152" t="s">
        <v>1651</v>
      </c>
      <c r="H425" s="20" t="s">
        <v>35</v>
      </c>
      <c r="I425" s="15" t="s">
        <v>1652</v>
      </c>
      <c r="J425" s="30">
        <v>43663</v>
      </c>
      <c r="K425" s="30">
        <v>44578</v>
      </c>
      <c r="L425" s="31">
        <f t="shared" si="167"/>
        <v>83.983862842122022</v>
      </c>
      <c r="M425" s="32" t="s">
        <v>259</v>
      </c>
      <c r="N425" s="20" t="s">
        <v>228</v>
      </c>
      <c r="O425" s="20" t="s">
        <v>229</v>
      </c>
      <c r="P425" s="19" t="s">
        <v>260</v>
      </c>
      <c r="Q425" s="20" t="s">
        <v>40</v>
      </c>
      <c r="R425" s="2">
        <f t="shared" si="166"/>
        <v>9227267.7899999991</v>
      </c>
      <c r="S425" s="2">
        <v>7440987.5499999998</v>
      </c>
      <c r="T425" s="2">
        <v>1786280.24</v>
      </c>
      <c r="U425" s="2">
        <f t="shared" si="164"/>
        <v>1539946.4400000002</v>
      </c>
      <c r="V425" s="2">
        <v>1138033.3600000001</v>
      </c>
      <c r="W425" s="2">
        <v>401913.08</v>
      </c>
      <c r="X425" s="2">
        <f t="shared" si="165"/>
        <v>219739.06999999998</v>
      </c>
      <c r="Y425" s="2">
        <v>175082.08</v>
      </c>
      <c r="Z425" s="2">
        <v>44656.99</v>
      </c>
      <c r="AA425" s="2">
        <f t="shared" si="171"/>
        <v>0</v>
      </c>
      <c r="AB425" s="2">
        <v>0</v>
      </c>
      <c r="AC425" s="2">
        <v>0</v>
      </c>
      <c r="AD425" s="2">
        <f t="shared" si="169"/>
        <v>10986953.299999999</v>
      </c>
      <c r="AE425" s="42">
        <v>0</v>
      </c>
      <c r="AF425" s="2">
        <f t="shared" si="170"/>
        <v>10986953.299999999</v>
      </c>
      <c r="AG425" s="39" t="s">
        <v>69</v>
      </c>
      <c r="AH425" s="34" t="s">
        <v>35</v>
      </c>
      <c r="AI425" s="35">
        <f>511168.66+95945.68</f>
        <v>607114.34</v>
      </c>
      <c r="AJ425" s="36">
        <f>85309.37+16012.46</f>
        <v>101321.82999999999</v>
      </c>
      <c r="AK425" s="28">
        <f t="shared" si="160"/>
        <v>8620153.4499999993</v>
      </c>
      <c r="AL425" s="28">
        <f t="shared" si="161"/>
        <v>1438624.61</v>
      </c>
      <c r="AM425" s="29">
        <f t="shared" si="162"/>
        <v>6.5795677964170157E-2</v>
      </c>
    </row>
    <row r="426" spans="1:39" ht="192" customHeight="1" x14ac:dyDescent="0.25">
      <c r="A426" s="154">
        <v>423</v>
      </c>
      <c r="B426" s="20">
        <v>127638</v>
      </c>
      <c r="C426" s="20">
        <v>607</v>
      </c>
      <c r="D426" s="20" t="s">
        <v>1649</v>
      </c>
      <c r="E426" s="14" t="s">
        <v>1583</v>
      </c>
      <c r="F426" s="32" t="s">
        <v>1653</v>
      </c>
      <c r="G426" s="63" t="s">
        <v>1654</v>
      </c>
      <c r="H426" s="20" t="s">
        <v>1655</v>
      </c>
      <c r="I426" s="15" t="s">
        <v>1656</v>
      </c>
      <c r="J426" s="30">
        <v>43670</v>
      </c>
      <c r="K426" s="30">
        <v>44766</v>
      </c>
      <c r="L426" s="31">
        <f t="shared" si="167"/>
        <v>83.983862864065983</v>
      </c>
      <c r="M426" s="32" t="s">
        <v>259</v>
      </c>
      <c r="N426" s="20" t="s">
        <v>228</v>
      </c>
      <c r="O426" s="20" t="s">
        <v>229</v>
      </c>
      <c r="P426" s="19" t="s">
        <v>260</v>
      </c>
      <c r="Q426" s="20" t="s">
        <v>40</v>
      </c>
      <c r="R426" s="2">
        <f t="shared" si="166"/>
        <v>17926249.02</v>
      </c>
      <c r="S426" s="2">
        <v>14455958</v>
      </c>
      <c r="T426" s="2">
        <v>3470291.02</v>
      </c>
      <c r="U426" s="2">
        <f t="shared" si="164"/>
        <v>1799975.77</v>
      </c>
      <c r="V426" s="2">
        <v>1330197.26</v>
      </c>
      <c r="W426" s="2">
        <v>469778.51</v>
      </c>
      <c r="X426" s="2">
        <f t="shared" si="165"/>
        <v>1618648.39</v>
      </c>
      <c r="Y426" s="2">
        <v>1220854.1599999999</v>
      </c>
      <c r="Z426" s="2">
        <v>397794.23</v>
      </c>
      <c r="AA426" s="2">
        <f t="shared" si="171"/>
        <v>0</v>
      </c>
      <c r="AB426" s="2">
        <v>0</v>
      </c>
      <c r="AC426" s="2">
        <v>0</v>
      </c>
      <c r="AD426" s="2">
        <f t="shared" si="169"/>
        <v>21344873.18</v>
      </c>
      <c r="AE426" s="42">
        <v>0</v>
      </c>
      <c r="AF426" s="2">
        <f t="shared" si="170"/>
        <v>21344873.18</v>
      </c>
      <c r="AG426" s="39" t="s">
        <v>69</v>
      </c>
      <c r="AH426" s="34" t="s">
        <v>35</v>
      </c>
      <c r="AI426" s="35">
        <v>1253535.0200000003</v>
      </c>
      <c r="AJ426" s="36">
        <f>16365.18+65426.77</f>
        <v>81791.95</v>
      </c>
      <c r="AK426" s="28">
        <f t="shared" si="160"/>
        <v>16672714</v>
      </c>
      <c r="AL426" s="28">
        <f t="shared" si="161"/>
        <v>1718183.82</v>
      </c>
      <c r="AM426" s="29">
        <f t="shared" si="162"/>
        <v>6.9927346128097034E-2</v>
      </c>
    </row>
    <row r="427" spans="1:39" ht="192" customHeight="1" x14ac:dyDescent="0.25">
      <c r="A427" s="154">
        <v>424</v>
      </c>
      <c r="B427" s="20">
        <v>126229</v>
      </c>
      <c r="C427" s="20">
        <v>639</v>
      </c>
      <c r="D427" s="20" t="s">
        <v>861</v>
      </c>
      <c r="E427" s="14" t="s">
        <v>1657</v>
      </c>
      <c r="F427" s="32" t="s">
        <v>1658</v>
      </c>
      <c r="G427" s="63" t="s">
        <v>1286</v>
      </c>
      <c r="H427" s="20" t="s">
        <v>1659</v>
      </c>
      <c r="I427" s="15" t="s">
        <v>1660</v>
      </c>
      <c r="J427" s="30">
        <v>43670</v>
      </c>
      <c r="K427" s="30">
        <v>44401</v>
      </c>
      <c r="L427" s="31">
        <f t="shared" si="167"/>
        <v>83.98386251323501</v>
      </c>
      <c r="M427" s="32" t="s">
        <v>259</v>
      </c>
      <c r="N427" s="20" t="s">
        <v>228</v>
      </c>
      <c r="O427" s="20" t="s">
        <v>229</v>
      </c>
      <c r="P427" s="19" t="s">
        <v>260</v>
      </c>
      <c r="Q427" s="20" t="s">
        <v>40</v>
      </c>
      <c r="R427" s="2">
        <f t="shared" si="166"/>
        <v>4825816.88</v>
      </c>
      <c r="S427" s="2">
        <v>3891600.89</v>
      </c>
      <c r="T427" s="2">
        <v>934215.99</v>
      </c>
      <c r="U427" s="2">
        <f t="shared" si="164"/>
        <v>0</v>
      </c>
      <c r="V427" s="2">
        <v>0</v>
      </c>
      <c r="W427" s="2">
        <v>0</v>
      </c>
      <c r="X427" s="2">
        <f t="shared" si="165"/>
        <v>920307.12</v>
      </c>
      <c r="Y427" s="2">
        <v>686753.08</v>
      </c>
      <c r="Z427" s="2">
        <v>233554.04</v>
      </c>
      <c r="AA427" s="2">
        <f t="shared" si="171"/>
        <v>0</v>
      </c>
      <c r="AB427" s="2">
        <v>0</v>
      </c>
      <c r="AC427" s="2">
        <v>0</v>
      </c>
      <c r="AD427" s="2">
        <f t="shared" si="169"/>
        <v>5746124</v>
      </c>
      <c r="AE427" s="42">
        <v>0</v>
      </c>
      <c r="AF427" s="42">
        <f t="shared" si="170"/>
        <v>5746124</v>
      </c>
      <c r="AG427" s="39" t="s">
        <v>69</v>
      </c>
      <c r="AH427" s="34" t="s">
        <v>35</v>
      </c>
      <c r="AI427" s="164">
        <f>72522.46</f>
        <v>72522.460000000006</v>
      </c>
      <c r="AJ427" s="165">
        <v>0</v>
      </c>
      <c r="AK427" s="28">
        <f t="shared" si="160"/>
        <v>4753294.42</v>
      </c>
      <c r="AL427" s="28">
        <f t="shared" si="161"/>
        <v>0</v>
      </c>
      <c r="AM427" s="29">
        <f t="shared" si="162"/>
        <v>1.5028017391327126E-2</v>
      </c>
    </row>
    <row r="428" spans="1:39" ht="192" customHeight="1" x14ac:dyDescent="0.25">
      <c r="A428" s="154">
        <v>425</v>
      </c>
      <c r="B428" s="20">
        <v>127545</v>
      </c>
      <c r="C428" s="20">
        <v>613</v>
      </c>
      <c r="D428" s="20" t="s">
        <v>254</v>
      </c>
      <c r="E428" s="14" t="s">
        <v>1583</v>
      </c>
      <c r="F428" s="32" t="s">
        <v>1661</v>
      </c>
      <c r="G428" s="63" t="s">
        <v>952</v>
      </c>
      <c r="H428" s="20" t="s">
        <v>1662</v>
      </c>
      <c r="I428" s="15" t="s">
        <v>1663</v>
      </c>
      <c r="J428" s="30">
        <v>43677</v>
      </c>
      <c r="K428" s="30">
        <v>44773</v>
      </c>
      <c r="L428" s="31">
        <f t="shared" si="167"/>
        <v>83.475297132946864</v>
      </c>
      <c r="M428" s="32" t="s">
        <v>259</v>
      </c>
      <c r="N428" s="20" t="s">
        <v>228</v>
      </c>
      <c r="O428" s="20" t="s">
        <v>229</v>
      </c>
      <c r="P428" s="19" t="s">
        <v>260</v>
      </c>
      <c r="Q428" s="20" t="s">
        <v>40</v>
      </c>
      <c r="R428" s="2">
        <f t="shared" si="166"/>
        <v>20868817.48</v>
      </c>
      <c r="S428" s="2">
        <v>16828883.140000001</v>
      </c>
      <c r="T428" s="2">
        <v>4039934.34</v>
      </c>
      <c r="U428" s="2">
        <f t="shared" si="164"/>
        <v>1188078.3899999999</v>
      </c>
      <c r="V428" s="2">
        <v>886569.82</v>
      </c>
      <c r="W428" s="2">
        <v>301508.57</v>
      </c>
      <c r="X428" s="2">
        <f t="shared" si="165"/>
        <v>2791708.05</v>
      </c>
      <c r="Y428" s="2">
        <v>2083232.98</v>
      </c>
      <c r="Z428" s="2">
        <v>708475.07</v>
      </c>
      <c r="AA428" s="2">
        <f t="shared" si="171"/>
        <v>151387.93</v>
      </c>
      <c r="AB428" s="2">
        <v>120621.75999999999</v>
      </c>
      <c r="AC428" s="2">
        <v>30766.17</v>
      </c>
      <c r="AD428" s="2">
        <f t="shared" si="169"/>
        <v>24999991.850000001</v>
      </c>
      <c r="AE428" s="42">
        <v>0</v>
      </c>
      <c r="AF428" s="42">
        <f t="shared" si="170"/>
        <v>24999991.850000001</v>
      </c>
      <c r="AG428" s="39" t="s">
        <v>69</v>
      </c>
      <c r="AH428" s="34" t="s">
        <v>35</v>
      </c>
      <c r="AI428" s="35">
        <v>2441026.11</v>
      </c>
      <c r="AJ428" s="36">
        <f>75306.49+85584.09</f>
        <v>160890.58000000002</v>
      </c>
      <c r="AK428" s="28">
        <f t="shared" si="160"/>
        <v>18427791.370000001</v>
      </c>
      <c r="AL428" s="28">
        <f t="shared" si="161"/>
        <v>1027187.8099999998</v>
      </c>
      <c r="AM428" s="29">
        <f t="shared" si="162"/>
        <v>0.11697002536628634</v>
      </c>
    </row>
    <row r="429" spans="1:39" ht="192" customHeight="1" x14ac:dyDescent="0.25">
      <c r="A429" s="154">
        <v>426</v>
      </c>
      <c r="B429" s="37">
        <v>127380</v>
      </c>
      <c r="C429" s="37">
        <v>577</v>
      </c>
      <c r="D429" s="20" t="s">
        <v>254</v>
      </c>
      <c r="E429" s="14" t="s">
        <v>1583</v>
      </c>
      <c r="F429" s="67" t="s">
        <v>1664</v>
      </c>
      <c r="G429" s="32" t="s">
        <v>876</v>
      </c>
      <c r="H429" s="20" t="s">
        <v>35</v>
      </c>
      <c r="I429" s="15" t="s">
        <v>1665</v>
      </c>
      <c r="J429" s="30">
        <v>43679</v>
      </c>
      <c r="K429" s="30">
        <v>44594</v>
      </c>
      <c r="L429" s="31">
        <f t="shared" si="167"/>
        <v>83.983862975940568</v>
      </c>
      <c r="M429" s="32" t="s">
        <v>259</v>
      </c>
      <c r="N429" s="20" t="s">
        <v>228</v>
      </c>
      <c r="O429" s="20" t="s">
        <v>229</v>
      </c>
      <c r="P429" s="19" t="s">
        <v>260</v>
      </c>
      <c r="Q429" s="20" t="s">
        <v>40</v>
      </c>
      <c r="R429" s="2">
        <f t="shared" si="166"/>
        <v>7180528.9100000001</v>
      </c>
      <c r="S429" s="2">
        <v>5790469.9400000004</v>
      </c>
      <c r="T429" s="2">
        <v>1390058.97</v>
      </c>
      <c r="U429" s="2">
        <f t="shared" si="164"/>
        <v>0</v>
      </c>
      <c r="V429" s="2">
        <v>0</v>
      </c>
      <c r="W429" s="2">
        <v>0</v>
      </c>
      <c r="X429" s="2">
        <f t="shared" si="165"/>
        <v>1369362.29</v>
      </c>
      <c r="Y429" s="2">
        <v>1021847.83</v>
      </c>
      <c r="Z429" s="2">
        <v>347514.46</v>
      </c>
      <c r="AA429" s="2">
        <f t="shared" si="171"/>
        <v>0</v>
      </c>
      <c r="AB429" s="2">
        <v>0</v>
      </c>
      <c r="AC429" s="2">
        <v>0</v>
      </c>
      <c r="AD429" s="2">
        <f t="shared" si="169"/>
        <v>8549891.1999999993</v>
      </c>
      <c r="AE429" s="42">
        <v>0</v>
      </c>
      <c r="AF429" s="42">
        <f t="shared" si="170"/>
        <v>8549891.1999999993</v>
      </c>
      <c r="AG429" s="39" t="s">
        <v>69</v>
      </c>
      <c r="AH429" s="34" t="s">
        <v>35</v>
      </c>
      <c r="AI429" s="166">
        <v>763188.96</v>
      </c>
      <c r="AJ429" s="167">
        <v>0</v>
      </c>
      <c r="AK429" s="28">
        <f t="shared" si="160"/>
        <v>6417339.9500000002</v>
      </c>
      <c r="AL429" s="28">
        <f t="shared" si="161"/>
        <v>0</v>
      </c>
      <c r="AM429" s="29">
        <f t="shared" si="162"/>
        <v>0.10628589753843076</v>
      </c>
    </row>
    <row r="430" spans="1:39" ht="192" customHeight="1" x14ac:dyDescent="0.25">
      <c r="A430" s="154">
        <v>427</v>
      </c>
      <c r="B430" s="37">
        <v>127401</v>
      </c>
      <c r="C430" s="37">
        <v>599</v>
      </c>
      <c r="D430" s="65" t="s">
        <v>254</v>
      </c>
      <c r="E430" s="14" t="s">
        <v>1583</v>
      </c>
      <c r="F430" s="67" t="s">
        <v>1666</v>
      </c>
      <c r="G430" s="32" t="s">
        <v>257</v>
      </c>
      <c r="H430" s="20" t="s">
        <v>35</v>
      </c>
      <c r="I430" s="15" t="s">
        <v>1667</v>
      </c>
      <c r="J430" s="30">
        <v>43677</v>
      </c>
      <c r="K430" s="30" t="s">
        <v>1668</v>
      </c>
      <c r="L430" s="31">
        <f t="shared" si="167"/>
        <v>83.983862769687562</v>
      </c>
      <c r="M430" s="32" t="s">
        <v>259</v>
      </c>
      <c r="N430" s="20" t="s">
        <v>228</v>
      </c>
      <c r="O430" s="20" t="s">
        <v>229</v>
      </c>
      <c r="P430" s="19" t="s">
        <v>260</v>
      </c>
      <c r="Q430" s="20" t="s">
        <v>40</v>
      </c>
      <c r="R430" s="2">
        <f t="shared" si="166"/>
        <v>3643193.6799999992</v>
      </c>
      <c r="S430" s="2">
        <v>2937918.2999999993</v>
      </c>
      <c r="T430" s="2">
        <v>705275.38</v>
      </c>
      <c r="U430" s="2">
        <f t="shared" si="164"/>
        <v>0</v>
      </c>
      <c r="V430" s="2">
        <v>0</v>
      </c>
      <c r="W430" s="2">
        <v>0</v>
      </c>
      <c r="X430" s="2">
        <f t="shared" si="165"/>
        <v>694775.02</v>
      </c>
      <c r="Y430" s="2">
        <v>518456.16</v>
      </c>
      <c r="Z430" s="2">
        <v>176318.86</v>
      </c>
      <c r="AA430" s="2">
        <f t="shared" si="171"/>
        <v>0</v>
      </c>
      <c r="AB430" s="2">
        <v>0</v>
      </c>
      <c r="AC430" s="2">
        <v>0</v>
      </c>
      <c r="AD430" s="2">
        <f t="shared" si="169"/>
        <v>4337968.6999999993</v>
      </c>
      <c r="AE430" s="42">
        <v>0</v>
      </c>
      <c r="AF430" s="42">
        <f t="shared" si="170"/>
        <v>4337968.6999999993</v>
      </c>
      <c r="AG430" s="39" t="s">
        <v>69</v>
      </c>
      <c r="AH430" s="34" t="s">
        <v>35</v>
      </c>
      <c r="AI430" s="166">
        <v>0</v>
      </c>
      <c r="AJ430" s="167">
        <v>0</v>
      </c>
      <c r="AK430" s="28">
        <f t="shared" si="160"/>
        <v>3643193.6799999992</v>
      </c>
      <c r="AL430" s="28">
        <f t="shared" si="161"/>
        <v>0</v>
      </c>
      <c r="AM430" s="29">
        <f t="shared" si="162"/>
        <v>0</v>
      </c>
    </row>
    <row r="431" spans="1:39" ht="192" customHeight="1" x14ac:dyDescent="0.25">
      <c r="A431" s="154">
        <v>428</v>
      </c>
      <c r="B431" s="37">
        <v>126656</v>
      </c>
      <c r="C431" s="37">
        <v>588</v>
      </c>
      <c r="D431" s="20" t="s">
        <v>254</v>
      </c>
      <c r="E431" s="14" t="s">
        <v>1583</v>
      </c>
      <c r="F431" s="67" t="s">
        <v>1669</v>
      </c>
      <c r="G431" s="32" t="s">
        <v>930</v>
      </c>
      <c r="H431" s="20" t="s">
        <v>1670</v>
      </c>
      <c r="I431" s="15" t="s">
        <v>1671</v>
      </c>
      <c r="J431" s="30">
        <v>43679</v>
      </c>
      <c r="K431" s="30">
        <v>44410</v>
      </c>
      <c r="L431" s="31">
        <f t="shared" si="167"/>
        <v>83.983862966362523</v>
      </c>
      <c r="M431" s="32" t="s">
        <v>259</v>
      </c>
      <c r="N431" s="20" t="s">
        <v>228</v>
      </c>
      <c r="O431" s="20" t="s">
        <v>229</v>
      </c>
      <c r="P431" s="19" t="s">
        <v>260</v>
      </c>
      <c r="Q431" s="20" t="s">
        <v>40</v>
      </c>
      <c r="R431" s="2">
        <f t="shared" si="166"/>
        <v>15554651.260000002</v>
      </c>
      <c r="S431" s="2">
        <v>12543471.050000001</v>
      </c>
      <c r="T431" s="2">
        <v>3011180.21</v>
      </c>
      <c r="U431" s="2">
        <f t="shared" si="164"/>
        <v>350403.42000000004</v>
      </c>
      <c r="V431" s="2">
        <v>258951.04000000001</v>
      </c>
      <c r="W431" s="2">
        <v>91452.38</v>
      </c>
      <c r="X431" s="2">
        <f t="shared" si="165"/>
        <v>2615945.3199999998</v>
      </c>
      <c r="Y431" s="2">
        <v>1954602.64</v>
      </c>
      <c r="Z431" s="2">
        <v>661342.68000000005</v>
      </c>
      <c r="AA431" s="2">
        <f t="shared" si="171"/>
        <v>0</v>
      </c>
      <c r="AB431" s="2">
        <v>0</v>
      </c>
      <c r="AC431" s="2">
        <v>0</v>
      </c>
      <c r="AD431" s="2">
        <f t="shared" si="169"/>
        <v>18521000</v>
      </c>
      <c r="AE431" s="42">
        <v>0</v>
      </c>
      <c r="AF431" s="42">
        <f t="shared" si="170"/>
        <v>18521000</v>
      </c>
      <c r="AG431" s="39" t="s">
        <v>69</v>
      </c>
      <c r="AH431" s="168"/>
      <c r="AI431" s="169">
        <v>2878878.12</v>
      </c>
      <c r="AJ431" s="170">
        <v>23069.09</v>
      </c>
      <c r="AK431" s="28">
        <f t="shared" si="160"/>
        <v>12675773.140000001</v>
      </c>
      <c r="AL431" s="28">
        <f t="shared" si="161"/>
        <v>327334.33</v>
      </c>
      <c r="AM431" s="29">
        <f t="shared" si="162"/>
        <v>0.18508149568118312</v>
      </c>
    </row>
    <row r="432" spans="1:39" ht="192" customHeight="1" x14ac:dyDescent="0.25">
      <c r="A432" s="154">
        <v>429</v>
      </c>
      <c r="B432" s="37">
        <v>127529</v>
      </c>
      <c r="C432" s="37">
        <v>618</v>
      </c>
      <c r="D432" s="20" t="s">
        <v>254</v>
      </c>
      <c r="E432" s="14" t="s">
        <v>1583</v>
      </c>
      <c r="F432" s="67" t="s">
        <v>1672</v>
      </c>
      <c r="G432" s="32" t="s">
        <v>876</v>
      </c>
      <c r="H432" s="20" t="s">
        <v>35</v>
      </c>
      <c r="I432" s="15" t="s">
        <v>1673</v>
      </c>
      <c r="J432" s="30">
        <v>43683</v>
      </c>
      <c r="K432" s="30">
        <v>44779</v>
      </c>
      <c r="L432" s="31">
        <f t="shared" si="167"/>
        <v>83.983863227150081</v>
      </c>
      <c r="M432" s="32" t="s">
        <v>259</v>
      </c>
      <c r="N432" s="20" t="s">
        <v>228</v>
      </c>
      <c r="O432" s="20" t="s">
        <v>229</v>
      </c>
      <c r="P432" s="19" t="s">
        <v>260</v>
      </c>
      <c r="Q432" s="20" t="s">
        <v>40</v>
      </c>
      <c r="R432" s="2">
        <v>12609023.520000001</v>
      </c>
      <c r="S432" s="2">
        <v>10168078.920000002</v>
      </c>
      <c r="T432" s="2">
        <v>2440944.5999999996</v>
      </c>
      <c r="U432" s="2">
        <v>0</v>
      </c>
      <c r="V432" s="2">
        <v>0</v>
      </c>
      <c r="W432" s="2">
        <v>0</v>
      </c>
      <c r="X432" s="2">
        <v>2404602.9499999997</v>
      </c>
      <c r="Y432" s="2">
        <v>1794366.795993312</v>
      </c>
      <c r="Z432" s="2">
        <v>610236.15400668769</v>
      </c>
      <c r="AA432" s="2">
        <v>0</v>
      </c>
      <c r="AB432" s="2">
        <v>0</v>
      </c>
      <c r="AC432" s="2">
        <v>0</v>
      </c>
      <c r="AD432" s="2">
        <v>15013626.470000001</v>
      </c>
      <c r="AE432" s="42">
        <v>0</v>
      </c>
      <c r="AF432" s="42">
        <v>15013626.470000001</v>
      </c>
      <c r="AG432" s="39" t="s">
        <v>69</v>
      </c>
      <c r="AH432" s="168"/>
      <c r="AI432" s="166">
        <f>1222955.81</f>
        <v>1222955.81</v>
      </c>
      <c r="AJ432" s="167">
        <v>0</v>
      </c>
      <c r="AK432" s="28">
        <f t="shared" si="160"/>
        <v>11386067.710000001</v>
      </c>
      <c r="AL432" s="28">
        <f t="shared" si="161"/>
        <v>0</v>
      </c>
      <c r="AM432" s="29">
        <f t="shared" si="162"/>
        <v>9.6990524925279847E-2</v>
      </c>
    </row>
    <row r="433" spans="1:39" ht="192" customHeight="1" x14ac:dyDescent="0.25">
      <c r="A433" s="154">
        <v>430</v>
      </c>
      <c r="B433" s="37">
        <v>127558</v>
      </c>
      <c r="C433" s="37">
        <v>617</v>
      </c>
      <c r="D433" s="20" t="s">
        <v>254</v>
      </c>
      <c r="E433" s="14" t="s">
        <v>1583</v>
      </c>
      <c r="F433" s="67" t="s">
        <v>1674</v>
      </c>
      <c r="G433" s="63" t="s">
        <v>1675</v>
      </c>
      <c r="H433" s="20" t="s">
        <v>1676</v>
      </c>
      <c r="I433" s="15" t="s">
        <v>1677</v>
      </c>
      <c r="J433" s="30">
        <v>43690</v>
      </c>
      <c r="K433" s="30">
        <v>44605</v>
      </c>
      <c r="L433" s="31">
        <f t="shared" si="167"/>
        <v>83.983863794320328</v>
      </c>
      <c r="M433" s="32" t="s">
        <v>259</v>
      </c>
      <c r="N433" s="20" t="s">
        <v>228</v>
      </c>
      <c r="O433" s="20" t="s">
        <v>229</v>
      </c>
      <c r="P433" s="19" t="s">
        <v>260</v>
      </c>
      <c r="Q433" s="20" t="s">
        <v>40</v>
      </c>
      <c r="R433" s="2">
        <f t="shared" ref="R433:R481" si="172">S433+T433</f>
        <v>6667503.0499999998</v>
      </c>
      <c r="S433" s="2">
        <v>5376760.2599999998</v>
      </c>
      <c r="T433" s="2">
        <v>1290742.79</v>
      </c>
      <c r="U433" s="2">
        <f t="shared" ref="U433:U481" si="173">V433+W433</f>
        <v>810245.43</v>
      </c>
      <c r="V433" s="2">
        <v>598778.27</v>
      </c>
      <c r="W433" s="2">
        <v>211467.16</v>
      </c>
      <c r="X433" s="2">
        <f t="shared" ref="X433:X481" si="174">Y433+Z433</f>
        <v>461280.22</v>
      </c>
      <c r="Y433" s="2">
        <v>350061.75</v>
      </c>
      <c r="Z433" s="2">
        <v>111218.47</v>
      </c>
      <c r="AA433" s="2">
        <f t="shared" ref="AA433:AA468" si="175">AB433+AC433</f>
        <v>0</v>
      </c>
      <c r="AB433" s="2">
        <v>0</v>
      </c>
      <c r="AC433" s="2">
        <v>0</v>
      </c>
      <c r="AD433" s="2">
        <f t="shared" ref="AD433:AD481" si="176">R433+U433+X433+AA433</f>
        <v>7939028.6999999993</v>
      </c>
      <c r="AE433" s="42">
        <v>0</v>
      </c>
      <c r="AF433" s="42">
        <f t="shared" ref="AF433:AF481" si="177">AD433+AE433</f>
        <v>7939028.6999999993</v>
      </c>
      <c r="AG433" s="39" t="s">
        <v>69</v>
      </c>
      <c r="AH433" s="168" t="s">
        <v>1678</v>
      </c>
      <c r="AI433" s="35">
        <f>188227.39</f>
        <v>188227.39</v>
      </c>
      <c r="AJ433" s="36">
        <f>3394.43</f>
        <v>3394.43</v>
      </c>
      <c r="AK433" s="28">
        <f t="shared" si="160"/>
        <v>6479275.6600000001</v>
      </c>
      <c r="AL433" s="28">
        <f t="shared" si="161"/>
        <v>806851</v>
      </c>
      <c r="AM433" s="29">
        <f t="shared" si="162"/>
        <v>2.8230566763670251E-2</v>
      </c>
    </row>
    <row r="434" spans="1:39" ht="192" customHeight="1" x14ac:dyDescent="0.25">
      <c r="A434" s="154">
        <v>431</v>
      </c>
      <c r="B434" s="37">
        <v>125764</v>
      </c>
      <c r="C434" s="37">
        <v>586</v>
      </c>
      <c r="D434" s="20" t="s">
        <v>254</v>
      </c>
      <c r="E434" s="14" t="s">
        <v>1583</v>
      </c>
      <c r="F434" s="67" t="s">
        <v>1679</v>
      </c>
      <c r="G434" s="63" t="s">
        <v>1621</v>
      </c>
      <c r="H434" s="20" t="s">
        <v>132</v>
      </c>
      <c r="I434" s="15" t="s">
        <v>1680</v>
      </c>
      <c r="J434" s="30">
        <v>43690</v>
      </c>
      <c r="K434" s="30">
        <v>44664</v>
      </c>
      <c r="L434" s="31">
        <f t="shared" si="167"/>
        <v>83.983863024285967</v>
      </c>
      <c r="M434" s="32" t="s">
        <v>259</v>
      </c>
      <c r="N434" s="20" t="s">
        <v>228</v>
      </c>
      <c r="O434" s="20" t="s">
        <v>229</v>
      </c>
      <c r="P434" s="19" t="s">
        <v>260</v>
      </c>
      <c r="Q434" s="20" t="s">
        <v>40</v>
      </c>
      <c r="R434" s="2">
        <f t="shared" si="172"/>
        <v>13134256.989999998</v>
      </c>
      <c r="S434" s="2">
        <v>10591633.949999999</v>
      </c>
      <c r="T434" s="2">
        <v>2542623.04</v>
      </c>
      <c r="U434" s="2">
        <f t="shared" si="173"/>
        <v>0</v>
      </c>
      <c r="V434" s="2">
        <v>0</v>
      </c>
      <c r="W434" s="2">
        <v>0</v>
      </c>
      <c r="X434" s="2">
        <f t="shared" si="174"/>
        <v>2504767.6</v>
      </c>
      <c r="Y434" s="2">
        <v>1869111.83</v>
      </c>
      <c r="Z434" s="2">
        <v>635655.77</v>
      </c>
      <c r="AA434" s="2">
        <f t="shared" si="175"/>
        <v>0</v>
      </c>
      <c r="AB434" s="2">
        <v>0</v>
      </c>
      <c r="AC434" s="2">
        <v>0</v>
      </c>
      <c r="AD434" s="2">
        <f t="shared" si="176"/>
        <v>15639024.589999998</v>
      </c>
      <c r="AE434" s="42">
        <v>0</v>
      </c>
      <c r="AF434" s="42">
        <f t="shared" si="177"/>
        <v>15639024.589999998</v>
      </c>
      <c r="AG434" s="39" t="s">
        <v>69</v>
      </c>
      <c r="AH434" s="168"/>
      <c r="AI434" s="35">
        <f>23844.71+278212.07+14761.85</f>
        <v>316818.63</v>
      </c>
      <c r="AJ434" s="36">
        <v>0</v>
      </c>
      <c r="AK434" s="28">
        <f t="shared" si="160"/>
        <v>12817438.359999998</v>
      </c>
      <c r="AL434" s="28">
        <f t="shared" si="161"/>
        <v>0</v>
      </c>
      <c r="AM434" s="29">
        <f t="shared" si="162"/>
        <v>2.4121549490101764E-2</v>
      </c>
    </row>
    <row r="435" spans="1:39" ht="192" customHeight="1" x14ac:dyDescent="0.25">
      <c r="A435" s="154">
        <v>432</v>
      </c>
      <c r="B435" s="37">
        <v>127462</v>
      </c>
      <c r="C435" s="37">
        <v>581</v>
      </c>
      <c r="D435" s="20" t="s">
        <v>254</v>
      </c>
      <c r="E435" s="14" t="s">
        <v>1583</v>
      </c>
      <c r="F435" s="67" t="s">
        <v>1681</v>
      </c>
      <c r="G435" s="63" t="s">
        <v>1682</v>
      </c>
      <c r="H435" s="20" t="s">
        <v>1683</v>
      </c>
      <c r="I435" s="15" t="s">
        <v>1684</v>
      </c>
      <c r="J435" s="30">
        <v>43690</v>
      </c>
      <c r="K435" s="30">
        <v>44543</v>
      </c>
      <c r="L435" s="31">
        <f t="shared" si="167"/>
        <v>83.81974496254557</v>
      </c>
      <c r="M435" s="32" t="s">
        <v>259</v>
      </c>
      <c r="N435" s="20" t="s">
        <v>228</v>
      </c>
      <c r="O435" s="20" t="s">
        <v>229</v>
      </c>
      <c r="P435" s="19" t="s">
        <v>260</v>
      </c>
      <c r="Q435" s="20" t="s">
        <v>40</v>
      </c>
      <c r="R435" s="2">
        <f t="shared" si="172"/>
        <v>16722840.989999998</v>
      </c>
      <c r="S435" s="2">
        <v>13485514.289999999</v>
      </c>
      <c r="T435" s="2">
        <v>3237326.7</v>
      </c>
      <c r="U435" s="2">
        <f t="shared" si="173"/>
        <v>2829096.54</v>
      </c>
      <c r="V435" s="2">
        <v>2092933.21</v>
      </c>
      <c r="W435" s="2">
        <v>736163.33</v>
      </c>
      <c r="X435" s="2">
        <f t="shared" si="174"/>
        <v>360031.77</v>
      </c>
      <c r="Y435" s="2">
        <v>286863.42</v>
      </c>
      <c r="Z435" s="2">
        <v>73168.350000000006</v>
      </c>
      <c r="AA435" s="2">
        <f t="shared" si="175"/>
        <v>38987.360000000001</v>
      </c>
      <c r="AB435" s="2">
        <v>31064.05</v>
      </c>
      <c r="AC435" s="2">
        <v>7923.31</v>
      </c>
      <c r="AD435" s="2">
        <f t="shared" si="176"/>
        <v>19950956.659999996</v>
      </c>
      <c r="AE435" s="42">
        <v>0</v>
      </c>
      <c r="AF435" s="42">
        <f t="shared" si="177"/>
        <v>19950956.659999996</v>
      </c>
      <c r="AG435" s="39" t="s">
        <v>69</v>
      </c>
      <c r="AH435" s="168"/>
      <c r="AI435" s="35">
        <v>468974.69</v>
      </c>
      <c r="AJ435" s="36">
        <v>83009.62</v>
      </c>
      <c r="AK435" s="28">
        <f t="shared" si="160"/>
        <v>16253866.299999999</v>
      </c>
      <c r="AL435" s="28">
        <f t="shared" si="161"/>
        <v>2746086.92</v>
      </c>
      <c r="AM435" s="29">
        <f t="shared" si="162"/>
        <v>2.8043960370157179E-2</v>
      </c>
    </row>
    <row r="436" spans="1:39" ht="192" customHeight="1" x14ac:dyDescent="0.25">
      <c r="A436" s="154">
        <v>433</v>
      </c>
      <c r="B436" s="20">
        <v>129502</v>
      </c>
      <c r="C436" s="20">
        <v>746</v>
      </c>
      <c r="D436" s="15" t="s">
        <v>999</v>
      </c>
      <c r="E436" s="14" t="s">
        <v>1645</v>
      </c>
      <c r="F436" s="15" t="s">
        <v>1685</v>
      </c>
      <c r="G436" s="15" t="s">
        <v>1686</v>
      </c>
      <c r="H436" s="20" t="s">
        <v>1687</v>
      </c>
      <c r="I436" s="16" t="s">
        <v>1688</v>
      </c>
      <c r="J436" s="30">
        <v>43697</v>
      </c>
      <c r="K436" s="30">
        <v>44793</v>
      </c>
      <c r="L436" s="31">
        <f t="shared" si="167"/>
        <v>83.983862795774542</v>
      </c>
      <c r="M436" s="32" t="s">
        <v>259</v>
      </c>
      <c r="N436" s="20" t="s">
        <v>228</v>
      </c>
      <c r="O436" s="20" t="s">
        <v>229</v>
      </c>
      <c r="P436" s="19" t="s">
        <v>260</v>
      </c>
      <c r="Q436" s="20" t="s">
        <v>40</v>
      </c>
      <c r="R436" s="33">
        <f t="shared" si="172"/>
        <v>16341565.460000003</v>
      </c>
      <c r="S436" s="2">
        <v>13178048.740000002</v>
      </c>
      <c r="T436" s="2">
        <v>3163516.7200000011</v>
      </c>
      <c r="U436" s="33">
        <f t="shared" si="173"/>
        <v>612798.06999999983</v>
      </c>
      <c r="V436" s="2">
        <v>452862.94999999984</v>
      </c>
      <c r="W436" s="2">
        <v>159935.11999999994</v>
      </c>
      <c r="X436" s="33">
        <f t="shared" si="174"/>
        <v>2503619.13</v>
      </c>
      <c r="Y436" s="2">
        <v>1872675.12</v>
      </c>
      <c r="Z436" s="2">
        <v>630944.01</v>
      </c>
      <c r="AA436" s="2">
        <f t="shared" si="175"/>
        <v>0</v>
      </c>
      <c r="AB436" s="2">
        <v>0</v>
      </c>
      <c r="AC436" s="2">
        <v>0</v>
      </c>
      <c r="AD436" s="2">
        <f t="shared" si="176"/>
        <v>19457982.66</v>
      </c>
      <c r="AE436" s="2">
        <v>0</v>
      </c>
      <c r="AF436" s="2">
        <f t="shared" si="177"/>
        <v>19457982.66</v>
      </c>
      <c r="AG436" s="39" t="s">
        <v>69</v>
      </c>
      <c r="AH436" s="34" t="s">
        <v>35</v>
      </c>
      <c r="AI436" s="35">
        <v>121557.35</v>
      </c>
      <c r="AJ436" s="36">
        <v>413.34</v>
      </c>
      <c r="AK436" s="28">
        <f t="shared" si="160"/>
        <v>16220008.110000003</v>
      </c>
      <c r="AL436" s="28">
        <f t="shared" si="161"/>
        <v>612384.72999999986</v>
      </c>
      <c r="AM436" s="29">
        <f t="shared" si="162"/>
        <v>7.4385376540296276E-3</v>
      </c>
    </row>
    <row r="437" spans="1:39" ht="192" customHeight="1" x14ac:dyDescent="0.25">
      <c r="A437" s="154">
        <v>434</v>
      </c>
      <c r="B437" s="20">
        <v>129865</v>
      </c>
      <c r="C437" s="20">
        <v>747</v>
      </c>
      <c r="D437" s="15" t="s">
        <v>999</v>
      </c>
      <c r="E437" s="14" t="s">
        <v>1645</v>
      </c>
      <c r="F437" s="15" t="s">
        <v>1689</v>
      </c>
      <c r="G437" s="15" t="s">
        <v>1690</v>
      </c>
      <c r="H437" s="20" t="s">
        <v>1691</v>
      </c>
      <c r="I437" s="16" t="s">
        <v>1692</v>
      </c>
      <c r="J437" s="30">
        <v>43697</v>
      </c>
      <c r="K437" s="30">
        <v>44793</v>
      </c>
      <c r="L437" s="31">
        <f t="shared" si="167"/>
        <v>83.983862799999997</v>
      </c>
      <c r="M437" s="32" t="s">
        <v>259</v>
      </c>
      <c r="N437" s="20" t="s">
        <v>228</v>
      </c>
      <c r="O437" s="20" t="s">
        <v>229</v>
      </c>
      <c r="P437" s="19" t="s">
        <v>260</v>
      </c>
      <c r="Q437" s="20" t="s">
        <v>40</v>
      </c>
      <c r="R437" s="33">
        <f t="shared" si="172"/>
        <v>20995965.699999999</v>
      </c>
      <c r="S437" s="2">
        <v>16931417.09</v>
      </c>
      <c r="T437" s="2">
        <v>4064548.61</v>
      </c>
      <c r="U437" s="33">
        <f t="shared" si="173"/>
        <v>517002.47000000003</v>
      </c>
      <c r="V437" s="2">
        <v>382069.15</v>
      </c>
      <c r="W437" s="2">
        <v>134933.32</v>
      </c>
      <c r="X437" s="33">
        <f t="shared" si="174"/>
        <v>3487031.83</v>
      </c>
      <c r="Y437" s="2">
        <v>2605827.96</v>
      </c>
      <c r="Z437" s="2">
        <v>881203.87</v>
      </c>
      <c r="AA437" s="2">
        <f t="shared" si="175"/>
        <v>0</v>
      </c>
      <c r="AB437" s="2">
        <v>0</v>
      </c>
      <c r="AC437" s="2">
        <v>0</v>
      </c>
      <c r="AD437" s="2">
        <f t="shared" si="176"/>
        <v>25000000</v>
      </c>
      <c r="AE437" s="2">
        <v>0</v>
      </c>
      <c r="AF437" s="2">
        <f t="shared" si="177"/>
        <v>25000000</v>
      </c>
      <c r="AG437" s="39" t="s">
        <v>69</v>
      </c>
      <c r="AH437" s="34" t="s">
        <v>35</v>
      </c>
      <c r="AI437" s="35">
        <v>1757025.43</v>
      </c>
      <c r="AJ437" s="36">
        <f>24083.11</f>
        <v>24083.11</v>
      </c>
      <c r="AK437" s="28">
        <f t="shared" si="160"/>
        <v>19238940.27</v>
      </c>
      <c r="AL437" s="28">
        <f t="shared" si="161"/>
        <v>492919.36000000004</v>
      </c>
      <c r="AM437" s="29">
        <f t="shared" si="162"/>
        <v>8.3683954103620964E-2</v>
      </c>
    </row>
    <row r="438" spans="1:39" ht="192" customHeight="1" x14ac:dyDescent="0.25">
      <c r="A438" s="154">
        <v>435</v>
      </c>
      <c r="B438" s="37">
        <v>127554</v>
      </c>
      <c r="C438" s="37">
        <v>596</v>
      </c>
      <c r="D438" s="40" t="s">
        <v>1649</v>
      </c>
      <c r="E438" s="14" t="s">
        <v>1583</v>
      </c>
      <c r="F438" s="40" t="s">
        <v>1693</v>
      </c>
      <c r="G438" s="32" t="s">
        <v>930</v>
      </c>
      <c r="H438" s="20" t="s">
        <v>1694</v>
      </c>
      <c r="I438" s="16" t="s">
        <v>1695</v>
      </c>
      <c r="J438" s="30">
        <v>43698</v>
      </c>
      <c r="K438" s="30">
        <v>44613</v>
      </c>
      <c r="L438" s="31">
        <f t="shared" si="167"/>
        <v>83.983862444458254</v>
      </c>
      <c r="M438" s="20" t="s">
        <v>259</v>
      </c>
      <c r="N438" s="20" t="s">
        <v>228</v>
      </c>
      <c r="O438" s="20" t="str">
        <f t="shared" ref="O438:Q440" si="178">O437</f>
        <v>Bucuresti</v>
      </c>
      <c r="P438" s="32" t="str">
        <f t="shared" si="178"/>
        <v>APC</v>
      </c>
      <c r="Q438" s="20" t="str">
        <f t="shared" si="178"/>
        <v>119 - Investiții în capacitatea instituțională și în eficiența administrațiilor și a serviciilor publice la nivel național, regional și local, în perspectiva realizării de reforme, a unei mai bune legiferări și a bunei guvernanțe</v>
      </c>
      <c r="R438" s="33">
        <f t="shared" si="172"/>
        <v>12098670.199999999</v>
      </c>
      <c r="S438" s="2">
        <v>9756523.4299999997</v>
      </c>
      <c r="T438" s="2">
        <v>2342146.77</v>
      </c>
      <c r="U438" s="33">
        <f t="shared" si="173"/>
        <v>0</v>
      </c>
      <c r="V438" s="2">
        <v>0</v>
      </c>
      <c r="W438" s="2">
        <v>0</v>
      </c>
      <c r="X438" s="33">
        <f t="shared" si="174"/>
        <v>2307276.19</v>
      </c>
      <c r="Y438" s="2">
        <v>1721739.47</v>
      </c>
      <c r="Z438" s="2">
        <v>585536.72</v>
      </c>
      <c r="AA438" s="2">
        <f t="shared" si="175"/>
        <v>0</v>
      </c>
      <c r="AB438" s="2">
        <v>0</v>
      </c>
      <c r="AC438" s="2">
        <v>0</v>
      </c>
      <c r="AD438" s="2">
        <f t="shared" si="176"/>
        <v>14405946.389999999</v>
      </c>
      <c r="AE438" s="2">
        <v>1695594.64</v>
      </c>
      <c r="AF438" s="2">
        <f t="shared" si="177"/>
        <v>16101541.029999999</v>
      </c>
      <c r="AG438" s="39" t="s">
        <v>69</v>
      </c>
      <c r="AH438" s="34" t="s">
        <v>35</v>
      </c>
      <c r="AI438" s="35">
        <v>80134.03</v>
      </c>
      <c r="AJ438" s="36">
        <v>0</v>
      </c>
      <c r="AK438" s="28">
        <f t="shared" si="160"/>
        <v>12018536.17</v>
      </c>
      <c r="AL438" s="28">
        <f t="shared" si="161"/>
        <v>0</v>
      </c>
      <c r="AM438" s="29">
        <f t="shared" si="162"/>
        <v>6.623375021826779E-3</v>
      </c>
    </row>
    <row r="439" spans="1:39" ht="192" customHeight="1" x14ac:dyDescent="0.25">
      <c r="A439" s="154">
        <v>436</v>
      </c>
      <c r="B439" s="37">
        <v>127585</v>
      </c>
      <c r="C439" s="37">
        <v>622</v>
      </c>
      <c r="D439" s="40" t="s">
        <v>1649</v>
      </c>
      <c r="E439" s="14" t="s">
        <v>1583</v>
      </c>
      <c r="F439" s="40" t="s">
        <v>1696</v>
      </c>
      <c r="G439" s="15" t="s">
        <v>952</v>
      </c>
      <c r="H439" s="20" t="s">
        <v>1697</v>
      </c>
      <c r="I439" s="16" t="s">
        <v>1698</v>
      </c>
      <c r="J439" s="30">
        <v>43703</v>
      </c>
      <c r="K439" s="30">
        <v>44799</v>
      </c>
      <c r="L439" s="31">
        <f t="shared" si="167"/>
        <v>83.983863237881479</v>
      </c>
      <c r="M439" s="20" t="s">
        <v>259</v>
      </c>
      <c r="N439" s="20" t="s">
        <v>228</v>
      </c>
      <c r="O439" s="20" t="str">
        <f t="shared" si="178"/>
        <v>Bucuresti</v>
      </c>
      <c r="P439" s="32" t="str">
        <f t="shared" si="178"/>
        <v>APC</v>
      </c>
      <c r="Q439" s="20" t="str">
        <f t="shared" si="178"/>
        <v>119 - Investiții în capacitatea instituțională și în eficiența administrațiilor și a serviciilor publice la nivel național, regional și local, în perspectiva realizării de reforme, a unei mai bune legiferări și a bunei guvernanțe</v>
      </c>
      <c r="R439" s="33">
        <f t="shared" si="172"/>
        <v>8398187.4499999993</v>
      </c>
      <c r="S439" s="2">
        <v>6772406.5</v>
      </c>
      <c r="T439" s="2">
        <v>1625780.95</v>
      </c>
      <c r="U439" s="33">
        <f t="shared" si="173"/>
        <v>0</v>
      </c>
      <c r="V439" s="2">
        <v>0</v>
      </c>
      <c r="W439" s="2">
        <v>0</v>
      </c>
      <c r="X439" s="33">
        <f t="shared" si="174"/>
        <v>1601575.75</v>
      </c>
      <c r="Y439" s="2">
        <v>1195130.5</v>
      </c>
      <c r="Z439" s="2">
        <v>406445.25</v>
      </c>
      <c r="AA439" s="2">
        <f t="shared" si="175"/>
        <v>0</v>
      </c>
      <c r="AB439" s="2">
        <v>0</v>
      </c>
      <c r="AC439" s="2">
        <v>0</v>
      </c>
      <c r="AD439" s="2">
        <f t="shared" si="176"/>
        <v>9999763.1999999993</v>
      </c>
      <c r="AE439" s="2">
        <v>0</v>
      </c>
      <c r="AF439" s="2">
        <f t="shared" si="177"/>
        <v>9999763.1999999993</v>
      </c>
      <c r="AG439" s="39" t="s">
        <v>69</v>
      </c>
      <c r="AH439" s="34" t="str">
        <f>$AH$438</f>
        <v>n.a</v>
      </c>
      <c r="AI439" s="35">
        <v>843418.72000000009</v>
      </c>
      <c r="AJ439" s="36">
        <v>0</v>
      </c>
      <c r="AK439" s="28">
        <f t="shared" si="160"/>
        <v>7554768.7299999995</v>
      </c>
      <c r="AL439" s="28">
        <f t="shared" si="161"/>
        <v>0</v>
      </c>
      <c r="AM439" s="29">
        <f t="shared" si="162"/>
        <v>0.10042866094873842</v>
      </c>
    </row>
    <row r="440" spans="1:39" ht="192" customHeight="1" x14ac:dyDescent="0.25">
      <c r="A440" s="154">
        <v>437</v>
      </c>
      <c r="B440" s="37">
        <v>127829</v>
      </c>
      <c r="C440" s="37">
        <v>623</v>
      </c>
      <c r="D440" s="40" t="s">
        <v>1649</v>
      </c>
      <c r="E440" s="14" t="s">
        <v>1583</v>
      </c>
      <c r="F440" s="40" t="s">
        <v>1699</v>
      </c>
      <c r="G440" s="15" t="s">
        <v>952</v>
      </c>
      <c r="H440" s="20" t="s">
        <v>1697</v>
      </c>
      <c r="I440" s="16" t="s">
        <v>1700</v>
      </c>
      <c r="J440" s="30">
        <v>43703</v>
      </c>
      <c r="K440" s="30">
        <v>44799</v>
      </c>
      <c r="L440" s="31">
        <f t="shared" si="167"/>
        <v>83.983863016171711</v>
      </c>
      <c r="M440" s="20" t="s">
        <v>259</v>
      </c>
      <c r="N440" s="20" t="s">
        <v>228</v>
      </c>
      <c r="O440" s="20" t="str">
        <f t="shared" si="178"/>
        <v>Bucuresti</v>
      </c>
      <c r="P440" s="32" t="str">
        <f t="shared" si="178"/>
        <v>APC</v>
      </c>
      <c r="Q440" s="20" t="str">
        <f t="shared" si="178"/>
        <v>119 - Investiții în capacitatea instituțională și în eficiența administrațiilor și a serviciilor publice la nivel național, regional și local, în perspectiva realizării de reforme, a unei mai bune legiferări și a bunei guvernanțe</v>
      </c>
      <c r="R440" s="33">
        <f t="shared" si="172"/>
        <v>8466572.8000000007</v>
      </c>
      <c r="S440" s="2">
        <v>6827553.2999999998</v>
      </c>
      <c r="T440" s="2">
        <v>1639019.5</v>
      </c>
      <c r="U440" s="33">
        <f t="shared" si="173"/>
        <v>0</v>
      </c>
      <c r="V440" s="2">
        <v>0</v>
      </c>
      <c r="W440" s="2">
        <v>0</v>
      </c>
      <c r="X440" s="33">
        <f t="shared" si="174"/>
        <v>1614617.2000000002</v>
      </c>
      <c r="Y440" s="2">
        <v>1204862.3400000001</v>
      </c>
      <c r="Z440" s="2">
        <v>409754.86</v>
      </c>
      <c r="AA440" s="2">
        <f t="shared" si="175"/>
        <v>0</v>
      </c>
      <c r="AB440" s="2">
        <v>0</v>
      </c>
      <c r="AC440" s="2">
        <v>0</v>
      </c>
      <c r="AD440" s="2">
        <f t="shared" si="176"/>
        <v>10081190</v>
      </c>
      <c r="AE440" s="2">
        <v>0</v>
      </c>
      <c r="AF440" s="2">
        <f t="shared" si="177"/>
        <v>10081190</v>
      </c>
      <c r="AG440" s="39" t="s">
        <v>69</v>
      </c>
      <c r="AH440" s="34" t="str">
        <f>$AH$438</f>
        <v>n.a</v>
      </c>
      <c r="AI440" s="35">
        <v>896890.75</v>
      </c>
      <c r="AJ440" s="36">
        <v>0</v>
      </c>
      <c r="AK440" s="28">
        <f t="shared" si="160"/>
        <v>7569682.0500000007</v>
      </c>
      <c r="AL440" s="28">
        <f t="shared" si="161"/>
        <v>0</v>
      </c>
      <c r="AM440" s="29">
        <f t="shared" si="162"/>
        <v>0.10593315278644978</v>
      </c>
    </row>
    <row r="441" spans="1:39" ht="192" customHeight="1" x14ac:dyDescent="0.25">
      <c r="A441" s="154">
        <v>438</v>
      </c>
      <c r="B441" s="37">
        <v>127591</v>
      </c>
      <c r="C441" s="37">
        <v>603</v>
      </c>
      <c r="D441" s="40" t="s">
        <v>1649</v>
      </c>
      <c r="E441" s="14" t="s">
        <v>1583</v>
      </c>
      <c r="F441" s="40" t="s">
        <v>1701</v>
      </c>
      <c r="G441" s="15" t="s">
        <v>952</v>
      </c>
      <c r="H441" s="20" t="s">
        <v>1697</v>
      </c>
      <c r="I441" s="71" t="s">
        <v>1702</v>
      </c>
      <c r="J441" s="30">
        <v>43704</v>
      </c>
      <c r="K441" s="30">
        <v>44708</v>
      </c>
      <c r="L441" s="31">
        <f t="shared" si="167"/>
        <v>83.98386273142458</v>
      </c>
      <c r="M441" s="20" t="str">
        <f>$M$438</f>
        <v xml:space="preserve"> Proiect cu acoperire națională</v>
      </c>
      <c r="N441" s="20" t="str">
        <f>N440</f>
        <v>București</v>
      </c>
      <c r="O441" s="20" t="s">
        <v>228</v>
      </c>
      <c r="P441" s="32" t="s">
        <v>260</v>
      </c>
      <c r="Q441" s="20" t="str">
        <f>Q440</f>
        <v>119 - Investiții în capacitatea instituțională și în eficiența administrațiilor și a serviciilor publice la nivel național, regional și local, în perspectiva realizării de reforme, a unei mai bune legiferări și a bunei guvernanțe</v>
      </c>
      <c r="R441" s="33">
        <f t="shared" si="172"/>
        <v>10242987.93</v>
      </c>
      <c r="S441" s="2">
        <v>8260077.3899999997</v>
      </c>
      <c r="T441" s="2">
        <v>1982910.54</v>
      </c>
      <c r="U441" s="33">
        <f t="shared" si="173"/>
        <v>0</v>
      </c>
      <c r="V441" s="2">
        <v>0</v>
      </c>
      <c r="W441" s="2">
        <v>0</v>
      </c>
      <c r="X441" s="33">
        <f t="shared" si="174"/>
        <v>1953388.3699999999</v>
      </c>
      <c r="Y441" s="2">
        <v>1457660.67</v>
      </c>
      <c r="Z441" s="2">
        <v>495727.7</v>
      </c>
      <c r="AA441" s="2">
        <f t="shared" si="175"/>
        <v>0</v>
      </c>
      <c r="AB441" s="2">
        <v>0</v>
      </c>
      <c r="AC441" s="2">
        <v>0</v>
      </c>
      <c r="AD441" s="2">
        <f t="shared" si="176"/>
        <v>12196376.299999999</v>
      </c>
      <c r="AE441" s="2">
        <v>0</v>
      </c>
      <c r="AF441" s="2">
        <f t="shared" si="177"/>
        <v>12196376.299999999</v>
      </c>
      <c r="AG441" s="39" t="s">
        <v>69</v>
      </c>
      <c r="AH441" s="34" t="s">
        <v>35</v>
      </c>
      <c r="AI441" s="35">
        <v>957032.9800000001</v>
      </c>
      <c r="AJ441" s="36">
        <v>0</v>
      </c>
      <c r="AK441" s="28">
        <f t="shared" si="160"/>
        <v>9285954.9499999993</v>
      </c>
      <c r="AL441" s="28">
        <f t="shared" si="161"/>
        <v>0</v>
      </c>
      <c r="AM441" s="29">
        <f t="shared" si="162"/>
        <v>9.3432989137574834E-2</v>
      </c>
    </row>
    <row r="442" spans="1:39" ht="192" customHeight="1" x14ac:dyDescent="0.25">
      <c r="A442" s="154">
        <v>439</v>
      </c>
      <c r="B442" s="20">
        <v>130133</v>
      </c>
      <c r="C442" s="20">
        <v>749</v>
      </c>
      <c r="D442" s="15" t="s">
        <v>999</v>
      </c>
      <c r="E442" s="14" t="s">
        <v>1645</v>
      </c>
      <c r="F442" s="15" t="s">
        <v>1703</v>
      </c>
      <c r="G442" s="15" t="s">
        <v>1704</v>
      </c>
      <c r="H442" s="20" t="s">
        <v>35</v>
      </c>
      <c r="I442" s="16" t="s">
        <v>1705</v>
      </c>
      <c r="J442" s="30">
        <v>43706</v>
      </c>
      <c r="K442" s="30">
        <v>44802</v>
      </c>
      <c r="L442" s="31">
        <f t="shared" si="167"/>
        <v>83.983862863568021</v>
      </c>
      <c r="M442" s="20" t="str">
        <f>$M$438</f>
        <v xml:space="preserve"> Proiect cu acoperire națională</v>
      </c>
      <c r="N442" s="20" t="str">
        <f>N441</f>
        <v>București</v>
      </c>
      <c r="O442" s="20" t="s">
        <v>228</v>
      </c>
      <c r="P442" s="32" t="s">
        <v>260</v>
      </c>
      <c r="Q442" s="20" t="s">
        <v>40</v>
      </c>
      <c r="R442" s="33">
        <f t="shared" si="172"/>
        <v>15487811.129999999</v>
      </c>
      <c r="S442" s="2">
        <v>12489570.33</v>
      </c>
      <c r="T442" s="2">
        <v>2998240.8</v>
      </c>
      <c r="U442" s="33">
        <f t="shared" si="173"/>
        <v>0</v>
      </c>
      <c r="V442" s="2">
        <v>0</v>
      </c>
      <c r="W442" s="2">
        <v>0</v>
      </c>
      <c r="X442" s="33">
        <f t="shared" si="174"/>
        <v>2953602.02</v>
      </c>
      <c r="Y442" s="2">
        <v>2204041.7812303277</v>
      </c>
      <c r="Z442" s="2">
        <v>749560.23876967223</v>
      </c>
      <c r="AA442" s="2">
        <f t="shared" si="175"/>
        <v>0</v>
      </c>
      <c r="AB442" s="2">
        <v>0</v>
      </c>
      <c r="AC442" s="2">
        <v>0</v>
      </c>
      <c r="AD442" s="2">
        <f t="shared" si="176"/>
        <v>18441413.149999999</v>
      </c>
      <c r="AE442" s="2">
        <v>0</v>
      </c>
      <c r="AF442" s="2">
        <f t="shared" si="177"/>
        <v>18441413.149999999</v>
      </c>
      <c r="AG442" s="39" t="s">
        <v>69</v>
      </c>
      <c r="AH442" s="34" t="s">
        <v>35</v>
      </c>
      <c r="AI442" s="35">
        <v>37986.75</v>
      </c>
      <c r="AJ442" s="36">
        <v>0</v>
      </c>
      <c r="AK442" s="28">
        <f t="shared" si="160"/>
        <v>15449824.379999999</v>
      </c>
      <c r="AL442" s="28">
        <f t="shared" si="161"/>
        <v>0</v>
      </c>
      <c r="AM442" s="29">
        <f>AI442/R442</f>
        <v>2.4526868052012463E-3</v>
      </c>
    </row>
    <row r="443" spans="1:39" ht="192" customHeight="1" x14ac:dyDescent="0.25">
      <c r="A443" s="154">
        <v>440</v>
      </c>
      <c r="B443" s="20">
        <v>127338</v>
      </c>
      <c r="C443" s="20">
        <v>612</v>
      </c>
      <c r="D443" s="40" t="s">
        <v>1649</v>
      </c>
      <c r="E443" s="14" t="s">
        <v>1583</v>
      </c>
      <c r="F443" s="15" t="s">
        <v>1706</v>
      </c>
      <c r="G443" s="15" t="s">
        <v>952</v>
      </c>
      <c r="H443" s="20" t="s">
        <v>1707</v>
      </c>
      <c r="I443" s="16" t="s">
        <v>1708</v>
      </c>
      <c r="J443" s="30">
        <v>43621</v>
      </c>
      <c r="K443" s="30">
        <v>44352</v>
      </c>
      <c r="L443" s="31">
        <f t="shared" si="167"/>
        <v>83.98386483351581</v>
      </c>
      <c r="M443" s="20">
        <v>8</v>
      </c>
      <c r="N443" s="20" t="s">
        <v>1709</v>
      </c>
      <c r="O443" s="20" t="s">
        <v>228</v>
      </c>
      <c r="P443" s="32" t="s">
        <v>260</v>
      </c>
      <c r="Q443" s="20" t="str">
        <f t="shared" ref="Q443:Q448" si="179">Q442</f>
        <v>119 - Investiții în capacitatea instituțională și în eficiența administrațiilor și a serviciilor publice la nivel național, regional și local, în perspectiva realizării de reforme, a unei mai bune legiferări și a bunei guvernanțe</v>
      </c>
      <c r="R443" s="33">
        <f t="shared" si="172"/>
        <v>12313247.32</v>
      </c>
      <c r="S443" s="2">
        <v>9929561.1799999997</v>
      </c>
      <c r="T443" s="2">
        <v>2383686.14</v>
      </c>
      <c r="U443" s="33">
        <f t="shared" si="173"/>
        <v>0</v>
      </c>
      <c r="V443" s="2">
        <v>0</v>
      </c>
      <c r="W443" s="2">
        <v>0</v>
      </c>
      <c r="X443" s="33">
        <f t="shared" si="174"/>
        <v>2348196.69</v>
      </c>
      <c r="Y443" s="2">
        <v>1752275.21</v>
      </c>
      <c r="Z443" s="2">
        <v>595921.48</v>
      </c>
      <c r="AA443" s="2">
        <f t="shared" si="175"/>
        <v>0</v>
      </c>
      <c r="AB443" s="2">
        <v>0</v>
      </c>
      <c r="AC443" s="2">
        <v>0</v>
      </c>
      <c r="AD443" s="2">
        <f t="shared" si="176"/>
        <v>14661444.01</v>
      </c>
      <c r="AE443" s="2">
        <v>21875.91</v>
      </c>
      <c r="AF443" s="2">
        <f t="shared" si="177"/>
        <v>14683319.92</v>
      </c>
      <c r="AG443" s="39" t="s">
        <v>69</v>
      </c>
      <c r="AH443" s="34" t="s">
        <v>1710</v>
      </c>
      <c r="AI443" s="35">
        <v>1028311.33</v>
      </c>
      <c r="AJ443" s="36">
        <v>0</v>
      </c>
      <c r="AK443" s="28">
        <f t="shared" si="160"/>
        <v>11284935.99</v>
      </c>
      <c r="AL443" s="28">
        <f t="shared" si="161"/>
        <v>0</v>
      </c>
      <c r="AM443" s="29">
        <f>AI443/R443</f>
        <v>8.3512602587763177E-2</v>
      </c>
    </row>
    <row r="444" spans="1:39" ht="192" customHeight="1" x14ac:dyDescent="0.25">
      <c r="A444" s="154">
        <v>441</v>
      </c>
      <c r="B444" s="37">
        <v>129692</v>
      </c>
      <c r="C444" s="37">
        <v>744</v>
      </c>
      <c r="D444" s="15" t="str">
        <f>D443</f>
        <v xml:space="preserve">AP1/11i /1.1 </v>
      </c>
      <c r="E444" s="14" t="s">
        <v>1619</v>
      </c>
      <c r="F444" s="40" t="s">
        <v>1711</v>
      </c>
      <c r="G444" s="15" t="s">
        <v>1712</v>
      </c>
      <c r="H444" s="20" t="s">
        <v>35</v>
      </c>
      <c r="I444" s="71" t="s">
        <v>1713</v>
      </c>
      <c r="J444" s="30">
        <v>43717</v>
      </c>
      <c r="K444" s="30">
        <v>44813</v>
      </c>
      <c r="L444" s="31">
        <f t="shared" si="167"/>
        <v>83.983863024921732</v>
      </c>
      <c r="M444" s="20">
        <f>M443</f>
        <v>8</v>
      </c>
      <c r="N444" s="20" t="str">
        <f>N443</f>
        <v>Național</v>
      </c>
      <c r="O444" s="20" t="str">
        <f>O443</f>
        <v>București</v>
      </c>
      <c r="P444" s="32" t="str">
        <f>P443</f>
        <v>APC</v>
      </c>
      <c r="Q444" s="20" t="str">
        <f t="shared" si="179"/>
        <v>119 - Investiții în capacitatea instituțională și în eficiența administrațiilor și a serviciilor publice la nivel național, regional și local, în perspectiva realizării de reforme, a unei mai bune legiferări și a bunei guvernanțe</v>
      </c>
      <c r="R444" s="33">
        <f t="shared" si="172"/>
        <v>25123266.259999998</v>
      </c>
      <c r="S444" s="2">
        <v>20259725.34</v>
      </c>
      <c r="T444" s="2">
        <v>4863540.92</v>
      </c>
      <c r="U444" s="33">
        <f t="shared" si="173"/>
        <v>0</v>
      </c>
      <c r="V444" s="2">
        <v>0</v>
      </c>
      <c r="W444" s="2">
        <v>0</v>
      </c>
      <c r="X444" s="33">
        <f t="shared" si="174"/>
        <v>4791130.8099999996</v>
      </c>
      <c r="Y444" s="2">
        <v>3575245.63</v>
      </c>
      <c r="Z444" s="2">
        <v>1215885.18</v>
      </c>
      <c r="AA444" s="2">
        <f t="shared" si="175"/>
        <v>0</v>
      </c>
      <c r="AB444" s="2">
        <v>0</v>
      </c>
      <c r="AC444" s="2">
        <v>0</v>
      </c>
      <c r="AD444" s="2">
        <f t="shared" si="176"/>
        <v>29914397.069999997</v>
      </c>
      <c r="AE444" s="2">
        <v>0</v>
      </c>
      <c r="AF444" s="2">
        <f t="shared" si="177"/>
        <v>29914397.069999997</v>
      </c>
      <c r="AG444" s="39" t="s">
        <v>69</v>
      </c>
      <c r="AH444" s="34" t="s">
        <v>35</v>
      </c>
      <c r="AI444" s="35">
        <v>325855.8</v>
      </c>
      <c r="AJ444" s="36">
        <v>0</v>
      </c>
      <c r="AK444" s="28">
        <f t="shared" si="160"/>
        <v>24797410.459999997</v>
      </c>
      <c r="AL444" s="28">
        <f t="shared" si="161"/>
        <v>0</v>
      </c>
      <c r="AM444" s="29">
        <f t="shared" si="162"/>
        <v>1.2970280083319071E-2</v>
      </c>
    </row>
    <row r="445" spans="1:39" ht="192" customHeight="1" x14ac:dyDescent="0.25">
      <c r="A445" s="154">
        <v>442</v>
      </c>
      <c r="B445" s="20">
        <v>127589</v>
      </c>
      <c r="C445" s="20">
        <v>616</v>
      </c>
      <c r="D445" s="40" t="s">
        <v>1649</v>
      </c>
      <c r="E445" s="14" t="s">
        <v>1583</v>
      </c>
      <c r="F445" s="15" t="s">
        <v>1714</v>
      </c>
      <c r="G445" s="15" t="s">
        <v>952</v>
      </c>
      <c r="H445" s="20" t="s">
        <v>1715</v>
      </c>
      <c r="I445" s="16" t="s">
        <v>1716</v>
      </c>
      <c r="J445" s="30">
        <v>43718</v>
      </c>
      <c r="K445" s="30">
        <v>44814</v>
      </c>
      <c r="L445" s="31">
        <f t="shared" si="167"/>
        <v>83.222463484034193</v>
      </c>
      <c r="M445" s="20" t="s">
        <v>259</v>
      </c>
      <c r="N445" s="20" t="s">
        <v>228</v>
      </c>
      <c r="O445" s="20" t="s">
        <v>228</v>
      </c>
      <c r="P445" s="32" t="s">
        <v>260</v>
      </c>
      <c r="Q445" s="20" t="str">
        <f t="shared" si="179"/>
        <v>119 - Investiții în capacitatea instituțională și în eficiența administrațiilor și a serviciilor publice la nivel național, regional și local, în perspectiva realizării de reforme, a unei mai bune legiferări și a bunei guvernanțe</v>
      </c>
      <c r="R445" s="33">
        <f t="shared" si="172"/>
        <v>23842535.080000002</v>
      </c>
      <c r="S445" s="2">
        <v>19226927.140000001</v>
      </c>
      <c r="T445" s="2">
        <v>4615607.9400000004</v>
      </c>
      <c r="U445" s="33">
        <f t="shared" si="173"/>
        <v>2038367.99</v>
      </c>
      <c r="V445" s="2">
        <v>1521074.32</v>
      </c>
      <c r="W445" s="2">
        <v>517293.67</v>
      </c>
      <c r="X445" s="33">
        <f t="shared" si="174"/>
        <v>2508521</v>
      </c>
      <c r="Y445" s="2">
        <v>1871912.76</v>
      </c>
      <c r="Z445" s="2">
        <v>636608.24</v>
      </c>
      <c r="AA445" s="2">
        <f t="shared" si="175"/>
        <v>259733.96</v>
      </c>
      <c r="AB445" s="2">
        <v>206949</v>
      </c>
      <c r="AC445" s="2">
        <v>52784.959999999999</v>
      </c>
      <c r="AD445" s="2">
        <f t="shared" si="176"/>
        <v>28649158.030000001</v>
      </c>
      <c r="AE445" s="2">
        <v>0</v>
      </c>
      <c r="AF445" s="2">
        <f t="shared" si="177"/>
        <v>28649158.030000001</v>
      </c>
      <c r="AG445" s="39" t="s">
        <v>69</v>
      </c>
      <c r="AH445" s="34" t="s">
        <v>35</v>
      </c>
      <c r="AI445" s="35">
        <v>2022490.9200000002</v>
      </c>
      <c r="AJ445" s="36">
        <f>81842.6</f>
        <v>81842.600000000006</v>
      </c>
      <c r="AK445" s="28">
        <f t="shared" si="160"/>
        <v>21820044.16</v>
      </c>
      <c r="AL445" s="28">
        <f t="shared" si="161"/>
        <v>1956525.39</v>
      </c>
      <c r="AM445" s="29">
        <f t="shared" si="162"/>
        <v>8.4827008252848918E-2</v>
      </c>
    </row>
    <row r="446" spans="1:39" ht="192" customHeight="1" x14ac:dyDescent="0.25">
      <c r="A446" s="154">
        <v>443</v>
      </c>
      <c r="B446" s="37">
        <v>127012</v>
      </c>
      <c r="C446" s="37">
        <v>578</v>
      </c>
      <c r="D446" s="40" t="s">
        <v>1649</v>
      </c>
      <c r="E446" s="14" t="s">
        <v>1583</v>
      </c>
      <c r="F446" s="40" t="s">
        <v>1717</v>
      </c>
      <c r="G446" s="15" t="s">
        <v>1718</v>
      </c>
      <c r="H446" s="20" t="s">
        <v>35</v>
      </c>
      <c r="I446" s="16" t="s">
        <v>1719</v>
      </c>
      <c r="J446" s="30">
        <v>43721</v>
      </c>
      <c r="K446" s="30">
        <v>44694</v>
      </c>
      <c r="L446" s="31">
        <f t="shared" si="167"/>
        <v>83.983862900157973</v>
      </c>
      <c r="M446" s="20" t="s">
        <v>259</v>
      </c>
      <c r="N446" s="20" t="s">
        <v>228</v>
      </c>
      <c r="O446" s="20" t="s">
        <v>228</v>
      </c>
      <c r="P446" s="32" t="s">
        <v>260</v>
      </c>
      <c r="Q446" s="20" t="str">
        <f t="shared" si="179"/>
        <v>119 - Investiții în capacitatea instituțională și în eficiența administrațiilor și a serviciilor publice la nivel național, regional și local, în perspectiva realizării de reforme, a unei mai bune legiferări și a bunei guvernanțe</v>
      </c>
      <c r="R446" s="33">
        <f t="shared" si="172"/>
        <v>20491271.68</v>
      </c>
      <c r="S446" s="2">
        <v>16524425.310000001</v>
      </c>
      <c r="T446" s="2">
        <v>3966846.37</v>
      </c>
      <c r="U446" s="33">
        <f t="shared" si="173"/>
        <v>0</v>
      </c>
      <c r="V446" s="2">
        <v>0</v>
      </c>
      <c r="W446" s="2">
        <v>0</v>
      </c>
      <c r="X446" s="33">
        <f t="shared" si="174"/>
        <v>3907786.63</v>
      </c>
      <c r="Y446" s="2">
        <v>2916075.03</v>
      </c>
      <c r="Z446" s="2">
        <v>991711.6</v>
      </c>
      <c r="AA446" s="2">
        <f t="shared" si="175"/>
        <v>0</v>
      </c>
      <c r="AB446" s="2">
        <v>0</v>
      </c>
      <c r="AC446" s="2">
        <v>0</v>
      </c>
      <c r="AD446" s="2">
        <f t="shared" si="176"/>
        <v>24399058.309999999</v>
      </c>
      <c r="AE446" s="2">
        <v>0</v>
      </c>
      <c r="AF446" s="2">
        <f t="shared" si="177"/>
        <v>24399058.309999999</v>
      </c>
      <c r="AG446" s="39" t="s">
        <v>69</v>
      </c>
      <c r="AH446" s="34"/>
      <c r="AI446" s="35">
        <v>0</v>
      </c>
      <c r="AJ446" s="36">
        <v>0</v>
      </c>
      <c r="AK446" s="28">
        <f t="shared" si="160"/>
        <v>20491271.68</v>
      </c>
      <c r="AL446" s="28">
        <f t="shared" si="161"/>
        <v>0</v>
      </c>
      <c r="AM446" s="29">
        <f t="shared" si="162"/>
        <v>0</v>
      </c>
    </row>
    <row r="447" spans="1:39" ht="192" customHeight="1" x14ac:dyDescent="0.25">
      <c r="A447" s="154">
        <v>444</v>
      </c>
      <c r="B447" s="37">
        <v>126983</v>
      </c>
      <c r="C447" s="37">
        <v>589</v>
      </c>
      <c r="D447" s="40" t="s">
        <v>1649</v>
      </c>
      <c r="E447" s="14" t="s">
        <v>1583</v>
      </c>
      <c r="F447" s="40" t="s">
        <v>1720</v>
      </c>
      <c r="G447" s="15" t="s">
        <v>1718</v>
      </c>
      <c r="H447" s="20" t="s">
        <v>35</v>
      </c>
      <c r="I447" s="16" t="s">
        <v>1721</v>
      </c>
      <c r="J447" s="30">
        <v>43721</v>
      </c>
      <c r="K447" s="30">
        <v>44694</v>
      </c>
      <c r="L447" s="31">
        <f t="shared" si="167"/>
        <v>83.983862838975881</v>
      </c>
      <c r="M447" s="20" t="s">
        <v>259</v>
      </c>
      <c r="N447" s="20" t="s">
        <v>228</v>
      </c>
      <c r="O447" s="20" t="s">
        <v>228</v>
      </c>
      <c r="P447" s="32" t="s">
        <v>260</v>
      </c>
      <c r="Q447" s="20" t="str">
        <f t="shared" si="179"/>
        <v>119 - Investiții în capacitatea instituțională și în eficiența administrațiilor și a serviciilor publice la nivel național, regional și local, în perspectiva realizării de reforme, a unei mai bune legiferări și a bunei guvernanțe</v>
      </c>
      <c r="R447" s="33">
        <f t="shared" si="172"/>
        <v>23507069.830000002</v>
      </c>
      <c r="S447" s="2">
        <v>18956403.760000002</v>
      </c>
      <c r="T447" s="2">
        <v>4550666.07</v>
      </c>
      <c r="U447" s="33">
        <f t="shared" si="173"/>
        <v>0</v>
      </c>
      <c r="V447" s="2">
        <v>0</v>
      </c>
      <c r="W447" s="2">
        <v>0</v>
      </c>
      <c r="X447" s="33">
        <f t="shared" si="174"/>
        <v>4482914.24</v>
      </c>
      <c r="Y447" s="2">
        <v>3345247.72</v>
      </c>
      <c r="Z447" s="2">
        <v>1137666.52</v>
      </c>
      <c r="AA447" s="2">
        <f t="shared" si="175"/>
        <v>0</v>
      </c>
      <c r="AB447" s="2">
        <v>0</v>
      </c>
      <c r="AC447" s="2">
        <v>0</v>
      </c>
      <c r="AD447" s="2">
        <f t="shared" si="176"/>
        <v>27989984.07</v>
      </c>
      <c r="AE447" s="2">
        <v>0</v>
      </c>
      <c r="AF447" s="2">
        <f t="shared" si="177"/>
        <v>27989984.07</v>
      </c>
      <c r="AG447" s="39" t="s">
        <v>69</v>
      </c>
      <c r="AH447" s="34"/>
      <c r="AI447" s="35">
        <v>0</v>
      </c>
      <c r="AJ447" s="36">
        <v>0</v>
      </c>
      <c r="AK447" s="28">
        <f t="shared" si="160"/>
        <v>23507069.830000002</v>
      </c>
      <c r="AL447" s="28">
        <f t="shared" si="161"/>
        <v>0</v>
      </c>
      <c r="AM447" s="29">
        <f t="shared" si="162"/>
        <v>0</v>
      </c>
    </row>
    <row r="448" spans="1:39" ht="192" customHeight="1" x14ac:dyDescent="0.25">
      <c r="A448" s="154">
        <v>445</v>
      </c>
      <c r="B448" s="37">
        <v>127577</v>
      </c>
      <c r="C448" s="37">
        <v>598</v>
      </c>
      <c r="D448" s="40" t="s">
        <v>1649</v>
      </c>
      <c r="E448" s="14" t="s">
        <v>1583</v>
      </c>
      <c r="F448" s="40" t="s">
        <v>1722</v>
      </c>
      <c r="G448" s="15" t="s">
        <v>1723</v>
      </c>
      <c r="H448" s="20" t="s">
        <v>1724</v>
      </c>
      <c r="I448" s="16" t="s">
        <v>1725</v>
      </c>
      <c r="J448" s="30">
        <v>43725</v>
      </c>
      <c r="K448" s="30">
        <v>44821</v>
      </c>
      <c r="L448" s="31">
        <f t="shared" si="167"/>
        <v>83.983862948048795</v>
      </c>
      <c r="M448" s="20" t="s">
        <v>259</v>
      </c>
      <c r="N448" s="20" t="s">
        <v>228</v>
      </c>
      <c r="O448" s="20" t="s">
        <v>228</v>
      </c>
      <c r="P448" s="32" t="s">
        <v>260</v>
      </c>
      <c r="Q448" s="20" t="str">
        <f t="shared" si="179"/>
        <v>119 - Investiții în capacitatea instituțională și în eficiența administrațiilor și a serviciilor publice la nivel național, regional și local, în perspectiva realizării de reforme, a unei mai bune legiferări și a bunei guvernanțe</v>
      </c>
      <c r="R448" s="33">
        <f t="shared" si="172"/>
        <v>23213481.339999996</v>
      </c>
      <c r="S448" s="2">
        <v>18719650.239999998</v>
      </c>
      <c r="T448" s="2">
        <v>4493831.0999999996</v>
      </c>
      <c r="U448" s="33">
        <f t="shared" si="173"/>
        <v>50732.75</v>
      </c>
      <c r="V448" s="2">
        <v>37491.93</v>
      </c>
      <c r="W448" s="2">
        <v>13240.82</v>
      </c>
      <c r="X448" s="33">
        <f t="shared" si="174"/>
        <v>4376192.68</v>
      </c>
      <c r="Y448" s="2">
        <v>3265975.71</v>
      </c>
      <c r="Z448" s="2">
        <v>1110216.97</v>
      </c>
      <c r="AA448" s="2">
        <f t="shared" si="175"/>
        <v>0</v>
      </c>
      <c r="AB448" s="2">
        <v>0</v>
      </c>
      <c r="AC448" s="2">
        <v>0</v>
      </c>
      <c r="AD448" s="2">
        <f t="shared" si="176"/>
        <v>27640406.769999996</v>
      </c>
      <c r="AE448" s="2">
        <v>0</v>
      </c>
      <c r="AF448" s="2">
        <f t="shared" si="177"/>
        <v>27640406.769999996</v>
      </c>
      <c r="AG448" s="39" t="s">
        <v>69</v>
      </c>
      <c r="AH448" s="34"/>
      <c r="AI448" s="35">
        <f>1727422.58+344989.77</f>
        <v>2072412.35</v>
      </c>
      <c r="AJ448" s="36">
        <f>203.79+970.06</f>
        <v>1173.8499999999999</v>
      </c>
      <c r="AK448" s="28">
        <f t="shared" si="160"/>
        <v>21141068.989999995</v>
      </c>
      <c r="AL448" s="28">
        <f t="shared" si="161"/>
        <v>49558.9</v>
      </c>
      <c r="AM448" s="29">
        <f t="shared" si="162"/>
        <v>8.9276240803612281E-2</v>
      </c>
    </row>
    <row r="449" spans="1:39" ht="192" customHeight="1" x14ac:dyDescent="0.25">
      <c r="A449" s="154">
        <v>446</v>
      </c>
      <c r="B449" s="37">
        <v>130074</v>
      </c>
      <c r="C449" s="37">
        <v>714</v>
      </c>
      <c r="D449" s="40" t="s">
        <v>254</v>
      </c>
      <c r="E449" s="14" t="s">
        <v>1619</v>
      </c>
      <c r="F449" s="40" t="s">
        <v>1726</v>
      </c>
      <c r="G449" s="15" t="s">
        <v>1727</v>
      </c>
      <c r="H449" s="20" t="s">
        <v>35</v>
      </c>
      <c r="I449" s="16" t="s">
        <v>1728</v>
      </c>
      <c r="J449" s="30">
        <v>43734</v>
      </c>
      <c r="K449" s="30">
        <v>44465</v>
      </c>
      <c r="L449" s="31">
        <f t="shared" si="167"/>
        <v>83.983862788054537</v>
      </c>
      <c r="M449" s="20" t="s">
        <v>259</v>
      </c>
      <c r="N449" s="20" t="s">
        <v>228</v>
      </c>
      <c r="O449" s="20" t="s">
        <v>228</v>
      </c>
      <c r="P449" s="32" t="s">
        <v>260</v>
      </c>
      <c r="Q449" s="20" t="s">
        <v>40</v>
      </c>
      <c r="R449" s="33">
        <f t="shared" si="172"/>
        <v>12261622.399999999</v>
      </c>
      <c r="S449" s="2">
        <v>9887930.1899999995</v>
      </c>
      <c r="T449" s="2">
        <v>2373692.21</v>
      </c>
      <c r="U449" s="33">
        <f t="shared" si="173"/>
        <v>0</v>
      </c>
      <c r="V449" s="2">
        <v>0</v>
      </c>
      <c r="W449" s="2">
        <v>0</v>
      </c>
      <c r="X449" s="33">
        <f t="shared" si="174"/>
        <v>2338351.92</v>
      </c>
      <c r="Y449" s="2">
        <v>1744928.84</v>
      </c>
      <c r="Z449" s="2">
        <v>593423.07999999996</v>
      </c>
      <c r="AA449" s="2">
        <f t="shared" si="175"/>
        <v>0</v>
      </c>
      <c r="AB449" s="2">
        <v>0</v>
      </c>
      <c r="AC449" s="2">
        <v>0</v>
      </c>
      <c r="AD449" s="2">
        <f t="shared" si="176"/>
        <v>14599974.319999998</v>
      </c>
      <c r="AE449" s="2">
        <v>0</v>
      </c>
      <c r="AF449" s="2">
        <f t="shared" si="177"/>
        <v>14599974.319999998</v>
      </c>
      <c r="AG449" s="39" t="s">
        <v>69</v>
      </c>
      <c r="AH449" s="34"/>
      <c r="AI449" s="35">
        <v>129003.07</v>
      </c>
      <c r="AJ449" s="36">
        <v>0</v>
      </c>
      <c r="AK449" s="28">
        <f t="shared" si="160"/>
        <v>12132619.329999998</v>
      </c>
      <c r="AL449" s="28">
        <f t="shared" si="161"/>
        <v>0</v>
      </c>
      <c r="AM449" s="29">
        <f t="shared" si="162"/>
        <v>1.0520880988799657E-2</v>
      </c>
    </row>
    <row r="450" spans="1:39" ht="192" customHeight="1" x14ac:dyDescent="0.25">
      <c r="A450" s="154">
        <v>447</v>
      </c>
      <c r="B450" s="37">
        <v>129720</v>
      </c>
      <c r="C450" s="37">
        <v>711</v>
      </c>
      <c r="D450" s="40" t="s">
        <v>254</v>
      </c>
      <c r="E450" s="14" t="s">
        <v>1619</v>
      </c>
      <c r="F450" s="40" t="s">
        <v>1729</v>
      </c>
      <c r="G450" s="32" t="s">
        <v>853</v>
      </c>
      <c r="H450" s="20" t="s">
        <v>1730</v>
      </c>
      <c r="I450" s="71" t="s">
        <v>1731</v>
      </c>
      <c r="J450" s="30">
        <v>43735</v>
      </c>
      <c r="K450" s="30">
        <v>44466</v>
      </c>
      <c r="L450" s="31">
        <f t="shared" si="167"/>
        <v>83.983862799999997</v>
      </c>
      <c r="M450" s="20" t="s">
        <v>259</v>
      </c>
      <c r="N450" s="20" t="s">
        <v>228</v>
      </c>
      <c r="O450" s="20" t="s">
        <v>228</v>
      </c>
      <c r="P450" s="32" t="s">
        <v>260</v>
      </c>
      <c r="Q450" s="20" t="s">
        <v>40</v>
      </c>
      <c r="R450" s="33">
        <f t="shared" si="172"/>
        <v>16796772.560000002</v>
      </c>
      <c r="S450" s="2">
        <v>13545133.640000001</v>
      </c>
      <c r="T450" s="2">
        <v>3251638.92</v>
      </c>
      <c r="U450" s="33">
        <f t="shared" si="173"/>
        <v>0</v>
      </c>
      <c r="V450" s="2">
        <v>0</v>
      </c>
      <c r="W450" s="2">
        <v>0</v>
      </c>
      <c r="X450" s="33">
        <f t="shared" si="174"/>
        <v>3203227.4400000004</v>
      </c>
      <c r="Y450" s="2">
        <v>2390317.7200000002</v>
      </c>
      <c r="Z450" s="2">
        <v>812909.72</v>
      </c>
      <c r="AA450" s="2">
        <f t="shared" si="175"/>
        <v>0</v>
      </c>
      <c r="AB450" s="2">
        <v>0</v>
      </c>
      <c r="AC450" s="2">
        <v>0</v>
      </c>
      <c r="AD450" s="2">
        <f t="shared" si="176"/>
        <v>20000000.000000004</v>
      </c>
      <c r="AE450" s="2">
        <v>3531910</v>
      </c>
      <c r="AF450" s="2">
        <f t="shared" si="177"/>
        <v>23531910.000000004</v>
      </c>
      <c r="AG450" s="39" t="s">
        <v>69</v>
      </c>
      <c r="AH450" s="34">
        <v>43818</v>
      </c>
      <c r="AI450" s="35">
        <v>1613109.94</v>
      </c>
      <c r="AJ450" s="36">
        <v>0</v>
      </c>
      <c r="AK450" s="28">
        <f t="shared" si="160"/>
        <v>15183662.620000003</v>
      </c>
      <c r="AL450" s="28">
        <f t="shared" si="161"/>
        <v>0</v>
      </c>
      <c r="AM450" s="29">
        <f t="shared" si="162"/>
        <v>9.6036898412345931E-2</v>
      </c>
    </row>
    <row r="451" spans="1:39" ht="192" customHeight="1" x14ac:dyDescent="0.25">
      <c r="A451" s="154">
        <v>448</v>
      </c>
      <c r="B451" s="37">
        <v>129934</v>
      </c>
      <c r="C451" s="37">
        <v>717</v>
      </c>
      <c r="D451" s="40" t="s">
        <v>254</v>
      </c>
      <c r="E451" s="14" t="s">
        <v>1619</v>
      </c>
      <c r="F451" s="40" t="s">
        <v>1732</v>
      </c>
      <c r="G451" s="15" t="s">
        <v>1733</v>
      </c>
      <c r="H451" s="20" t="s">
        <v>1730</v>
      </c>
      <c r="I451" s="71" t="s">
        <v>1734</v>
      </c>
      <c r="J451" s="30">
        <v>43735</v>
      </c>
      <c r="K451" s="30">
        <v>44466</v>
      </c>
      <c r="L451" s="31">
        <f t="shared" si="167"/>
        <v>83.983863006039599</v>
      </c>
      <c r="M451" s="20" t="s">
        <v>259</v>
      </c>
      <c r="N451" s="20" t="s">
        <v>228</v>
      </c>
      <c r="O451" s="20" t="s">
        <v>228</v>
      </c>
      <c r="P451" s="32" t="s">
        <v>260</v>
      </c>
      <c r="Q451" s="20" t="s">
        <v>40</v>
      </c>
      <c r="R451" s="33">
        <f t="shared" si="172"/>
        <v>16734381.93</v>
      </c>
      <c r="S451" s="2">
        <v>13494821.039999999</v>
      </c>
      <c r="T451" s="2">
        <v>3239560.89</v>
      </c>
      <c r="U451" s="33">
        <f t="shared" si="173"/>
        <v>0</v>
      </c>
      <c r="V451" s="2">
        <v>0</v>
      </c>
      <c r="W451" s="2">
        <v>0</v>
      </c>
      <c r="X451" s="33">
        <f t="shared" si="174"/>
        <v>3191329.19</v>
      </c>
      <c r="Y451" s="2">
        <v>2381438.98</v>
      </c>
      <c r="Z451" s="2">
        <v>809890.21</v>
      </c>
      <c r="AA451" s="2">
        <f t="shared" si="175"/>
        <v>0</v>
      </c>
      <c r="AB451" s="2">
        <v>0</v>
      </c>
      <c r="AC451" s="2">
        <v>0</v>
      </c>
      <c r="AD451" s="2">
        <f t="shared" si="176"/>
        <v>19925711.120000001</v>
      </c>
      <c r="AE451" s="2">
        <v>0</v>
      </c>
      <c r="AF451" s="2">
        <f t="shared" si="177"/>
        <v>19925711.120000001</v>
      </c>
      <c r="AG451" s="39" t="s">
        <v>69</v>
      </c>
      <c r="AH451" s="34"/>
      <c r="AI451" s="35">
        <v>0</v>
      </c>
      <c r="AJ451" s="36">
        <v>0</v>
      </c>
      <c r="AK451" s="28">
        <f t="shared" si="160"/>
        <v>16734381.93</v>
      </c>
      <c r="AL451" s="28">
        <f t="shared" si="161"/>
        <v>0</v>
      </c>
      <c r="AM451" s="29">
        <f t="shared" si="162"/>
        <v>0</v>
      </c>
    </row>
    <row r="452" spans="1:39" ht="192" customHeight="1" x14ac:dyDescent="0.25">
      <c r="A452" s="154">
        <v>449</v>
      </c>
      <c r="B452" s="37">
        <v>129864</v>
      </c>
      <c r="C452" s="37">
        <v>712</v>
      </c>
      <c r="D452" s="40" t="s">
        <v>254</v>
      </c>
      <c r="E452" s="14" t="s">
        <v>1619</v>
      </c>
      <c r="F452" s="40" t="s">
        <v>1735</v>
      </c>
      <c r="G452" s="15" t="s">
        <v>1736</v>
      </c>
      <c r="H452" s="20" t="s">
        <v>1730</v>
      </c>
      <c r="I452" s="71" t="s">
        <v>1737</v>
      </c>
      <c r="J452" s="30">
        <v>43739</v>
      </c>
      <c r="K452" s="30">
        <v>44470</v>
      </c>
      <c r="L452" s="31">
        <f t="shared" si="167"/>
        <v>83.983862870547185</v>
      </c>
      <c r="M452" s="20" t="s">
        <v>259</v>
      </c>
      <c r="N452" s="20" t="s">
        <v>228</v>
      </c>
      <c r="O452" s="20" t="s">
        <v>228</v>
      </c>
      <c r="P452" s="32" t="s">
        <v>260</v>
      </c>
      <c r="Q452" s="20" t="s">
        <v>40</v>
      </c>
      <c r="R452" s="33">
        <f t="shared" si="172"/>
        <v>12555453.99</v>
      </c>
      <c r="S452" s="2">
        <v>10124879.76</v>
      </c>
      <c r="T452" s="2">
        <v>2430574.23</v>
      </c>
      <c r="U452" s="33">
        <f t="shared" si="173"/>
        <v>0</v>
      </c>
      <c r="V452" s="2">
        <v>0</v>
      </c>
      <c r="W452" s="2">
        <v>0</v>
      </c>
      <c r="X452" s="33">
        <f t="shared" si="174"/>
        <v>2394387.04</v>
      </c>
      <c r="Y452" s="2">
        <v>1786743.47</v>
      </c>
      <c r="Z452" s="2">
        <v>607643.56999999995</v>
      </c>
      <c r="AA452" s="2">
        <f t="shared" si="175"/>
        <v>0</v>
      </c>
      <c r="AB452" s="2">
        <v>0</v>
      </c>
      <c r="AC452" s="2">
        <v>0</v>
      </c>
      <c r="AD452" s="2">
        <f t="shared" si="176"/>
        <v>14949841.030000001</v>
      </c>
      <c r="AE452" s="2">
        <v>0</v>
      </c>
      <c r="AF452" s="2">
        <f t="shared" si="177"/>
        <v>14949841.030000001</v>
      </c>
      <c r="AG452" s="39" t="s">
        <v>69</v>
      </c>
      <c r="AH452" s="34"/>
      <c r="AI452" s="35">
        <f>64994.98</f>
        <v>64994.98</v>
      </c>
      <c r="AJ452" s="36">
        <v>0</v>
      </c>
      <c r="AK452" s="28">
        <f t="shared" si="160"/>
        <v>12490459.01</v>
      </c>
      <c r="AL452" s="28">
        <f t="shared" si="161"/>
        <v>0</v>
      </c>
      <c r="AM452" s="29">
        <f t="shared" si="162"/>
        <v>5.1766332027313655E-3</v>
      </c>
    </row>
    <row r="453" spans="1:39" ht="192" customHeight="1" x14ac:dyDescent="0.25">
      <c r="A453" s="154">
        <v>450</v>
      </c>
      <c r="B453" s="37">
        <v>129721</v>
      </c>
      <c r="C453" s="37">
        <v>708</v>
      </c>
      <c r="D453" s="40" t="s">
        <v>254</v>
      </c>
      <c r="E453" s="14" t="s">
        <v>1619</v>
      </c>
      <c r="F453" s="40" t="s">
        <v>1738</v>
      </c>
      <c r="G453" s="15" t="s">
        <v>1632</v>
      </c>
      <c r="H453" s="20" t="s">
        <v>1730</v>
      </c>
      <c r="I453" s="71" t="s">
        <v>1739</v>
      </c>
      <c r="J453" s="30">
        <v>43739</v>
      </c>
      <c r="K453" s="30">
        <v>44835</v>
      </c>
      <c r="L453" s="31">
        <f t="shared" si="167"/>
        <v>83.983863005238476</v>
      </c>
      <c r="M453" s="20" t="s">
        <v>259</v>
      </c>
      <c r="N453" s="20" t="s">
        <v>228</v>
      </c>
      <c r="O453" s="20" t="s">
        <v>228</v>
      </c>
      <c r="P453" s="32" t="s">
        <v>260</v>
      </c>
      <c r="Q453" s="20" t="s">
        <v>40</v>
      </c>
      <c r="R453" s="33">
        <f t="shared" si="172"/>
        <v>18405842.150000002</v>
      </c>
      <c r="S453" s="2">
        <v>14842708.050000001</v>
      </c>
      <c r="T453" s="2">
        <v>3563134.1</v>
      </c>
      <c r="U453" s="33">
        <f t="shared" si="173"/>
        <v>0</v>
      </c>
      <c r="V453" s="2">
        <v>0</v>
      </c>
      <c r="W453" s="2">
        <v>0</v>
      </c>
      <c r="X453" s="33">
        <f t="shared" si="174"/>
        <v>3510084.9</v>
      </c>
      <c r="Y453" s="2">
        <v>2619301.42</v>
      </c>
      <c r="Z453" s="2">
        <v>890783.48</v>
      </c>
      <c r="AA453" s="2">
        <f t="shared" si="175"/>
        <v>0</v>
      </c>
      <c r="AB453" s="2">
        <v>0</v>
      </c>
      <c r="AC453" s="2">
        <v>0</v>
      </c>
      <c r="AD453" s="2">
        <f t="shared" si="176"/>
        <v>21915927.050000001</v>
      </c>
      <c r="AE453" s="2">
        <v>0</v>
      </c>
      <c r="AF453" s="2">
        <f t="shared" si="177"/>
        <v>21915927.050000001</v>
      </c>
      <c r="AG453" s="39" t="s">
        <v>69</v>
      </c>
      <c r="AH453" s="34"/>
      <c r="AI453" s="35">
        <v>0</v>
      </c>
      <c r="AJ453" s="36">
        <v>0</v>
      </c>
      <c r="AK453" s="28">
        <f t="shared" ref="AK453:AK480" si="180">R453-AI453</f>
        <v>18405842.150000002</v>
      </c>
      <c r="AL453" s="28">
        <f t="shared" ref="AL453:AL480" si="181">U453-AJ453</f>
        <v>0</v>
      </c>
      <c r="AM453" s="29">
        <f t="shared" ref="AM453:AM481" si="182">AI453/R453</f>
        <v>0</v>
      </c>
    </row>
    <row r="454" spans="1:39" ht="192" customHeight="1" x14ac:dyDescent="0.25">
      <c r="A454" s="154">
        <v>451</v>
      </c>
      <c r="B454" s="37">
        <v>129513</v>
      </c>
      <c r="C454" s="37">
        <v>751</v>
      </c>
      <c r="D454" s="40" t="s">
        <v>861</v>
      </c>
      <c r="E454" s="14" t="s">
        <v>1657</v>
      </c>
      <c r="F454" s="40" t="s">
        <v>1740</v>
      </c>
      <c r="G454" s="15" t="s">
        <v>1604</v>
      </c>
      <c r="H454" s="20" t="s">
        <v>1730</v>
      </c>
      <c r="I454" s="71" t="s">
        <v>1741</v>
      </c>
      <c r="J454" s="30">
        <v>43740</v>
      </c>
      <c r="K454" s="30">
        <v>44836</v>
      </c>
      <c r="L454" s="31">
        <f t="shared" si="167"/>
        <v>83.983862858239434</v>
      </c>
      <c r="M454" s="20" t="s">
        <v>259</v>
      </c>
      <c r="N454" s="20" t="s">
        <v>228</v>
      </c>
      <c r="O454" s="20" t="s">
        <v>228</v>
      </c>
      <c r="P454" s="32" t="s">
        <v>260</v>
      </c>
      <c r="Q454" s="20" t="s">
        <v>40</v>
      </c>
      <c r="R454" s="33">
        <f t="shared" si="172"/>
        <v>60843812.590000004</v>
      </c>
      <c r="S454" s="2">
        <v>49065233.810000002</v>
      </c>
      <c r="T454" s="2">
        <v>11778578.779999999</v>
      </c>
      <c r="U454" s="33">
        <f t="shared" si="173"/>
        <v>0</v>
      </c>
      <c r="V454" s="2">
        <v>0</v>
      </c>
      <c r="W454" s="2">
        <v>0</v>
      </c>
      <c r="X454" s="33">
        <f t="shared" si="174"/>
        <v>11603215.35</v>
      </c>
      <c r="Y454" s="2">
        <v>8658570.6799999997</v>
      </c>
      <c r="Z454" s="2">
        <v>2944644.67</v>
      </c>
      <c r="AA454" s="2">
        <f t="shared" si="175"/>
        <v>0</v>
      </c>
      <c r="AB454" s="2">
        <v>0</v>
      </c>
      <c r="AC454" s="2">
        <v>0</v>
      </c>
      <c r="AD454" s="2">
        <f t="shared" si="176"/>
        <v>72447027.939999998</v>
      </c>
      <c r="AE454" s="2">
        <v>0</v>
      </c>
      <c r="AF454" s="2">
        <f t="shared" si="177"/>
        <v>72447027.939999998</v>
      </c>
      <c r="AG454" s="39" t="s">
        <v>69</v>
      </c>
      <c r="AH454" s="34"/>
      <c r="AI454" s="35">
        <f>130652.02</f>
        <v>130652.02</v>
      </c>
      <c r="AJ454" s="36">
        <v>0</v>
      </c>
      <c r="AK454" s="28">
        <f t="shared" si="180"/>
        <v>60713160.57</v>
      </c>
      <c r="AL454" s="28">
        <f t="shared" si="181"/>
        <v>0</v>
      </c>
      <c r="AM454" s="29">
        <f t="shared" si="182"/>
        <v>2.1473345347440202E-3</v>
      </c>
    </row>
    <row r="455" spans="1:39" ht="192" customHeight="1" x14ac:dyDescent="0.25">
      <c r="A455" s="154">
        <v>452</v>
      </c>
      <c r="B455" s="37">
        <v>127623</v>
      </c>
      <c r="C455" s="37">
        <v>595</v>
      </c>
      <c r="D455" s="20" t="s">
        <v>254</v>
      </c>
      <c r="E455" s="14" t="s">
        <v>1583</v>
      </c>
      <c r="F455" s="40" t="s">
        <v>1742</v>
      </c>
      <c r="G455" s="32" t="s">
        <v>257</v>
      </c>
      <c r="H455" s="20" t="s">
        <v>1730</v>
      </c>
      <c r="I455" s="71" t="s">
        <v>1743</v>
      </c>
      <c r="J455" s="30">
        <v>43747</v>
      </c>
      <c r="K455" s="30">
        <v>44660</v>
      </c>
      <c r="L455" s="31">
        <f t="shared" si="167"/>
        <v>83.983863127601538</v>
      </c>
      <c r="M455" s="20" t="s">
        <v>259</v>
      </c>
      <c r="N455" s="20" t="s">
        <v>228</v>
      </c>
      <c r="O455" s="20" t="s">
        <v>228</v>
      </c>
      <c r="P455" s="32" t="s">
        <v>260</v>
      </c>
      <c r="Q455" s="20" t="s">
        <v>40</v>
      </c>
      <c r="R455" s="33">
        <f t="shared" si="172"/>
        <v>9906922.4600000009</v>
      </c>
      <c r="S455" s="2">
        <v>7989069.8300000001</v>
      </c>
      <c r="T455" s="2">
        <v>1917852.63</v>
      </c>
      <c r="U455" s="33">
        <f t="shared" si="173"/>
        <v>0</v>
      </c>
      <c r="V455" s="2">
        <v>0</v>
      </c>
      <c r="W455" s="2">
        <v>0</v>
      </c>
      <c r="X455" s="33">
        <f t="shared" si="174"/>
        <v>1889298.97</v>
      </c>
      <c r="Y455" s="2">
        <v>1409835.81</v>
      </c>
      <c r="Z455" s="2">
        <v>479463.16</v>
      </c>
      <c r="AA455" s="2">
        <f t="shared" si="175"/>
        <v>0</v>
      </c>
      <c r="AB455" s="2">
        <v>0</v>
      </c>
      <c r="AC455" s="2">
        <v>0</v>
      </c>
      <c r="AD455" s="2">
        <f t="shared" si="176"/>
        <v>11796221.430000002</v>
      </c>
      <c r="AE455" s="2">
        <v>0</v>
      </c>
      <c r="AF455" s="2">
        <f t="shared" si="177"/>
        <v>11796221.430000002</v>
      </c>
      <c r="AG455" s="39" t="s">
        <v>69</v>
      </c>
      <c r="AH455" s="34"/>
      <c r="AI455" s="35">
        <v>132598.51999999999</v>
      </c>
      <c r="AJ455" s="36">
        <v>0</v>
      </c>
      <c r="AK455" s="28">
        <f t="shared" si="180"/>
        <v>9774323.9400000013</v>
      </c>
      <c r="AL455" s="28">
        <f t="shared" si="181"/>
        <v>0</v>
      </c>
      <c r="AM455" s="29">
        <f t="shared" si="182"/>
        <v>1.3384430991095087E-2</v>
      </c>
    </row>
    <row r="456" spans="1:39" ht="192" customHeight="1" x14ac:dyDescent="0.25">
      <c r="A456" s="154">
        <v>453</v>
      </c>
      <c r="B456" s="37">
        <v>127598</v>
      </c>
      <c r="C456" s="37">
        <v>608</v>
      </c>
      <c r="D456" s="20" t="s">
        <v>254</v>
      </c>
      <c r="E456" s="14" t="s">
        <v>1583</v>
      </c>
      <c r="F456" s="40" t="s">
        <v>1744</v>
      </c>
      <c r="G456" s="32" t="s">
        <v>930</v>
      </c>
      <c r="H456" s="20" t="s">
        <v>1745</v>
      </c>
      <c r="I456" s="71" t="s">
        <v>1746</v>
      </c>
      <c r="J456" s="30">
        <v>43749</v>
      </c>
      <c r="K456" s="30">
        <v>44845</v>
      </c>
      <c r="L456" s="31">
        <f t="shared" si="167"/>
        <v>83.983863222222226</v>
      </c>
      <c r="M456" s="20" t="s">
        <v>259</v>
      </c>
      <c r="N456" s="20" t="s">
        <v>228</v>
      </c>
      <c r="O456" s="20" t="s">
        <v>228</v>
      </c>
      <c r="P456" s="32" t="s">
        <v>260</v>
      </c>
      <c r="Q456" s="20" t="s">
        <v>40</v>
      </c>
      <c r="R456" s="33">
        <f t="shared" si="172"/>
        <v>15117095.379999999</v>
      </c>
      <c r="S456" s="2">
        <v>12190620.34</v>
      </c>
      <c r="T456" s="2">
        <v>2926475.04</v>
      </c>
      <c r="U456" s="33">
        <f t="shared" si="173"/>
        <v>1618328.4200000002</v>
      </c>
      <c r="V456" s="2">
        <v>1195958.3700000001</v>
      </c>
      <c r="W456" s="2">
        <v>422370.05</v>
      </c>
      <c r="X456" s="33">
        <f t="shared" si="174"/>
        <v>1264576.2</v>
      </c>
      <c r="Y456" s="2">
        <v>955327.51</v>
      </c>
      <c r="Z456" s="2">
        <v>309248.69</v>
      </c>
      <c r="AA456" s="2">
        <f t="shared" si="175"/>
        <v>0</v>
      </c>
      <c r="AB456" s="2">
        <v>0</v>
      </c>
      <c r="AC456" s="2">
        <v>0</v>
      </c>
      <c r="AD456" s="2">
        <f t="shared" si="176"/>
        <v>18000000</v>
      </c>
      <c r="AE456" s="2">
        <v>0</v>
      </c>
      <c r="AF456" s="2">
        <f t="shared" si="177"/>
        <v>18000000</v>
      </c>
      <c r="AG456" s="39" t="s">
        <v>69</v>
      </c>
      <c r="AH456" s="34"/>
      <c r="AI456" s="35">
        <v>1293948.0499999996</v>
      </c>
      <c r="AJ456" s="36">
        <v>14801.23</v>
      </c>
      <c r="AK456" s="28">
        <f t="shared" si="180"/>
        <v>13823147.33</v>
      </c>
      <c r="AL456" s="28">
        <f t="shared" si="181"/>
        <v>1603527.1900000002</v>
      </c>
      <c r="AM456" s="29">
        <f t="shared" si="182"/>
        <v>8.5595017923343925E-2</v>
      </c>
    </row>
    <row r="457" spans="1:39" ht="192" customHeight="1" x14ac:dyDescent="0.25">
      <c r="A457" s="154">
        <v>454</v>
      </c>
      <c r="B457" s="37">
        <v>129427</v>
      </c>
      <c r="C457" s="37">
        <v>702</v>
      </c>
      <c r="D457" s="40" t="s">
        <v>254</v>
      </c>
      <c r="E457" s="14" t="s">
        <v>1619</v>
      </c>
      <c r="F457" s="15" t="s">
        <v>1747</v>
      </c>
      <c r="G457" s="20" t="s">
        <v>1748</v>
      </c>
      <c r="H457" s="20" t="s">
        <v>35</v>
      </c>
      <c r="I457" s="55" t="s">
        <v>1749</v>
      </c>
      <c r="J457" s="30">
        <v>43749</v>
      </c>
      <c r="K457" s="30">
        <v>44662</v>
      </c>
      <c r="L457" s="31">
        <f t="shared" si="167"/>
        <v>83.983863368336614</v>
      </c>
      <c r="M457" s="20" t="s">
        <v>259</v>
      </c>
      <c r="N457" s="20" t="s">
        <v>228</v>
      </c>
      <c r="O457" s="20" t="s">
        <v>228</v>
      </c>
      <c r="P457" s="32" t="s">
        <v>260</v>
      </c>
      <c r="Q457" s="20" t="s">
        <v>40</v>
      </c>
      <c r="R457" s="33">
        <f t="shared" si="172"/>
        <v>5463727.5500000007</v>
      </c>
      <c r="S457" s="2">
        <v>4406020.2300000004</v>
      </c>
      <c r="T457" s="2">
        <v>1057707.32</v>
      </c>
      <c r="U457" s="33">
        <f t="shared" si="173"/>
        <v>0</v>
      </c>
      <c r="V457" s="2">
        <v>0</v>
      </c>
      <c r="W457" s="2">
        <v>0</v>
      </c>
      <c r="X457" s="33">
        <f t="shared" si="174"/>
        <v>1041959.77</v>
      </c>
      <c r="Y457" s="2">
        <v>777532.96</v>
      </c>
      <c r="Z457" s="2">
        <v>264426.81</v>
      </c>
      <c r="AA457" s="2">
        <f t="shared" si="175"/>
        <v>0</v>
      </c>
      <c r="AB457" s="2">
        <v>0</v>
      </c>
      <c r="AC457" s="2">
        <v>0</v>
      </c>
      <c r="AD457" s="2">
        <f t="shared" si="176"/>
        <v>6505687.3200000003</v>
      </c>
      <c r="AE457" s="2">
        <v>0</v>
      </c>
      <c r="AF457" s="2">
        <f t="shared" si="177"/>
        <v>6505687.3200000003</v>
      </c>
      <c r="AG457" s="39" t="s">
        <v>69</v>
      </c>
      <c r="AH457" s="34"/>
      <c r="AI457" s="35">
        <v>0</v>
      </c>
      <c r="AJ457" s="36">
        <v>0</v>
      </c>
      <c r="AK457" s="28">
        <f t="shared" si="180"/>
        <v>5463727.5500000007</v>
      </c>
      <c r="AL457" s="28">
        <f t="shared" si="181"/>
        <v>0</v>
      </c>
      <c r="AM457" s="29">
        <f t="shared" si="182"/>
        <v>0</v>
      </c>
    </row>
    <row r="458" spans="1:39" ht="192" customHeight="1" x14ac:dyDescent="0.25">
      <c r="A458" s="154">
        <v>455</v>
      </c>
      <c r="B458" s="37">
        <v>129900</v>
      </c>
      <c r="C458" s="37">
        <v>731</v>
      </c>
      <c r="D458" s="40" t="s">
        <v>254</v>
      </c>
      <c r="E458" s="14" t="s">
        <v>1619</v>
      </c>
      <c r="F458" s="40" t="s">
        <v>1750</v>
      </c>
      <c r="G458" s="32" t="s">
        <v>853</v>
      </c>
      <c r="H458" s="20" t="s">
        <v>35</v>
      </c>
      <c r="I458" s="55" t="s">
        <v>1751</v>
      </c>
      <c r="J458" s="30">
        <v>43752</v>
      </c>
      <c r="K458" s="30">
        <v>44544</v>
      </c>
      <c r="L458" s="31">
        <f t="shared" si="167"/>
        <v>83.983863061184252</v>
      </c>
      <c r="M458" s="20" t="s">
        <v>259</v>
      </c>
      <c r="N458" s="20" t="s">
        <v>228</v>
      </c>
      <c r="O458" s="20" t="s">
        <v>228</v>
      </c>
      <c r="P458" s="32" t="s">
        <v>260</v>
      </c>
      <c r="Q458" s="20" t="s">
        <v>40</v>
      </c>
      <c r="R458" s="33">
        <f t="shared" si="172"/>
        <v>10447061.770000001</v>
      </c>
      <c r="S458" s="2">
        <v>8424645.1300000008</v>
      </c>
      <c r="T458" s="2">
        <v>2022416.64</v>
      </c>
      <c r="U458" s="33">
        <f t="shared" si="173"/>
        <v>0</v>
      </c>
      <c r="V458" s="2">
        <v>0</v>
      </c>
      <c r="W458" s="2">
        <v>0</v>
      </c>
      <c r="X458" s="33">
        <f t="shared" si="174"/>
        <v>1992306.21</v>
      </c>
      <c r="Y458" s="2">
        <v>1486702.04</v>
      </c>
      <c r="Z458" s="2">
        <v>505604.17</v>
      </c>
      <c r="AA458" s="2">
        <f t="shared" si="175"/>
        <v>0</v>
      </c>
      <c r="AB458" s="2">
        <v>0</v>
      </c>
      <c r="AC458" s="2">
        <v>0</v>
      </c>
      <c r="AD458" s="2">
        <f t="shared" si="176"/>
        <v>12439367.98</v>
      </c>
      <c r="AE458" s="2">
        <v>0</v>
      </c>
      <c r="AF458" s="2">
        <f t="shared" si="177"/>
        <v>12439367.98</v>
      </c>
      <c r="AG458" s="39" t="s">
        <v>69</v>
      </c>
      <c r="AH458" s="34"/>
      <c r="AI458" s="35">
        <f>8494.97+9887.42</f>
        <v>18382.39</v>
      </c>
      <c r="AJ458" s="36">
        <v>0</v>
      </c>
      <c r="AK458" s="28">
        <f t="shared" si="180"/>
        <v>10428679.380000001</v>
      </c>
      <c r="AL458" s="28">
        <f t="shared" si="181"/>
        <v>0</v>
      </c>
      <c r="AM458" s="29">
        <f t="shared" si="182"/>
        <v>1.7595751231018132E-3</v>
      </c>
    </row>
    <row r="459" spans="1:39" ht="192" customHeight="1" x14ac:dyDescent="0.25">
      <c r="A459" s="154">
        <v>456</v>
      </c>
      <c r="B459" s="37">
        <v>129165</v>
      </c>
      <c r="C459" s="37">
        <v>728</v>
      </c>
      <c r="D459" s="40" t="s">
        <v>254</v>
      </c>
      <c r="E459" s="14" t="s">
        <v>1619</v>
      </c>
      <c r="F459" s="40" t="s">
        <v>1752</v>
      </c>
      <c r="G459" s="20" t="s">
        <v>1632</v>
      </c>
      <c r="H459" s="20" t="s">
        <v>35</v>
      </c>
      <c r="I459" s="55" t="s">
        <v>1753</v>
      </c>
      <c r="J459" s="30">
        <v>43754</v>
      </c>
      <c r="K459" s="30">
        <v>44850</v>
      </c>
      <c r="L459" s="31">
        <f t="shared" si="167"/>
        <v>83.983862982033116</v>
      </c>
      <c r="M459" s="20" t="s">
        <v>259</v>
      </c>
      <c r="N459" s="20" t="s">
        <v>228</v>
      </c>
      <c r="O459" s="20" t="s">
        <v>228</v>
      </c>
      <c r="P459" s="32" t="s">
        <v>260</v>
      </c>
      <c r="Q459" s="20" t="s">
        <v>40</v>
      </c>
      <c r="R459" s="33">
        <f t="shared" si="172"/>
        <v>14670826.32</v>
      </c>
      <c r="S459" s="2">
        <v>11830743.25</v>
      </c>
      <c r="T459" s="2">
        <v>2840083.07</v>
      </c>
      <c r="U459" s="33">
        <f t="shared" si="173"/>
        <v>0</v>
      </c>
      <c r="V459" s="2">
        <v>0</v>
      </c>
      <c r="W459" s="2">
        <v>0</v>
      </c>
      <c r="X459" s="33">
        <f t="shared" si="174"/>
        <v>2797798.96</v>
      </c>
      <c r="Y459" s="2">
        <v>2087778.17</v>
      </c>
      <c r="Z459" s="2">
        <v>710020.79</v>
      </c>
      <c r="AA459" s="2">
        <f t="shared" si="175"/>
        <v>0</v>
      </c>
      <c r="AB459" s="2">
        <v>0</v>
      </c>
      <c r="AC459" s="2">
        <v>0</v>
      </c>
      <c r="AD459" s="2">
        <f t="shared" si="176"/>
        <v>17468625.280000001</v>
      </c>
      <c r="AE459" s="2">
        <v>0</v>
      </c>
      <c r="AF459" s="2">
        <f t="shared" si="177"/>
        <v>17468625.280000001</v>
      </c>
      <c r="AG459" s="39" t="s">
        <v>69</v>
      </c>
      <c r="AH459" s="34"/>
      <c r="AI459" s="35">
        <v>0</v>
      </c>
      <c r="AJ459" s="36">
        <v>0</v>
      </c>
      <c r="AK459" s="28">
        <f t="shared" si="180"/>
        <v>14670826.32</v>
      </c>
      <c r="AL459" s="28">
        <f t="shared" si="181"/>
        <v>0</v>
      </c>
      <c r="AM459" s="29">
        <f t="shared" si="182"/>
        <v>0</v>
      </c>
    </row>
    <row r="460" spans="1:39" ht="192" customHeight="1" x14ac:dyDescent="0.25">
      <c r="A460" s="154">
        <v>457</v>
      </c>
      <c r="B460" s="37">
        <v>130070</v>
      </c>
      <c r="C460" s="37">
        <v>730</v>
      </c>
      <c r="D460" s="40" t="s">
        <v>254</v>
      </c>
      <c r="E460" s="14" t="s">
        <v>1619</v>
      </c>
      <c r="F460" s="40" t="s">
        <v>1754</v>
      </c>
      <c r="G460" s="20" t="s">
        <v>1755</v>
      </c>
      <c r="H460" s="20" t="s">
        <v>35</v>
      </c>
      <c r="I460" s="15" t="s">
        <v>1756</v>
      </c>
      <c r="J460" s="30">
        <v>43755</v>
      </c>
      <c r="K460" s="30">
        <v>44394</v>
      </c>
      <c r="L460" s="31">
        <f t="shared" si="167"/>
        <v>83.983863790383737</v>
      </c>
      <c r="M460" s="20" t="s">
        <v>259</v>
      </c>
      <c r="N460" s="20" t="s">
        <v>228</v>
      </c>
      <c r="O460" s="20" t="s">
        <v>228</v>
      </c>
      <c r="P460" s="32" t="s">
        <v>260</v>
      </c>
      <c r="Q460" s="20" t="s">
        <v>40</v>
      </c>
      <c r="R460" s="33">
        <f t="shared" si="172"/>
        <v>4510953.3099999996</v>
      </c>
      <c r="S460" s="2">
        <v>3637690.8199999994</v>
      </c>
      <c r="T460" s="2">
        <v>873262.49</v>
      </c>
      <c r="U460" s="33">
        <f t="shared" si="173"/>
        <v>0</v>
      </c>
      <c r="V460" s="2">
        <v>0</v>
      </c>
      <c r="W460" s="2">
        <v>0</v>
      </c>
      <c r="X460" s="33">
        <f t="shared" si="174"/>
        <v>860261</v>
      </c>
      <c r="Y460" s="2">
        <v>641945.4</v>
      </c>
      <c r="Z460" s="2">
        <v>218315.6</v>
      </c>
      <c r="AA460" s="2">
        <f t="shared" si="175"/>
        <v>0</v>
      </c>
      <c r="AB460" s="2">
        <v>0</v>
      </c>
      <c r="AC460" s="2">
        <v>0</v>
      </c>
      <c r="AD460" s="2">
        <f t="shared" si="176"/>
        <v>5371214.3099999996</v>
      </c>
      <c r="AE460" s="2">
        <v>0</v>
      </c>
      <c r="AF460" s="2">
        <f t="shared" si="177"/>
        <v>5371214.3099999996</v>
      </c>
      <c r="AG460" s="39" t="s">
        <v>69</v>
      </c>
      <c r="AH460" s="34"/>
      <c r="AI460" s="35">
        <v>0</v>
      </c>
      <c r="AJ460" s="36">
        <v>0</v>
      </c>
      <c r="AK460" s="28">
        <f t="shared" si="180"/>
        <v>4510953.3099999996</v>
      </c>
      <c r="AL460" s="28">
        <f t="shared" si="181"/>
        <v>0</v>
      </c>
      <c r="AM460" s="29">
        <f t="shared" si="182"/>
        <v>0</v>
      </c>
    </row>
    <row r="461" spans="1:39" ht="192" customHeight="1" x14ac:dyDescent="0.25">
      <c r="A461" s="154">
        <v>458</v>
      </c>
      <c r="B461" s="37">
        <v>129717</v>
      </c>
      <c r="C461" s="37">
        <v>713</v>
      </c>
      <c r="D461" s="40" t="s">
        <v>254</v>
      </c>
      <c r="E461" s="14" t="s">
        <v>1619</v>
      </c>
      <c r="F461" s="40" t="s">
        <v>1757</v>
      </c>
      <c r="G461" s="32" t="s">
        <v>853</v>
      </c>
      <c r="H461" s="20" t="s">
        <v>35</v>
      </c>
      <c r="I461" s="55" t="s">
        <v>1758</v>
      </c>
      <c r="J461" s="30">
        <v>43755</v>
      </c>
      <c r="K461" s="30">
        <v>44668</v>
      </c>
      <c r="L461" s="31">
        <f t="shared" si="167"/>
        <v>83.983862834089763</v>
      </c>
      <c r="M461" s="20" t="s">
        <v>259</v>
      </c>
      <c r="N461" s="20" t="s">
        <v>228</v>
      </c>
      <c r="O461" s="20" t="s">
        <v>228</v>
      </c>
      <c r="P461" s="32" t="s">
        <v>260</v>
      </c>
      <c r="Q461" s="20" t="s">
        <v>40</v>
      </c>
      <c r="R461" s="33">
        <f t="shared" si="172"/>
        <v>5038501.16</v>
      </c>
      <c r="S461" s="2">
        <v>4063112.22</v>
      </c>
      <c r="T461" s="2">
        <v>975388.94</v>
      </c>
      <c r="U461" s="33">
        <f t="shared" si="173"/>
        <v>0</v>
      </c>
      <c r="V461" s="2">
        <v>0</v>
      </c>
      <c r="W461" s="2">
        <v>0</v>
      </c>
      <c r="X461" s="33">
        <f t="shared" si="174"/>
        <v>960867.04</v>
      </c>
      <c r="Y461" s="2">
        <v>717019.79</v>
      </c>
      <c r="Z461" s="2">
        <v>243847.25</v>
      </c>
      <c r="AA461" s="2">
        <f t="shared" si="175"/>
        <v>0</v>
      </c>
      <c r="AB461" s="2">
        <v>0</v>
      </c>
      <c r="AC461" s="2">
        <v>0</v>
      </c>
      <c r="AD461" s="2">
        <f t="shared" si="176"/>
        <v>5999368.2000000002</v>
      </c>
      <c r="AE461" s="2">
        <v>0</v>
      </c>
      <c r="AF461" s="2">
        <f t="shared" si="177"/>
        <v>5999368.2000000002</v>
      </c>
      <c r="AG461" s="39" t="s">
        <v>69</v>
      </c>
      <c r="AH461" s="34"/>
      <c r="AI461" s="35">
        <f>129503.12</f>
        <v>129503.12</v>
      </c>
      <c r="AJ461" s="36">
        <v>0</v>
      </c>
      <c r="AK461" s="28">
        <f t="shared" si="180"/>
        <v>4908998.04</v>
      </c>
      <c r="AL461" s="28">
        <f t="shared" si="181"/>
        <v>0</v>
      </c>
      <c r="AM461" s="29">
        <f t="shared" si="182"/>
        <v>2.5702707191596636E-2</v>
      </c>
    </row>
    <row r="462" spans="1:39" ht="192" customHeight="1" x14ac:dyDescent="0.25">
      <c r="A462" s="154">
        <v>459</v>
      </c>
      <c r="B462" s="37">
        <v>130033</v>
      </c>
      <c r="C462" s="37">
        <v>734</v>
      </c>
      <c r="D462" s="40" t="s">
        <v>254</v>
      </c>
      <c r="E462" s="14" t="s">
        <v>1619</v>
      </c>
      <c r="F462" s="40" t="s">
        <v>1759</v>
      </c>
      <c r="G462" s="32" t="s">
        <v>930</v>
      </c>
      <c r="H462" s="20" t="s">
        <v>1760</v>
      </c>
      <c r="I462" s="55" t="s">
        <v>1761</v>
      </c>
      <c r="J462" s="30">
        <v>43755</v>
      </c>
      <c r="K462" s="30">
        <v>44851</v>
      </c>
      <c r="L462" s="31">
        <f t="shared" si="167"/>
        <v>83.983862824652149</v>
      </c>
      <c r="M462" s="20" t="s">
        <v>259</v>
      </c>
      <c r="N462" s="20" t="s">
        <v>228</v>
      </c>
      <c r="O462" s="20" t="s">
        <v>228</v>
      </c>
      <c r="P462" s="32" t="s">
        <v>260</v>
      </c>
      <c r="Q462" s="20" t="s">
        <v>40</v>
      </c>
      <c r="R462" s="33">
        <f t="shared" si="172"/>
        <v>117574048.60000001</v>
      </c>
      <c r="S462" s="2">
        <v>94813226.560000002</v>
      </c>
      <c r="T462" s="2">
        <v>22760822.040000007</v>
      </c>
      <c r="U462" s="33">
        <f t="shared" si="173"/>
        <v>974280.55999999994</v>
      </c>
      <c r="V462" s="2">
        <v>720001.54999999993</v>
      </c>
      <c r="W462" s="2">
        <v>254279.01</v>
      </c>
      <c r="X462" s="33">
        <f t="shared" si="174"/>
        <v>21447670.84</v>
      </c>
      <c r="Y462" s="2">
        <v>16011744.310000001</v>
      </c>
      <c r="Z462" s="2">
        <v>5435926.5300000003</v>
      </c>
      <c r="AA462" s="2">
        <f t="shared" si="175"/>
        <v>0</v>
      </c>
      <c r="AB462" s="2">
        <v>0</v>
      </c>
      <c r="AC462" s="2">
        <v>0</v>
      </c>
      <c r="AD462" s="2">
        <f t="shared" si="176"/>
        <v>139996000</v>
      </c>
      <c r="AE462" s="2">
        <v>0</v>
      </c>
      <c r="AF462" s="2">
        <f t="shared" si="177"/>
        <v>139996000</v>
      </c>
      <c r="AG462" s="39" t="s">
        <v>69</v>
      </c>
      <c r="AH462" s="34" t="s">
        <v>35</v>
      </c>
      <c r="AI462" s="35">
        <f>10931339.59</f>
        <v>10931339.59</v>
      </c>
      <c r="AJ462" s="36">
        <v>0</v>
      </c>
      <c r="AK462" s="28">
        <f t="shared" si="180"/>
        <v>106642709.01000001</v>
      </c>
      <c r="AL462" s="28">
        <f t="shared" si="181"/>
        <v>974280.55999999994</v>
      </c>
      <c r="AM462" s="29">
        <f t="shared" si="182"/>
        <v>9.2974085014199292E-2</v>
      </c>
    </row>
    <row r="463" spans="1:39" ht="192" customHeight="1" x14ac:dyDescent="0.25">
      <c r="A463" s="154">
        <v>460</v>
      </c>
      <c r="B463" s="37">
        <v>129914</v>
      </c>
      <c r="C463" s="37">
        <v>752</v>
      </c>
      <c r="D463" s="40" t="s">
        <v>861</v>
      </c>
      <c r="E463" s="14" t="s">
        <v>1657</v>
      </c>
      <c r="F463" s="40" t="s">
        <v>1762</v>
      </c>
      <c r="G463" s="20" t="s">
        <v>1763</v>
      </c>
      <c r="H463" s="20" t="s">
        <v>1285</v>
      </c>
      <c r="I463" s="55" t="s">
        <v>1764</v>
      </c>
      <c r="J463" s="30">
        <v>43755</v>
      </c>
      <c r="K463" s="30">
        <v>44851</v>
      </c>
      <c r="L463" s="31">
        <f t="shared" si="167"/>
        <v>83.983862838678377</v>
      </c>
      <c r="M463" s="20" t="s">
        <v>259</v>
      </c>
      <c r="N463" s="20" t="s">
        <v>228</v>
      </c>
      <c r="O463" s="20" t="s">
        <v>228</v>
      </c>
      <c r="P463" s="32" t="s">
        <v>260</v>
      </c>
      <c r="Q463" s="20" t="s">
        <v>40</v>
      </c>
      <c r="R463" s="33">
        <f t="shared" si="172"/>
        <v>14490743.199999999</v>
      </c>
      <c r="S463" s="2">
        <v>11685521.85</v>
      </c>
      <c r="T463" s="2">
        <v>2805221.3500000006</v>
      </c>
      <c r="U463" s="33">
        <f t="shared" si="173"/>
        <v>0</v>
      </c>
      <c r="V463" s="2">
        <v>0</v>
      </c>
      <c r="W463" s="2">
        <v>0</v>
      </c>
      <c r="X463" s="33">
        <f t="shared" si="174"/>
        <v>2763456.25</v>
      </c>
      <c r="Y463" s="2">
        <v>2062150.95</v>
      </c>
      <c r="Z463" s="2">
        <v>701305.3</v>
      </c>
      <c r="AA463" s="2">
        <f t="shared" si="175"/>
        <v>0</v>
      </c>
      <c r="AB463" s="2">
        <v>0</v>
      </c>
      <c r="AC463" s="2">
        <v>0</v>
      </c>
      <c r="AD463" s="2">
        <f t="shared" si="176"/>
        <v>17254199.449999999</v>
      </c>
      <c r="AE463" s="2">
        <v>0</v>
      </c>
      <c r="AF463" s="2">
        <f t="shared" si="177"/>
        <v>17254199.449999999</v>
      </c>
      <c r="AG463" s="39" t="s">
        <v>69</v>
      </c>
      <c r="AH463" s="34" t="s">
        <v>35</v>
      </c>
      <c r="AI463" s="35">
        <f>30109.06</f>
        <v>30109.06</v>
      </c>
      <c r="AJ463" s="36">
        <v>0</v>
      </c>
      <c r="AK463" s="28">
        <f t="shared" si="180"/>
        <v>14460634.139999999</v>
      </c>
      <c r="AL463" s="28">
        <f t="shared" si="181"/>
        <v>0</v>
      </c>
      <c r="AM463" s="29">
        <f t="shared" si="182"/>
        <v>2.077813372608798E-3</v>
      </c>
    </row>
    <row r="464" spans="1:39" ht="192" customHeight="1" x14ac:dyDescent="0.25">
      <c r="A464" s="154">
        <v>461</v>
      </c>
      <c r="B464" s="37">
        <v>129605</v>
      </c>
      <c r="C464" s="37">
        <v>723</v>
      </c>
      <c r="D464" s="40" t="s">
        <v>254</v>
      </c>
      <c r="E464" s="14" t="s">
        <v>1619</v>
      </c>
      <c r="F464" s="40" t="s">
        <v>1765</v>
      </c>
      <c r="G464" s="20" t="s">
        <v>1632</v>
      </c>
      <c r="H464" s="20" t="s">
        <v>35</v>
      </c>
      <c r="I464" s="40" t="s">
        <v>1766</v>
      </c>
      <c r="J464" s="30">
        <v>43767</v>
      </c>
      <c r="K464" s="30">
        <v>44863</v>
      </c>
      <c r="L464" s="31">
        <f t="shared" si="167"/>
        <v>83.983862776024722</v>
      </c>
      <c r="M464" s="20" t="s">
        <v>259</v>
      </c>
      <c r="N464" s="20" t="s">
        <v>228</v>
      </c>
      <c r="O464" s="20" t="s">
        <v>228</v>
      </c>
      <c r="P464" s="32" t="s">
        <v>260</v>
      </c>
      <c r="Q464" s="20" t="s">
        <v>40</v>
      </c>
      <c r="R464" s="33">
        <f t="shared" si="172"/>
        <v>17794139.579999998</v>
      </c>
      <c r="S464" s="2">
        <v>14349423.26</v>
      </c>
      <c r="T464" s="2">
        <v>3444716.32</v>
      </c>
      <c r="U464" s="33">
        <f t="shared" si="173"/>
        <v>0</v>
      </c>
      <c r="V464" s="2">
        <v>0</v>
      </c>
      <c r="W464" s="2">
        <v>0</v>
      </c>
      <c r="X464" s="33">
        <f t="shared" si="174"/>
        <v>3393430.26</v>
      </c>
      <c r="Y464" s="2">
        <v>2532251.17</v>
      </c>
      <c r="Z464" s="2">
        <v>861179.09</v>
      </c>
      <c r="AA464" s="2">
        <f t="shared" si="175"/>
        <v>0</v>
      </c>
      <c r="AB464" s="2">
        <v>0</v>
      </c>
      <c r="AC464" s="2">
        <v>0</v>
      </c>
      <c r="AD464" s="2">
        <f t="shared" si="176"/>
        <v>21187569.839999996</v>
      </c>
      <c r="AE464" s="2">
        <v>0</v>
      </c>
      <c r="AF464" s="2">
        <f t="shared" si="177"/>
        <v>21187569.839999996</v>
      </c>
      <c r="AG464" s="39" t="s">
        <v>69</v>
      </c>
      <c r="AH464" s="34"/>
      <c r="AI464" s="35">
        <v>0</v>
      </c>
      <c r="AJ464" s="36">
        <v>0</v>
      </c>
      <c r="AK464" s="28">
        <f t="shared" si="180"/>
        <v>17794139.579999998</v>
      </c>
      <c r="AL464" s="28">
        <f t="shared" si="181"/>
        <v>0</v>
      </c>
      <c r="AM464" s="29">
        <f t="shared" si="182"/>
        <v>0</v>
      </c>
    </row>
    <row r="465" spans="1:39" ht="192" customHeight="1" x14ac:dyDescent="0.25">
      <c r="A465" s="154">
        <v>462</v>
      </c>
      <c r="B465" s="37">
        <v>129988</v>
      </c>
      <c r="C465" s="37">
        <v>722</v>
      </c>
      <c r="D465" s="40" t="s">
        <v>254</v>
      </c>
      <c r="E465" s="14" t="s">
        <v>1619</v>
      </c>
      <c r="F465" s="40" t="s">
        <v>1767</v>
      </c>
      <c r="G465" s="32" t="s">
        <v>853</v>
      </c>
      <c r="H465" s="20" t="s">
        <v>1768</v>
      </c>
      <c r="I465" s="40" t="s">
        <v>1769</v>
      </c>
      <c r="J465" s="30">
        <v>43770</v>
      </c>
      <c r="K465" s="30">
        <v>44378</v>
      </c>
      <c r="L465" s="31">
        <f t="shared" si="167"/>
        <v>83.983862284279382</v>
      </c>
      <c r="M465" s="20" t="s">
        <v>259</v>
      </c>
      <c r="N465" s="20" t="s">
        <v>228</v>
      </c>
      <c r="O465" s="20" t="s">
        <v>228</v>
      </c>
      <c r="P465" s="32" t="s">
        <v>260</v>
      </c>
      <c r="Q465" s="20" t="s">
        <v>40</v>
      </c>
      <c r="R465" s="33">
        <f t="shared" si="172"/>
        <v>3460035.79</v>
      </c>
      <c r="S465" s="2">
        <v>2790217.44</v>
      </c>
      <c r="T465" s="2">
        <v>669818.35</v>
      </c>
      <c r="U465" s="33">
        <f t="shared" si="173"/>
        <v>24320.799999999999</v>
      </c>
      <c r="V465" s="2">
        <v>17973.28</v>
      </c>
      <c r="W465" s="2">
        <v>6347.52</v>
      </c>
      <c r="X465" s="33">
        <f t="shared" si="174"/>
        <v>635525.13</v>
      </c>
      <c r="Y465" s="2">
        <v>474418.02</v>
      </c>
      <c r="Z465" s="2">
        <v>161107.10999999999</v>
      </c>
      <c r="AA465" s="2">
        <f t="shared" si="175"/>
        <v>0</v>
      </c>
      <c r="AB465" s="2">
        <v>0</v>
      </c>
      <c r="AC465" s="2">
        <v>0</v>
      </c>
      <c r="AD465" s="2">
        <f t="shared" si="176"/>
        <v>4119881.7199999997</v>
      </c>
      <c r="AE465" s="2">
        <v>0</v>
      </c>
      <c r="AF465" s="2">
        <f t="shared" si="177"/>
        <v>4119881.7199999997</v>
      </c>
      <c r="AG465" s="39" t="s">
        <v>69</v>
      </c>
      <c r="AH465" s="34"/>
      <c r="AI465" s="35">
        <f>10251.91</f>
        <v>10251.91</v>
      </c>
      <c r="AJ465" s="36">
        <v>0</v>
      </c>
      <c r="AK465" s="28">
        <f t="shared" si="180"/>
        <v>3449783.88</v>
      </c>
      <c r="AL465" s="28">
        <f t="shared" si="181"/>
        <v>24320.799999999999</v>
      </c>
      <c r="AM465" s="29">
        <f t="shared" si="182"/>
        <v>2.9629491202459498E-3</v>
      </c>
    </row>
    <row r="466" spans="1:39" ht="192" customHeight="1" x14ac:dyDescent="0.25">
      <c r="A466" s="154">
        <v>463</v>
      </c>
      <c r="B466" s="37">
        <v>126131</v>
      </c>
      <c r="C466" s="37">
        <v>575</v>
      </c>
      <c r="D466" s="40" t="s">
        <v>254</v>
      </c>
      <c r="E466" s="14" t="s">
        <v>1583</v>
      </c>
      <c r="F466" s="40" t="s">
        <v>1770</v>
      </c>
      <c r="G466" s="20" t="s">
        <v>885</v>
      </c>
      <c r="H466" s="20" t="s">
        <v>173</v>
      </c>
      <c r="I466" s="40" t="s">
        <v>1771</v>
      </c>
      <c r="J466" s="30">
        <v>43770</v>
      </c>
      <c r="K466" s="30">
        <v>44501</v>
      </c>
      <c r="L466" s="31">
        <f t="shared" si="167"/>
        <v>83.983863089302972</v>
      </c>
      <c r="M466" s="20" t="s">
        <v>1772</v>
      </c>
      <c r="N466" s="20" t="s">
        <v>228</v>
      </c>
      <c r="O466" s="20" t="s">
        <v>229</v>
      </c>
      <c r="P466" s="32" t="s">
        <v>260</v>
      </c>
      <c r="Q466" s="20" t="s">
        <v>1773</v>
      </c>
      <c r="R466" s="33">
        <f t="shared" si="172"/>
        <v>6244262.1000000006</v>
      </c>
      <c r="S466" s="2">
        <v>5035453.3600000003</v>
      </c>
      <c r="T466" s="2">
        <v>1208808.74</v>
      </c>
      <c r="U466" s="33">
        <f t="shared" si="173"/>
        <v>0</v>
      </c>
      <c r="V466" s="2">
        <v>0</v>
      </c>
      <c r="W466" s="2">
        <v>0</v>
      </c>
      <c r="X466" s="33">
        <f t="shared" si="174"/>
        <v>1190811.58</v>
      </c>
      <c r="Y466" s="2">
        <v>888609.39</v>
      </c>
      <c r="Z466" s="2">
        <v>302202.19</v>
      </c>
      <c r="AA466" s="2">
        <f t="shared" si="175"/>
        <v>0</v>
      </c>
      <c r="AB466" s="2">
        <v>0</v>
      </c>
      <c r="AC466" s="2">
        <v>0</v>
      </c>
      <c r="AD466" s="2">
        <f t="shared" si="176"/>
        <v>7435073.6800000006</v>
      </c>
      <c r="AE466" s="2">
        <v>0</v>
      </c>
      <c r="AF466" s="2">
        <f t="shared" si="177"/>
        <v>7435073.6800000006</v>
      </c>
      <c r="AG466" s="39" t="s">
        <v>69</v>
      </c>
      <c r="AH466" s="34"/>
      <c r="AI466" s="35">
        <f>47548.09+115299.26</f>
        <v>162847.34999999998</v>
      </c>
      <c r="AJ466" s="36">
        <v>0</v>
      </c>
      <c r="AK466" s="28">
        <f t="shared" si="180"/>
        <v>6081414.7500000009</v>
      </c>
      <c r="AL466" s="28">
        <f t="shared" si="181"/>
        <v>0</v>
      </c>
      <c r="AM466" s="29">
        <f t="shared" si="182"/>
        <v>2.6079518667225701E-2</v>
      </c>
    </row>
    <row r="467" spans="1:39" ht="192" customHeight="1" x14ac:dyDescent="0.25">
      <c r="A467" s="154">
        <v>464</v>
      </c>
      <c r="B467" s="37">
        <v>127024</v>
      </c>
      <c r="C467" s="37">
        <v>597</v>
      </c>
      <c r="D467" s="40" t="s">
        <v>254</v>
      </c>
      <c r="E467" s="14" t="s">
        <v>1583</v>
      </c>
      <c r="F467" s="40" t="s">
        <v>1774</v>
      </c>
      <c r="G467" s="20" t="s">
        <v>1775</v>
      </c>
      <c r="H467" s="20" t="s">
        <v>173</v>
      </c>
      <c r="I467" s="43" t="s">
        <v>1776</v>
      </c>
      <c r="J467" s="30">
        <v>43780</v>
      </c>
      <c r="K467" s="30">
        <v>44450</v>
      </c>
      <c r="L467" s="31">
        <f t="shared" si="167"/>
        <v>83.98386356517679</v>
      </c>
      <c r="M467" s="20" t="s">
        <v>1772</v>
      </c>
      <c r="N467" s="20" t="s">
        <v>228</v>
      </c>
      <c r="O467" s="20" t="s">
        <v>229</v>
      </c>
      <c r="P467" s="32" t="s">
        <v>260</v>
      </c>
      <c r="Q467" s="20" t="s">
        <v>1773</v>
      </c>
      <c r="R467" s="33">
        <f t="shared" si="172"/>
        <v>7226660.4399999995</v>
      </c>
      <c r="S467" s="2">
        <v>5827672.0499999998</v>
      </c>
      <c r="T467" s="2">
        <v>1398988.39</v>
      </c>
      <c r="U467" s="33">
        <f t="shared" si="173"/>
        <v>0</v>
      </c>
      <c r="V467" s="2">
        <v>0</v>
      </c>
      <c r="W467" s="2">
        <v>0</v>
      </c>
      <c r="X467" s="33">
        <f t="shared" si="174"/>
        <v>1378159.74</v>
      </c>
      <c r="Y467" s="2">
        <v>1028412.62</v>
      </c>
      <c r="Z467" s="2">
        <v>349747.12</v>
      </c>
      <c r="AA467" s="2">
        <f t="shared" si="175"/>
        <v>0</v>
      </c>
      <c r="AB467" s="2">
        <v>0</v>
      </c>
      <c r="AC467" s="2">
        <v>0</v>
      </c>
      <c r="AD467" s="2">
        <f t="shared" si="176"/>
        <v>8604820.1799999997</v>
      </c>
      <c r="AE467" s="2">
        <v>0</v>
      </c>
      <c r="AF467" s="2">
        <f t="shared" si="177"/>
        <v>8604820.1799999997</v>
      </c>
      <c r="AG467" s="39" t="s">
        <v>69</v>
      </c>
      <c r="AH467" s="34"/>
      <c r="AI467" s="35">
        <v>15455.18</v>
      </c>
      <c r="AJ467" s="36">
        <v>0</v>
      </c>
      <c r="AK467" s="28">
        <f t="shared" si="180"/>
        <v>7211205.2599999998</v>
      </c>
      <c r="AL467" s="28">
        <f t="shared" si="181"/>
        <v>0</v>
      </c>
      <c r="AM467" s="29">
        <f t="shared" si="182"/>
        <v>2.1386337615165439E-3</v>
      </c>
    </row>
    <row r="468" spans="1:39" ht="192" customHeight="1" x14ac:dyDescent="0.25">
      <c r="A468" s="154">
        <v>465</v>
      </c>
      <c r="B468" s="37">
        <v>129872</v>
      </c>
      <c r="C468" s="37">
        <v>715</v>
      </c>
      <c r="D468" s="40" t="s">
        <v>254</v>
      </c>
      <c r="E468" s="14" t="s">
        <v>1619</v>
      </c>
      <c r="F468" s="171" t="s">
        <v>1777</v>
      </c>
      <c r="G468" s="20" t="s">
        <v>1778</v>
      </c>
      <c r="H468" s="20" t="s">
        <v>1779</v>
      </c>
      <c r="I468" s="172" t="s">
        <v>1780</v>
      </c>
      <c r="J468" s="30">
        <v>43838</v>
      </c>
      <c r="K468" s="30">
        <v>44934</v>
      </c>
      <c r="L468" s="31">
        <f t="shared" si="167"/>
        <v>83.983862516378821</v>
      </c>
      <c r="M468" s="20" t="s">
        <v>1772</v>
      </c>
      <c r="N468" s="20" t="s">
        <v>228</v>
      </c>
      <c r="O468" s="20" t="s">
        <v>229</v>
      </c>
      <c r="P468" s="32" t="s">
        <v>260</v>
      </c>
      <c r="Q468" s="20" t="s">
        <v>1773</v>
      </c>
      <c r="R468" s="33">
        <f t="shared" si="172"/>
        <v>14298114.229999993</v>
      </c>
      <c r="S468" s="2">
        <v>11530183.469999993</v>
      </c>
      <c r="T468" s="2">
        <v>2767930.76</v>
      </c>
      <c r="U468" s="33">
        <f t="shared" si="173"/>
        <v>2244193.1599999983</v>
      </c>
      <c r="V468" s="2">
        <v>1658477.4299999981</v>
      </c>
      <c r="W468" s="2">
        <v>585715.7300000001</v>
      </c>
      <c r="X468" s="33">
        <f t="shared" si="174"/>
        <v>482527.86000000016</v>
      </c>
      <c r="Y468" s="2">
        <v>376260.8002169386</v>
      </c>
      <c r="Z468" s="2">
        <v>106267.05978306157</v>
      </c>
      <c r="AA468" s="2">
        <f t="shared" si="175"/>
        <v>0</v>
      </c>
      <c r="AB468" s="2">
        <v>0</v>
      </c>
      <c r="AC468" s="2">
        <v>0</v>
      </c>
      <c r="AD468" s="2">
        <f t="shared" si="176"/>
        <v>17024835.249999993</v>
      </c>
      <c r="AE468" s="2">
        <v>0</v>
      </c>
      <c r="AF468" s="2">
        <f t="shared" si="177"/>
        <v>17024835.249999993</v>
      </c>
      <c r="AG468" s="39" t="s">
        <v>69</v>
      </c>
      <c r="AH468" s="34" t="s">
        <v>35</v>
      </c>
      <c r="AI468" s="35">
        <v>1601151.52</v>
      </c>
      <c r="AJ468" s="36">
        <v>0</v>
      </c>
      <c r="AK468" s="28">
        <f t="shared" si="180"/>
        <v>12696962.709999993</v>
      </c>
      <c r="AL468" s="28">
        <f t="shared" si="181"/>
        <v>2244193.1599999983</v>
      </c>
      <c r="AM468" s="29">
        <f t="shared" si="182"/>
        <v>0.11198340524098616</v>
      </c>
    </row>
    <row r="469" spans="1:39" ht="192" customHeight="1" x14ac:dyDescent="0.25">
      <c r="A469" s="154">
        <v>466</v>
      </c>
      <c r="B469" s="37">
        <v>129752</v>
      </c>
      <c r="C469" s="37">
        <v>707</v>
      </c>
      <c r="D469" s="40" t="s">
        <v>254</v>
      </c>
      <c r="E469" s="14" t="s">
        <v>1619</v>
      </c>
      <c r="F469" s="40" t="s">
        <v>1781</v>
      </c>
      <c r="G469" s="20" t="s">
        <v>885</v>
      </c>
      <c r="H469" s="20" t="s">
        <v>35</v>
      </c>
      <c r="I469" s="40" t="s">
        <v>1782</v>
      </c>
      <c r="J469" s="30">
        <v>43791</v>
      </c>
      <c r="K469" s="30">
        <v>44703</v>
      </c>
      <c r="L469" s="31">
        <f t="shared" si="167"/>
        <v>83.983863478914273</v>
      </c>
      <c r="M469" s="20" t="s">
        <v>1772</v>
      </c>
      <c r="N469" s="20" t="s">
        <v>228</v>
      </c>
      <c r="O469" s="20" t="s">
        <v>229</v>
      </c>
      <c r="P469" s="32" t="s">
        <v>260</v>
      </c>
      <c r="Q469" s="20" t="s">
        <v>1773</v>
      </c>
      <c r="R469" s="33">
        <f t="shared" si="172"/>
        <v>5269881.79</v>
      </c>
      <c r="S469" s="2">
        <v>4249700.58</v>
      </c>
      <c r="T469" s="2">
        <v>1020181.21</v>
      </c>
      <c r="U469" s="33">
        <f t="shared" si="173"/>
        <v>0</v>
      </c>
      <c r="V469" s="2">
        <v>0</v>
      </c>
      <c r="W469" s="2">
        <v>0</v>
      </c>
      <c r="X469" s="33">
        <f t="shared" si="174"/>
        <v>1004992.42</v>
      </c>
      <c r="Y469" s="2">
        <v>749947.06</v>
      </c>
      <c r="Z469" s="2">
        <v>255045.36</v>
      </c>
      <c r="AA469" s="2">
        <v>0</v>
      </c>
      <c r="AB469" s="2">
        <v>0</v>
      </c>
      <c r="AC469" s="2">
        <v>0</v>
      </c>
      <c r="AD469" s="2">
        <f t="shared" si="176"/>
        <v>6274874.21</v>
      </c>
      <c r="AE469" s="2">
        <v>0</v>
      </c>
      <c r="AF469" s="2">
        <f t="shared" si="177"/>
        <v>6274874.21</v>
      </c>
      <c r="AG469" s="39" t="s">
        <v>69</v>
      </c>
      <c r="AH469" s="34"/>
      <c r="AI469" s="35">
        <v>544225.81000000006</v>
      </c>
      <c r="AJ469" s="36">
        <v>0</v>
      </c>
      <c r="AK469" s="28">
        <f t="shared" si="180"/>
        <v>4725655.9800000004</v>
      </c>
      <c r="AL469" s="28">
        <f t="shared" si="181"/>
        <v>0</v>
      </c>
      <c r="AM469" s="29">
        <f t="shared" si="182"/>
        <v>0.10327097109326243</v>
      </c>
    </row>
    <row r="470" spans="1:39" ht="192" customHeight="1" x14ac:dyDescent="0.25">
      <c r="A470" s="154">
        <v>467</v>
      </c>
      <c r="B470" s="37">
        <v>129166</v>
      </c>
      <c r="C470" s="37">
        <v>696</v>
      </c>
      <c r="D470" s="40" t="s">
        <v>254</v>
      </c>
      <c r="E470" s="14" t="s">
        <v>1619</v>
      </c>
      <c r="F470" s="40" t="s">
        <v>1783</v>
      </c>
      <c r="G470" s="20" t="s">
        <v>912</v>
      </c>
      <c r="H470" s="20" t="s">
        <v>35</v>
      </c>
      <c r="I470" s="40" t="s">
        <v>1784</v>
      </c>
      <c r="J470" s="30">
        <v>43797</v>
      </c>
      <c r="K470" s="30">
        <v>44893</v>
      </c>
      <c r="L470" s="31">
        <f t="shared" si="167"/>
        <v>83.98386275414363</v>
      </c>
      <c r="M470" s="20" t="s">
        <v>1772</v>
      </c>
      <c r="N470" s="20" t="s">
        <v>228</v>
      </c>
      <c r="O470" s="20" t="s">
        <v>229</v>
      </c>
      <c r="P470" s="32" t="s">
        <v>260</v>
      </c>
      <c r="Q470" s="20" t="s">
        <v>1773</v>
      </c>
      <c r="R470" s="33">
        <f t="shared" si="172"/>
        <v>11173608.689999999</v>
      </c>
      <c r="S470" s="2">
        <v>9010541.9199999999</v>
      </c>
      <c r="T470" s="2">
        <v>2163066.77</v>
      </c>
      <c r="U470" s="33">
        <f t="shared" si="173"/>
        <v>0</v>
      </c>
      <c r="V470" s="2">
        <v>0</v>
      </c>
      <c r="W470" s="2">
        <v>0</v>
      </c>
      <c r="X470" s="33">
        <f t="shared" si="174"/>
        <v>2130862.34</v>
      </c>
      <c r="Y470" s="2">
        <v>1590095.63</v>
      </c>
      <c r="Z470" s="2">
        <v>540766.71</v>
      </c>
      <c r="AA470" s="2">
        <v>0</v>
      </c>
      <c r="AB470" s="2">
        <v>0</v>
      </c>
      <c r="AC470" s="2">
        <v>0</v>
      </c>
      <c r="AD470" s="2">
        <f t="shared" si="176"/>
        <v>13304471.029999999</v>
      </c>
      <c r="AE470" s="2">
        <v>0</v>
      </c>
      <c r="AF470" s="2">
        <f t="shared" si="177"/>
        <v>13304471.029999999</v>
      </c>
      <c r="AG470" s="39" t="s">
        <v>69</v>
      </c>
      <c r="AH470" s="34"/>
      <c r="AI470" s="35">
        <v>0</v>
      </c>
      <c r="AJ470" s="36">
        <v>0</v>
      </c>
      <c r="AK470" s="28">
        <f t="shared" si="180"/>
        <v>11173608.689999999</v>
      </c>
      <c r="AL470" s="28">
        <f t="shared" si="181"/>
        <v>0</v>
      </c>
      <c r="AM470" s="29">
        <f t="shared" si="182"/>
        <v>0</v>
      </c>
    </row>
    <row r="471" spans="1:39" ht="267.75" x14ac:dyDescent="0.25">
      <c r="A471" s="154">
        <v>468</v>
      </c>
      <c r="B471" s="37">
        <v>130073</v>
      </c>
      <c r="C471" s="37">
        <v>740</v>
      </c>
      <c r="D471" s="40" t="s">
        <v>254</v>
      </c>
      <c r="E471" s="14" t="s">
        <v>1619</v>
      </c>
      <c r="F471" s="40" t="s">
        <v>1785</v>
      </c>
      <c r="G471" s="20" t="s">
        <v>1786</v>
      </c>
      <c r="H471" s="20" t="s">
        <v>35</v>
      </c>
      <c r="I471" s="40" t="s">
        <v>1787</v>
      </c>
      <c r="J471" s="30">
        <v>43802</v>
      </c>
      <c r="K471" s="30">
        <v>44898</v>
      </c>
      <c r="L471" s="31">
        <f t="shared" si="167"/>
        <v>83.983863192268686</v>
      </c>
      <c r="M471" s="20" t="s">
        <v>1772</v>
      </c>
      <c r="N471" s="20" t="s">
        <v>228</v>
      </c>
      <c r="O471" s="20" t="s">
        <v>229</v>
      </c>
      <c r="P471" s="32" t="s">
        <v>260</v>
      </c>
      <c r="Q471" s="20" t="s">
        <v>1773</v>
      </c>
      <c r="R471" s="33">
        <f t="shared" si="172"/>
        <v>10894851.5</v>
      </c>
      <c r="S471" s="2">
        <v>8785748.5</v>
      </c>
      <c r="T471" s="2">
        <v>2109103</v>
      </c>
      <c r="U471" s="33">
        <f t="shared" si="173"/>
        <v>1818250.83</v>
      </c>
      <c r="V471" s="2">
        <v>1343702.7</v>
      </c>
      <c r="W471" s="2">
        <v>474548.13</v>
      </c>
      <c r="X471" s="33">
        <f t="shared" si="174"/>
        <v>259451.07</v>
      </c>
      <c r="Y471" s="2">
        <v>206723.48</v>
      </c>
      <c r="Z471" s="2">
        <v>52727.59</v>
      </c>
      <c r="AA471" s="2">
        <v>0</v>
      </c>
      <c r="AB471" s="2">
        <v>0</v>
      </c>
      <c r="AC471" s="2">
        <v>0</v>
      </c>
      <c r="AD471" s="2">
        <f t="shared" si="176"/>
        <v>12972553.4</v>
      </c>
      <c r="AE471" s="2">
        <v>0</v>
      </c>
      <c r="AF471" s="2">
        <f t="shared" si="177"/>
        <v>12972553.4</v>
      </c>
      <c r="AG471" s="39" t="s">
        <v>69</v>
      </c>
      <c r="AH471" s="34"/>
      <c r="AI471" s="35">
        <v>1307041.33</v>
      </c>
      <c r="AJ471" s="36">
        <v>22158.67</v>
      </c>
      <c r="AK471" s="28">
        <f t="shared" si="180"/>
        <v>9587810.1699999999</v>
      </c>
      <c r="AL471" s="28">
        <f t="shared" si="181"/>
        <v>1796092.1600000001</v>
      </c>
      <c r="AM471" s="29">
        <f t="shared" si="182"/>
        <v>0.11996871458046032</v>
      </c>
    </row>
    <row r="472" spans="1:39" ht="192" customHeight="1" x14ac:dyDescent="0.25">
      <c r="A472" s="37">
        <v>469</v>
      </c>
      <c r="B472" s="37">
        <v>129751</v>
      </c>
      <c r="C472" s="37">
        <v>719</v>
      </c>
      <c r="D472" s="40" t="s">
        <v>254</v>
      </c>
      <c r="E472" s="14" t="s">
        <v>1619</v>
      </c>
      <c r="F472" s="40" t="s">
        <v>1788</v>
      </c>
      <c r="G472" s="20" t="s">
        <v>1621</v>
      </c>
      <c r="H472" s="20" t="s">
        <v>1789</v>
      </c>
      <c r="I472" s="40" t="s">
        <v>1790</v>
      </c>
      <c r="J472" s="30">
        <v>43808</v>
      </c>
      <c r="K472" s="30">
        <v>44904</v>
      </c>
      <c r="L472" s="31">
        <f t="shared" si="167"/>
        <v>83.983863200175961</v>
      </c>
      <c r="M472" s="20" t="s">
        <v>1772</v>
      </c>
      <c r="N472" s="20" t="s">
        <v>228</v>
      </c>
      <c r="O472" s="20" t="s">
        <v>229</v>
      </c>
      <c r="P472" s="32" t="s">
        <v>260</v>
      </c>
      <c r="Q472" s="20" t="s">
        <v>1773</v>
      </c>
      <c r="R472" s="33">
        <f t="shared" si="172"/>
        <v>12249086.76</v>
      </c>
      <c r="S472" s="2">
        <v>9877821.2400000002</v>
      </c>
      <c r="T472" s="2">
        <v>2371265.52</v>
      </c>
      <c r="U472" s="33">
        <f t="shared" si="173"/>
        <v>0</v>
      </c>
      <c r="V472" s="2">
        <v>0</v>
      </c>
      <c r="W472" s="2">
        <v>0</v>
      </c>
      <c r="X472" s="33">
        <f t="shared" si="174"/>
        <v>2335961.2399999998</v>
      </c>
      <c r="Y472" s="2">
        <v>1743144.91</v>
      </c>
      <c r="Z472" s="2">
        <v>592816.32999999996</v>
      </c>
      <c r="AA472" s="2">
        <v>0</v>
      </c>
      <c r="AB472" s="2">
        <v>0</v>
      </c>
      <c r="AC472" s="2">
        <v>0</v>
      </c>
      <c r="AD472" s="2">
        <f t="shared" si="176"/>
        <v>14585048</v>
      </c>
      <c r="AE472" s="2">
        <v>0</v>
      </c>
      <c r="AF472" s="2">
        <f t="shared" si="177"/>
        <v>14585048</v>
      </c>
      <c r="AG472" s="39" t="s">
        <v>69</v>
      </c>
      <c r="AH472" s="34"/>
      <c r="AI472" s="35">
        <v>0</v>
      </c>
      <c r="AJ472" s="36">
        <v>0</v>
      </c>
      <c r="AK472" s="28">
        <f t="shared" si="180"/>
        <v>12249086.76</v>
      </c>
      <c r="AL472" s="28">
        <f t="shared" si="181"/>
        <v>0</v>
      </c>
      <c r="AM472" s="29">
        <f t="shared" si="182"/>
        <v>0</v>
      </c>
    </row>
    <row r="473" spans="1:39" ht="192" customHeight="1" x14ac:dyDescent="0.25">
      <c r="A473" s="37">
        <v>470</v>
      </c>
      <c r="B473" s="37">
        <v>128013</v>
      </c>
      <c r="C473" s="20">
        <v>593</v>
      </c>
      <c r="D473" s="40" t="s">
        <v>254</v>
      </c>
      <c r="E473" s="14" t="s">
        <v>1583</v>
      </c>
      <c r="F473" s="171" t="s">
        <v>1791</v>
      </c>
      <c r="G473" s="20" t="s">
        <v>1792</v>
      </c>
      <c r="H473" s="20" t="s">
        <v>1793</v>
      </c>
      <c r="I473" s="43" t="s">
        <v>1794</v>
      </c>
      <c r="J473" s="30">
        <v>43817</v>
      </c>
      <c r="K473" s="30">
        <v>44730</v>
      </c>
      <c r="L473" s="31">
        <f t="shared" si="167"/>
        <v>83.983862832153392</v>
      </c>
      <c r="M473" s="20" t="s">
        <v>1772</v>
      </c>
      <c r="N473" s="20" t="s">
        <v>228</v>
      </c>
      <c r="O473" s="20" t="s">
        <v>229</v>
      </c>
      <c r="P473" s="32" t="s">
        <v>260</v>
      </c>
      <c r="Q473" s="20" t="s">
        <v>1773</v>
      </c>
      <c r="R473" s="33">
        <f t="shared" si="172"/>
        <v>25152543.590000004</v>
      </c>
      <c r="S473" s="2">
        <v>20283335.010000002</v>
      </c>
      <c r="T473" s="2">
        <v>4869208.58</v>
      </c>
      <c r="U473" s="33">
        <f t="shared" si="173"/>
        <v>1562953.45</v>
      </c>
      <c r="V473" s="2">
        <v>1155035.78</v>
      </c>
      <c r="W473" s="2">
        <v>407917.67</v>
      </c>
      <c r="X473" s="33">
        <f t="shared" si="174"/>
        <v>3233760.76</v>
      </c>
      <c r="Y473" s="2">
        <v>2424376.25</v>
      </c>
      <c r="Z473" s="2">
        <v>809384.51</v>
      </c>
      <c r="AA473" s="2">
        <v>0</v>
      </c>
      <c r="AB473" s="2">
        <v>0</v>
      </c>
      <c r="AC473" s="2">
        <v>0</v>
      </c>
      <c r="AD473" s="2">
        <f t="shared" si="176"/>
        <v>29949257.800000004</v>
      </c>
      <c r="AE473" s="2">
        <v>0</v>
      </c>
      <c r="AF473" s="2">
        <f t="shared" si="177"/>
        <v>29949257.800000004</v>
      </c>
      <c r="AG473" s="39" t="s">
        <v>69</v>
      </c>
      <c r="AH473" s="34"/>
      <c r="AI473" s="35">
        <v>0</v>
      </c>
      <c r="AJ473" s="36">
        <v>0</v>
      </c>
      <c r="AK473" s="28">
        <f t="shared" si="180"/>
        <v>25152543.590000004</v>
      </c>
      <c r="AL473" s="28">
        <f t="shared" si="181"/>
        <v>1562953.45</v>
      </c>
      <c r="AM473" s="29">
        <f t="shared" si="182"/>
        <v>0</v>
      </c>
    </row>
    <row r="474" spans="1:39" ht="267.75" x14ac:dyDescent="0.25">
      <c r="A474" s="37">
        <v>471</v>
      </c>
      <c r="B474" s="37">
        <v>127465</v>
      </c>
      <c r="C474" s="37">
        <v>594</v>
      </c>
      <c r="D474" s="40" t="s">
        <v>254</v>
      </c>
      <c r="E474" s="14" t="s">
        <v>1583</v>
      </c>
      <c r="F474" s="171" t="s">
        <v>1795</v>
      </c>
      <c r="G474" s="20" t="s">
        <v>1796</v>
      </c>
      <c r="H474" s="15" t="s">
        <v>1797</v>
      </c>
      <c r="I474" s="43" t="s">
        <v>1798</v>
      </c>
      <c r="J474" s="30">
        <v>43817</v>
      </c>
      <c r="K474" s="30">
        <v>44730</v>
      </c>
      <c r="L474" s="31">
        <f t="shared" si="167"/>
        <v>83.983864179507265</v>
      </c>
      <c r="M474" s="20" t="s">
        <v>1772</v>
      </c>
      <c r="N474" s="20" t="s">
        <v>228</v>
      </c>
      <c r="O474" s="20" t="s">
        <v>229</v>
      </c>
      <c r="P474" s="32" t="s">
        <v>260</v>
      </c>
      <c r="Q474" s="20" t="s">
        <v>1773</v>
      </c>
      <c r="R474" s="33">
        <f t="shared" si="172"/>
        <v>12707993.02</v>
      </c>
      <c r="S474" s="2">
        <v>10247889.17</v>
      </c>
      <c r="T474" s="2">
        <v>2460103.85</v>
      </c>
      <c r="U474" s="33">
        <f t="shared" si="173"/>
        <v>384595.77</v>
      </c>
      <c r="V474" s="2">
        <v>284219.5</v>
      </c>
      <c r="W474" s="2">
        <v>100376.27</v>
      </c>
      <c r="X474" s="33">
        <f t="shared" si="174"/>
        <v>2038880.98</v>
      </c>
      <c r="Y474" s="2">
        <v>1524231.35</v>
      </c>
      <c r="Z474" s="2">
        <v>514649.63</v>
      </c>
      <c r="AA474" s="2">
        <f>AB474+AC474</f>
        <v>0</v>
      </c>
      <c r="AB474" s="2">
        <v>0</v>
      </c>
      <c r="AC474" s="2">
        <v>0</v>
      </c>
      <c r="AD474" s="2">
        <f t="shared" si="176"/>
        <v>15131469.77</v>
      </c>
      <c r="AE474" s="2">
        <v>0</v>
      </c>
      <c r="AF474" s="2">
        <f t="shared" si="177"/>
        <v>15131469.77</v>
      </c>
      <c r="AG474" s="39" t="s">
        <v>69</v>
      </c>
      <c r="AH474" s="34"/>
      <c r="AI474" s="35">
        <v>0</v>
      </c>
      <c r="AJ474" s="36">
        <v>0</v>
      </c>
      <c r="AK474" s="28">
        <f t="shared" si="180"/>
        <v>12707993.02</v>
      </c>
      <c r="AL474" s="28">
        <f t="shared" si="181"/>
        <v>384595.77</v>
      </c>
      <c r="AM474" s="29">
        <f t="shared" si="182"/>
        <v>0</v>
      </c>
    </row>
    <row r="475" spans="1:39" ht="409.5" x14ac:dyDescent="0.25">
      <c r="A475" s="37">
        <v>472</v>
      </c>
      <c r="B475" s="37">
        <v>127579</v>
      </c>
      <c r="C475" s="37">
        <v>610</v>
      </c>
      <c r="D475" s="40" t="s">
        <v>254</v>
      </c>
      <c r="E475" s="14" t="s">
        <v>1583</v>
      </c>
      <c r="F475" s="171" t="s">
        <v>1799</v>
      </c>
      <c r="G475" s="20" t="s">
        <v>1796</v>
      </c>
      <c r="H475" s="15" t="s">
        <v>1800</v>
      </c>
      <c r="I475" s="43" t="s">
        <v>1801</v>
      </c>
      <c r="J475" s="30">
        <v>43817</v>
      </c>
      <c r="K475" s="30">
        <v>44730</v>
      </c>
      <c r="L475" s="31">
        <f t="shared" si="167"/>
        <v>83.983862449652818</v>
      </c>
      <c r="M475" s="20" t="s">
        <v>1772</v>
      </c>
      <c r="N475" s="20" t="s">
        <v>228</v>
      </c>
      <c r="O475" s="20" t="s">
        <v>229</v>
      </c>
      <c r="P475" s="32" t="s">
        <v>260</v>
      </c>
      <c r="Q475" s="20" t="s">
        <v>1773</v>
      </c>
      <c r="R475" s="33">
        <f t="shared" si="172"/>
        <v>14797731.890000001</v>
      </c>
      <c r="S475" s="2">
        <v>11933081.6</v>
      </c>
      <c r="T475" s="2">
        <v>2864650.29</v>
      </c>
      <c r="U475" s="33">
        <f t="shared" si="173"/>
        <v>488856.33</v>
      </c>
      <c r="V475" s="2">
        <v>361268.94</v>
      </c>
      <c r="W475" s="2">
        <v>127587.39</v>
      </c>
      <c r="X475" s="33">
        <f t="shared" si="174"/>
        <v>2333144.2599999998</v>
      </c>
      <c r="Y475" s="2">
        <v>1744568.95</v>
      </c>
      <c r="Z475" s="2">
        <v>588575.31000000006</v>
      </c>
      <c r="AA475" s="2">
        <f>AB475+AC475</f>
        <v>0</v>
      </c>
      <c r="AB475" s="2">
        <v>0</v>
      </c>
      <c r="AC475" s="2">
        <v>0</v>
      </c>
      <c r="AD475" s="2">
        <f t="shared" si="176"/>
        <v>17619732.48</v>
      </c>
      <c r="AE475" s="2">
        <v>0</v>
      </c>
      <c r="AF475" s="2">
        <f t="shared" si="177"/>
        <v>17619732.48</v>
      </c>
      <c r="AG475" s="39" t="s">
        <v>69</v>
      </c>
      <c r="AH475" s="34"/>
      <c r="AI475" s="35">
        <v>0</v>
      </c>
      <c r="AJ475" s="36">
        <v>0</v>
      </c>
      <c r="AK475" s="28">
        <f t="shared" si="180"/>
        <v>14797731.890000001</v>
      </c>
      <c r="AL475" s="28">
        <f t="shared" si="181"/>
        <v>488856.33</v>
      </c>
      <c r="AM475" s="29">
        <f t="shared" si="182"/>
        <v>0</v>
      </c>
    </row>
    <row r="476" spans="1:39" ht="267.75" x14ac:dyDescent="0.25">
      <c r="A476" s="37">
        <v>473</v>
      </c>
      <c r="B476" s="37">
        <v>129170</v>
      </c>
      <c r="C476" s="37">
        <v>724</v>
      </c>
      <c r="D476" s="40" t="s">
        <v>254</v>
      </c>
      <c r="E476" s="14" t="s">
        <v>1619</v>
      </c>
      <c r="F476" s="171" t="s">
        <v>1802</v>
      </c>
      <c r="G476" s="20" t="s">
        <v>1632</v>
      </c>
      <c r="H476" s="15" t="s">
        <v>1803</v>
      </c>
      <c r="I476" s="43" t="s">
        <v>1804</v>
      </c>
      <c r="J476" s="30">
        <v>43819</v>
      </c>
      <c r="K476" s="30">
        <v>44732</v>
      </c>
      <c r="L476" s="31">
        <f t="shared" si="167"/>
        <v>83.983863218572864</v>
      </c>
      <c r="M476" s="20" t="s">
        <v>1772</v>
      </c>
      <c r="N476" s="20" t="s">
        <v>228</v>
      </c>
      <c r="O476" s="20" t="s">
        <v>229</v>
      </c>
      <c r="P476" s="32" t="s">
        <v>260</v>
      </c>
      <c r="Q476" s="20" t="s">
        <v>1773</v>
      </c>
      <c r="R476" s="33">
        <f t="shared" si="172"/>
        <v>19868936.969999999</v>
      </c>
      <c r="S476" s="2">
        <v>16022566.539999999</v>
      </c>
      <c r="T476" s="2">
        <v>3846370.43</v>
      </c>
      <c r="U476" s="33">
        <f t="shared" si="173"/>
        <v>1348294.18</v>
      </c>
      <c r="V476" s="2">
        <v>996400.74</v>
      </c>
      <c r="W476" s="2">
        <v>351893.44</v>
      </c>
      <c r="X476" s="33">
        <f t="shared" si="174"/>
        <v>2440810.06</v>
      </c>
      <c r="Y476" s="2">
        <v>1831110.97</v>
      </c>
      <c r="Z476" s="2">
        <v>609699.09</v>
      </c>
      <c r="AA476" s="2">
        <f>AB476+AC476</f>
        <v>0</v>
      </c>
      <c r="AB476" s="2">
        <v>0</v>
      </c>
      <c r="AC476" s="2">
        <v>0</v>
      </c>
      <c r="AD476" s="2">
        <f t="shared" si="176"/>
        <v>23658041.209999997</v>
      </c>
      <c r="AE476" s="2">
        <v>0</v>
      </c>
      <c r="AF476" s="2">
        <f t="shared" si="177"/>
        <v>23658041.209999997</v>
      </c>
      <c r="AG476" s="39" t="s">
        <v>69</v>
      </c>
      <c r="AH476" s="34"/>
      <c r="AI476" s="35">
        <v>0</v>
      </c>
      <c r="AJ476" s="36">
        <v>0</v>
      </c>
      <c r="AK476" s="28">
        <f t="shared" si="180"/>
        <v>19868936.969999999</v>
      </c>
      <c r="AL476" s="28">
        <f t="shared" si="181"/>
        <v>1348294.18</v>
      </c>
      <c r="AM476" s="29">
        <f t="shared" si="182"/>
        <v>0</v>
      </c>
    </row>
    <row r="477" spans="1:39" ht="267.75" x14ac:dyDescent="0.25">
      <c r="A477" s="37">
        <v>474</v>
      </c>
      <c r="B477" s="37">
        <v>127548</v>
      </c>
      <c r="C477" s="37">
        <v>591</v>
      </c>
      <c r="D477" s="40" t="s">
        <v>254</v>
      </c>
      <c r="E477" s="14" t="s">
        <v>1583</v>
      </c>
      <c r="F477" s="171" t="s">
        <v>1805</v>
      </c>
      <c r="G477" s="20" t="s">
        <v>1806</v>
      </c>
      <c r="H477" s="20" t="s">
        <v>173</v>
      </c>
      <c r="I477" s="43" t="s">
        <v>1807</v>
      </c>
      <c r="J477" s="30">
        <v>43822</v>
      </c>
      <c r="K477" s="30">
        <v>44918</v>
      </c>
      <c r="L477" s="31">
        <f t="shared" si="167"/>
        <v>83.983862716414038</v>
      </c>
      <c r="M477" s="20" t="s">
        <v>1772</v>
      </c>
      <c r="N477" s="20" t="s">
        <v>228</v>
      </c>
      <c r="O477" s="20" t="s">
        <v>229</v>
      </c>
      <c r="P477" s="32" t="s">
        <v>260</v>
      </c>
      <c r="Q477" s="20" t="s">
        <v>1773</v>
      </c>
      <c r="R477" s="33">
        <f t="shared" si="172"/>
        <v>14578975.969999999</v>
      </c>
      <c r="S477" s="2">
        <v>11756673.939999999</v>
      </c>
      <c r="T477" s="2">
        <v>2822302.03</v>
      </c>
      <c r="U477" s="33">
        <f t="shared" si="173"/>
        <v>0</v>
      </c>
      <c r="V477" s="2">
        <v>0</v>
      </c>
      <c r="W477" s="2">
        <v>0</v>
      </c>
      <c r="X477" s="33">
        <f t="shared" si="174"/>
        <v>2780282.7</v>
      </c>
      <c r="Y477" s="2">
        <v>2074707.17</v>
      </c>
      <c r="Z477" s="2">
        <v>705575.53</v>
      </c>
      <c r="AA477" s="2">
        <f>AB477+AC477</f>
        <v>0</v>
      </c>
      <c r="AB477" s="2">
        <v>0</v>
      </c>
      <c r="AC477" s="2">
        <v>0</v>
      </c>
      <c r="AD477" s="2">
        <f t="shared" si="176"/>
        <v>17359258.669999998</v>
      </c>
      <c r="AE477" s="2">
        <v>0</v>
      </c>
      <c r="AF477" s="2">
        <f t="shared" si="177"/>
        <v>17359258.669999998</v>
      </c>
      <c r="AG477" s="39" t="s">
        <v>69</v>
      </c>
      <c r="AH477" s="34"/>
      <c r="AI477" s="35">
        <v>0</v>
      </c>
      <c r="AJ477" s="36">
        <v>0</v>
      </c>
      <c r="AK477" s="28">
        <f t="shared" si="180"/>
        <v>14578975.969999999</v>
      </c>
      <c r="AL477" s="28">
        <f t="shared" si="181"/>
        <v>0</v>
      </c>
      <c r="AM477" s="29">
        <f t="shared" si="182"/>
        <v>0</v>
      </c>
    </row>
    <row r="478" spans="1:39" ht="346.5" x14ac:dyDescent="0.25">
      <c r="A478" s="37">
        <v>475</v>
      </c>
      <c r="B478" s="37">
        <v>130709</v>
      </c>
      <c r="C478" s="37">
        <v>753</v>
      </c>
      <c r="D478" s="40" t="s">
        <v>840</v>
      </c>
      <c r="E478" s="14" t="s">
        <v>1808</v>
      </c>
      <c r="F478" s="40" t="s">
        <v>1809</v>
      </c>
      <c r="G478" s="20" t="s">
        <v>1810</v>
      </c>
      <c r="H478" s="20" t="s">
        <v>1811</v>
      </c>
      <c r="I478" s="15" t="s">
        <v>1812</v>
      </c>
      <c r="J478" s="30">
        <v>43783</v>
      </c>
      <c r="K478" s="30">
        <v>44879</v>
      </c>
      <c r="L478" s="31">
        <f t="shared" si="167"/>
        <v>83.983862922190696</v>
      </c>
      <c r="M478" s="20" t="s">
        <v>1772</v>
      </c>
      <c r="N478" s="20" t="s">
        <v>228</v>
      </c>
      <c r="O478" s="20" t="s">
        <v>229</v>
      </c>
      <c r="P478" s="32" t="s">
        <v>260</v>
      </c>
      <c r="Q478" s="20" t="s">
        <v>1773</v>
      </c>
      <c r="R478" s="33">
        <f t="shared" si="172"/>
        <v>41943831.82</v>
      </c>
      <c r="S478" s="2">
        <v>33824045.990000002</v>
      </c>
      <c r="T478" s="2">
        <v>8119785.8299999982</v>
      </c>
      <c r="U478" s="33">
        <f t="shared" si="173"/>
        <v>0</v>
      </c>
      <c r="V478" s="2">
        <v>0</v>
      </c>
      <c r="W478" s="2">
        <v>0</v>
      </c>
      <c r="X478" s="33">
        <f t="shared" si="174"/>
        <v>7998895.6999999993</v>
      </c>
      <c r="Y478" s="2">
        <v>5968949.2599999998</v>
      </c>
      <c r="Z478" s="2">
        <v>2029946.44</v>
      </c>
      <c r="AA478" s="2">
        <v>0</v>
      </c>
      <c r="AB478" s="2">
        <v>0</v>
      </c>
      <c r="AC478" s="2">
        <v>0</v>
      </c>
      <c r="AD478" s="2">
        <f t="shared" si="176"/>
        <v>49942727.519999996</v>
      </c>
      <c r="AE478" s="2">
        <v>50507.95</v>
      </c>
      <c r="AF478" s="2">
        <f t="shared" si="177"/>
        <v>49993235.469999999</v>
      </c>
      <c r="AG478" s="39" t="s">
        <v>69</v>
      </c>
      <c r="AH478" s="34"/>
      <c r="AI478" s="35">
        <f>564656.74</f>
        <v>564656.74</v>
      </c>
      <c r="AJ478" s="36">
        <v>0</v>
      </c>
      <c r="AK478" s="28">
        <f t="shared" si="180"/>
        <v>41379175.079999998</v>
      </c>
      <c r="AL478" s="28">
        <f t="shared" si="181"/>
        <v>0</v>
      </c>
      <c r="AM478" s="29">
        <f t="shared" si="182"/>
        <v>1.3462211617269449E-2</v>
      </c>
    </row>
    <row r="479" spans="1:39" ht="315" x14ac:dyDescent="0.25">
      <c r="A479" s="37">
        <v>476</v>
      </c>
      <c r="B479" s="37">
        <v>130048</v>
      </c>
      <c r="C479" s="37">
        <v>729</v>
      </c>
      <c r="D479" s="40" t="s">
        <v>1813</v>
      </c>
      <c r="E479" s="14" t="s">
        <v>1619</v>
      </c>
      <c r="F479" s="171" t="s">
        <v>1814</v>
      </c>
      <c r="G479" s="20" t="s">
        <v>1815</v>
      </c>
      <c r="H479" s="20"/>
      <c r="I479" s="43" t="s">
        <v>1816</v>
      </c>
      <c r="J479" s="30">
        <v>43858</v>
      </c>
      <c r="K479" s="30">
        <v>44954</v>
      </c>
      <c r="L479" s="31">
        <f t="shared" si="167"/>
        <v>83.983862842436835</v>
      </c>
      <c r="M479" s="20" t="s">
        <v>1772</v>
      </c>
      <c r="N479" s="20" t="s">
        <v>228</v>
      </c>
      <c r="O479" s="20" t="s">
        <v>229</v>
      </c>
      <c r="P479" s="32" t="s">
        <v>260</v>
      </c>
      <c r="Q479" s="20" t="s">
        <v>1773</v>
      </c>
      <c r="R479" s="33">
        <f t="shared" si="172"/>
        <v>85646819.920000002</v>
      </c>
      <c r="S479" s="2">
        <v>69066698.280000001</v>
      </c>
      <c r="T479" s="2">
        <v>16580121.640000001</v>
      </c>
      <c r="U479" s="33">
        <f t="shared" si="173"/>
        <v>0</v>
      </c>
      <c r="V479" s="2">
        <v>0</v>
      </c>
      <c r="W479" s="2">
        <v>0</v>
      </c>
      <c r="X479" s="33">
        <f t="shared" si="174"/>
        <v>16333271.279999999</v>
      </c>
      <c r="Y479" s="2">
        <v>12188240.859999999</v>
      </c>
      <c r="Z479" s="2">
        <v>4145030.42</v>
      </c>
      <c r="AA479" s="2">
        <f t="shared" ref="AA479:AA481" si="183">AB479+AC479</f>
        <v>0</v>
      </c>
      <c r="AB479" s="2">
        <v>0</v>
      </c>
      <c r="AC479" s="2">
        <v>0</v>
      </c>
      <c r="AD479" s="2">
        <f t="shared" si="176"/>
        <v>101980091.2</v>
      </c>
      <c r="AE479" s="2">
        <v>0</v>
      </c>
      <c r="AF479" s="2">
        <f t="shared" si="177"/>
        <v>101980091.2</v>
      </c>
      <c r="AG479" s="39" t="s">
        <v>69</v>
      </c>
      <c r="AH479" s="34" t="s">
        <v>35</v>
      </c>
      <c r="AI479" s="35">
        <v>0</v>
      </c>
      <c r="AJ479" s="36">
        <v>0</v>
      </c>
      <c r="AK479" s="28">
        <f t="shared" si="180"/>
        <v>85646819.920000002</v>
      </c>
      <c r="AL479" s="28">
        <f t="shared" si="181"/>
        <v>0</v>
      </c>
      <c r="AM479" s="29">
        <f>AI479/R479</f>
        <v>0</v>
      </c>
    </row>
    <row r="480" spans="1:39" ht="409.5" x14ac:dyDescent="0.25">
      <c r="A480" s="37">
        <v>477</v>
      </c>
      <c r="B480" s="37">
        <v>127559</v>
      </c>
      <c r="C480" s="37">
        <v>601</v>
      </c>
      <c r="D480" s="40" t="s">
        <v>254</v>
      </c>
      <c r="E480" s="14" t="s">
        <v>1583</v>
      </c>
      <c r="F480" s="171" t="s">
        <v>1817</v>
      </c>
      <c r="G480" s="20" t="s">
        <v>1796</v>
      </c>
      <c r="H480" s="20" t="s">
        <v>1670</v>
      </c>
      <c r="I480" s="43" t="s">
        <v>1818</v>
      </c>
      <c r="J480" s="30">
        <v>43867</v>
      </c>
      <c r="K480" s="30">
        <v>44598</v>
      </c>
      <c r="L480" s="31">
        <f t="shared" si="167"/>
        <v>83.983863045863743</v>
      </c>
      <c r="M480" s="20" t="s">
        <v>1772</v>
      </c>
      <c r="N480" s="20" t="s">
        <v>228</v>
      </c>
      <c r="O480" s="20" t="s">
        <v>229</v>
      </c>
      <c r="P480" s="32" t="s">
        <v>260</v>
      </c>
      <c r="Q480" s="20" t="s">
        <v>1773</v>
      </c>
      <c r="R480" s="33">
        <f t="shared" si="172"/>
        <v>9288170.129999999</v>
      </c>
      <c r="S480" s="2">
        <v>7490100.0199999996</v>
      </c>
      <c r="T480" s="2">
        <v>1798070.11</v>
      </c>
      <c r="U480" s="33">
        <f t="shared" si="173"/>
        <v>735571.09</v>
      </c>
      <c r="V480" s="2">
        <v>543593.19999999995</v>
      </c>
      <c r="W480" s="2">
        <v>191977.89</v>
      </c>
      <c r="X480" s="33">
        <f t="shared" si="174"/>
        <v>1035728.77</v>
      </c>
      <c r="Y480" s="2">
        <v>778189.08</v>
      </c>
      <c r="Z480" s="2">
        <v>257539.69</v>
      </c>
      <c r="AA480" s="2">
        <f t="shared" si="183"/>
        <v>0</v>
      </c>
      <c r="AB480" s="2">
        <v>0</v>
      </c>
      <c r="AC480" s="2">
        <v>0</v>
      </c>
      <c r="AD480" s="2">
        <f t="shared" si="176"/>
        <v>11059469.989999998</v>
      </c>
      <c r="AE480" s="2">
        <v>0</v>
      </c>
      <c r="AF480" s="2">
        <f t="shared" si="177"/>
        <v>11059469.989999998</v>
      </c>
      <c r="AG480" s="39" t="s">
        <v>69</v>
      </c>
      <c r="AH480" s="34"/>
      <c r="AI480" s="35">
        <v>0</v>
      </c>
      <c r="AJ480" s="36">
        <v>0</v>
      </c>
      <c r="AK480" s="28">
        <f t="shared" si="180"/>
        <v>9288170.129999999</v>
      </c>
      <c r="AL480" s="28">
        <f t="shared" si="181"/>
        <v>735571.09</v>
      </c>
      <c r="AM480" s="29">
        <f t="shared" si="182"/>
        <v>0</v>
      </c>
    </row>
    <row r="481" spans="1:39" ht="267.75" x14ac:dyDescent="0.25">
      <c r="A481" s="37">
        <v>478</v>
      </c>
      <c r="B481" s="37">
        <v>129439</v>
      </c>
      <c r="C481" s="37">
        <v>733</v>
      </c>
      <c r="D481" s="40" t="s">
        <v>1813</v>
      </c>
      <c r="E481" s="14" t="s">
        <v>1619</v>
      </c>
      <c r="F481" s="171" t="s">
        <v>1819</v>
      </c>
      <c r="G481" s="20" t="s">
        <v>1820</v>
      </c>
      <c r="H481" s="20" t="s">
        <v>1821</v>
      </c>
      <c r="I481" s="43" t="s">
        <v>1822</v>
      </c>
      <c r="J481" s="30">
        <v>43892</v>
      </c>
      <c r="K481" s="30">
        <v>44987</v>
      </c>
      <c r="L481" s="31">
        <f t="shared" ref="L481" si="184">R481/AD481*100</f>
        <v>83.684692489870656</v>
      </c>
      <c r="M481" s="20" t="s">
        <v>1772</v>
      </c>
      <c r="N481" s="20" t="s">
        <v>228</v>
      </c>
      <c r="O481" s="20" t="s">
        <v>229</v>
      </c>
      <c r="P481" s="32" t="s">
        <v>260</v>
      </c>
      <c r="Q481" s="20" t="s">
        <v>1773</v>
      </c>
      <c r="R481" s="33">
        <f t="shared" si="172"/>
        <v>21087715.459999997</v>
      </c>
      <c r="S481" s="2">
        <v>17005405.329999998</v>
      </c>
      <c r="T481" s="2">
        <v>4082310.13</v>
      </c>
      <c r="U481" s="33">
        <f t="shared" si="173"/>
        <v>704463.35</v>
      </c>
      <c r="V481" s="2">
        <v>525685.84</v>
      </c>
      <c r="W481" s="2">
        <v>178777.51</v>
      </c>
      <c r="X481" s="33">
        <f t="shared" si="174"/>
        <v>3317067.9699999997</v>
      </c>
      <c r="Y481" s="2">
        <v>2475267.92</v>
      </c>
      <c r="Z481" s="2">
        <v>841800.05</v>
      </c>
      <c r="AA481" s="2">
        <f t="shared" si="183"/>
        <v>89764.93</v>
      </c>
      <c r="AB481" s="2">
        <v>71522.179999999993</v>
      </c>
      <c r="AC481" s="2">
        <v>18242.75</v>
      </c>
      <c r="AD481" s="2">
        <f t="shared" si="176"/>
        <v>25199011.709999997</v>
      </c>
      <c r="AE481" s="2">
        <v>0</v>
      </c>
      <c r="AF481" s="2">
        <f t="shared" si="177"/>
        <v>25199011.709999997</v>
      </c>
      <c r="AG481" s="39" t="s">
        <v>69</v>
      </c>
      <c r="AH481" s="34"/>
      <c r="AI481" s="35">
        <v>0</v>
      </c>
      <c r="AJ481" s="36">
        <v>0</v>
      </c>
      <c r="AK481" s="19" t="s">
        <v>1697</v>
      </c>
      <c r="AL481" s="14" t="s">
        <v>1697</v>
      </c>
      <c r="AM481" s="29">
        <f t="shared" si="182"/>
        <v>0</v>
      </c>
    </row>
    <row r="482" spans="1:39" x14ac:dyDescent="0.25">
      <c r="E482" s="14"/>
      <c r="R482" s="9">
        <f>SUM(R4:R481)</f>
        <v>2628343262.5700011</v>
      </c>
      <c r="S482" s="9">
        <f t="shared" ref="S482:AF482" si="185">SUM(S4:S481)</f>
        <v>2177613179.8999996</v>
      </c>
      <c r="T482" s="9">
        <f t="shared" si="185"/>
        <v>450730082.67000002</v>
      </c>
      <c r="U482" s="9">
        <f t="shared" si="185"/>
        <v>110146166.21000002</v>
      </c>
      <c r="V482" s="9">
        <f t="shared" si="185"/>
        <v>89113961.410000011</v>
      </c>
      <c r="W482" s="9">
        <f t="shared" si="185"/>
        <v>21032204.800000023</v>
      </c>
      <c r="X482" s="9">
        <f t="shared" si="185"/>
        <v>386619994.32999992</v>
      </c>
      <c r="Y482" s="9">
        <f t="shared" si="185"/>
        <v>295065012.21231538</v>
      </c>
      <c r="Z482" s="9">
        <f t="shared" si="185"/>
        <v>91554982.117684543</v>
      </c>
      <c r="AA482" s="9">
        <f t="shared" si="185"/>
        <v>3835791.6138636647</v>
      </c>
      <c r="AB482" s="9">
        <f t="shared" si="185"/>
        <v>3116709.231527932</v>
      </c>
      <c r="AC482" s="9">
        <f t="shared" si="185"/>
        <v>719082.38233572943</v>
      </c>
      <c r="AD482" s="9">
        <f t="shared" si="185"/>
        <v>3128945214.7238655</v>
      </c>
      <c r="AE482" s="9">
        <f t="shared" si="185"/>
        <v>19019175.290000003</v>
      </c>
      <c r="AF482" s="9">
        <f t="shared" si="185"/>
        <v>3144213614.5438643</v>
      </c>
      <c r="AI482" s="9">
        <f>SUM(AI4:AI481)</f>
        <v>657053019.3599999</v>
      </c>
      <c r="AJ482" s="9">
        <f>SUM(AJ4:AJ481)</f>
        <v>28461121.243600015</v>
      </c>
    </row>
  </sheetData>
  <protectedRanges>
    <protectedRange sqref="AH303:AJ303 AE301:AE303 S301:T303 V301:W303 Y302:Z303 AB301:AC303 Y7:Z11 V7:W11 S7:T11 AE7:AE11 B23:C23 S17:T18 V17:W18 Y17:Z18 AB17:AC18 AE17:AE18 C377:C389 W23 Z23 AB23:AC23 F381:K389 B134:C140 AE23 AE377:AE396 AH23 S51:T55 S183:T183 S156 V156 Y156 M95:Q96 AE112:AE116 AH114:AH116 AB125:AC127 H119:K120 S171:T174 AE134 W119:W120 S176:T181 AE78:AE82 O136 M156 AB78:AC82 F80:K82 Y100:Z101 T119:T120 B146:C149 AE118:AE120 B83:B85 F119:F120 V125:W127 T125:T127 S118:T118 V118:W118 Y118:Z118 AH127 S134:T134 V134:W134 Y134:Z134 C152 AB100:AC101 B192:C196 C155 M100:M101 O100:O101 AH156:AH157 AB159:AC160 AE159:AE160 S159:T160 V176:W181 V188:Z189 C182 B153:K154 AE51:AE55 F51:F55 F301:K302 B26:C29 T305 E303:K303 E305:K305 V305:W317 S306:T317 AE305:AE317 F306:K307 Y305:Z314 V27:W29 AB34:AC36 Y27:Z29 AB27:AC29 D317:K317 D310:K310 E311:K316 F318:K318 S318:AF318 AB320:AC322 Y176:Z181 AB172:AC174 W78 E329 Y326:Z328 V319:W328 S319:T328 AE319:AE328 C207 AB324:AC328 E326:K328 AH320:AJ321 M162 B17:C18 D330:K333 M330:O334 E334:K337 C203 AH332:AJ332 M335:M337 C191 B122:B124 M125:M127 D338:K341 Q342 E342:K343 E45:F45 Q330:Q339 R69:T69 W69 F155:K155 AE156:AE157 AB156:AC157 E134:K134 R23:T23 M307:O328 Q310:Q328 F171 E23:K23 E345:K359 H360:K360 AH344:AJ344 AB77:AF77 B34:C36 W191:Z191 K191:K196 E191:I195 I34:K36 M23:P23 S152:T154 AE153:AE154 AH152:AH154 B100:C101 F69:K70 AE125:AE127 AH134 E137:K140 E100:G101 E152:K152 M17:M18 AE27:AE29 E12:E13 AE100:AE101 M134:P134 M163:N163 M176:Q176 H162:K163 P162:Q163 C305:C328 Y51:Z55 F6:K8 E17:K18 P17:P18 AH17:AH18 Q345:Q351 N374:O375 V395:W396 AE168 AB395:AC396 E26:K29 F377:K377 G380 F208:K208 F378:G379 Q377:Q396 F118:K118 B94:C94 R77:T78 AB57:AC59 E378:E385 F168:K168 C197:C198 E94:K94 B204:C206 C210 D335:D337 E207:K207 E176:K176 E162:F163 E308:K309 D319:K325 D413 B51:C55 S168:T168 Y168:Z168 E389:E396 F391:K396 M168:O168 R184:T184 E125:K127 Y125:Z127 AH46:AH47 AH94:AH96 AH181:AJ185 AH146:AH150 D156:K156 E197:K197 AH200:AJ213 C301:C303 M69:P69 M40:P40 S27:T29 F77:K78 E57:K58 D368 D390 D344:K344 D360:F360 M94:P94 E203:K205 E398:E400 D79:K79 AE167:AF167 M377:O396 Y377:Z396 AB377:AC377 S377:T396 V377:W393 H378:K380 AB209:AC212 H177:K177 E177:F177 E222:K223 D71:K71 E72:K72 AB51:AC55 AB118:AC120 AB112:AC114 M112:M114 P114 O125:P127 Z119:Z120 Y112:Z116 S112:T116 M118:M120 S146:T149 AB146:AC149 AE146:AE149 AH172 AE172:AE174 I183:K183 E135:F136 H135:K136 S135 V135 Y135 M135:N136 D183:F183 B162:C166 E172:G172 I171:K174 Q171 C188:C189 AE188:AE189 AB188:AC189 E188:K189 AB7:AC11 V70:W72 AB72:AC72 AB218:AC218 AH307 AH309 AH311:AH315 AH318:AH319 AH325:AJ325 AH322:AH324 AH326:AH328 AH330:AH331 AH334:AJ334 AH333 AH336:AJ337 AH335 AH338:AH343 AH347:AJ347 AH345:AH346 AH353:AJ353 AH348:AH352 AH354:AH358 AH362:AH363 AH383:AH384 AI381:AJ384 N24:N25 P24:P25 N183 AH7:AH11 M42:P42 AB45:AC47 D46:F47 D178:K178 I45:K47 AH169 V182:Z182 Y45:Z47 AE45:AE47 S45:T47 F182:K182 E402:E411 AB223:AC226 AE222:AE226 M159:Q160 E225:K226 M108:P108 AE229:AE230 AH159:AH160 B229:C230 E159:K160 AE57:AE72 AB192:AC198 AE191:AE198 F229:G230 R229:T230 V229:Z230 AB229:AC230 I229:K230 AE169:AF169 B200:K202 D206:K206 Y171:Z174 AB98:AC98 M98:Q98 B95:K96 S100:T101 I100:K101 AB162:AC165 S162:T166 AE162:AE166 E52:E55 H51:K55 O51:O55 H84:H85 B103:C110 E209:K213 V103:W109 AE103:AE110 AB103:AC105 Y103:Z110 S103:T110 B40:C42 AH106:AH110 E103:K108 F109:K110 M79:T82 E147:E149 F146:K149 B183:C184 M109:Q110 S137:T140 Y137:Z140 AB137:AC138 V137:W140 E43 H43 M41:Q41 E40:K42 AE40:AE42 AH40:AH42 AB151:AC154 S151 H151 E151 S40:T43 Y40:Z43 AB40:AC43 W110 S200:T213 V200:W213 Y200:Z213 AE200:AE213 AB200:AC203 M200:M202 O200:P202 B176:C181 Y14:Z14 S14:T14 AB14:AC14 AH14:AH15 E14:K14 M137:O140 B62:B68 F59:K61 S57:T68 E91:E92 O146:O149 M146:M149 AH57:AH72 E164:K166 M164:Q166 M152:P154 E414:E426 V94:W98 F97:K97 M97:O97 AB94:AC96 AE94:AE98 S94:T98 C185 E184:K185 C332:C375 Q185 S185:T185 V183:W185 AE176:AE185 Y183:Z185 AB176:AC185 M185:O185 M338:O373 AB330:AC335 Y331:Z375 AE330:AE375 V330:W375 S330:T375 Q355:Q373 E361:K375 AH222:AJ226 V222:Z226 V151:W154 AH230:AJ230 D198:K198 AB306:AC309 AH162:AH167 B167:K167 Y162:Z166 AB31:AC32 I31:K32 E31:G31 M31:M32 E112:K116 M115:P116 H190 M184:P184 M26:P29 M77:P78 M203:Q203 M204:P204 M169:T169 M70:T72 M188:T189 M182:T182 M229:O230 AH197:AJ198 M197:T198 M167:T167 V100:W101 AB131:AC132 AH129:AH132 E131:E132 G75 M106:Q107 P20 G20 E34:G36 M34:P36 AE14 E179:K181 B208:C209 V45:W47 V112:W116 V159:W160 V14:W14 AH316:AJ317 V40:W43 V51:W55 V57:W68 V77:W77 B77:C82 V146:W149 V171:W174 Y57:Z70 Y71:AC71 Y72:Z72 Y159:Z160 Y94:Z98 Y146:Z149 Y151:Z154 Y167:AC167 Y169:AC169 AI229:AJ229 B69:C72 B125:C127 E218:E221 AH176:AH180 B159:C160 AH308:AJ308 AH359:AJ361 Y77:Z82 B222:C226 B6:C11 C391:C396 AH310:AJ310 B171:C174 E443:E454 AB140:AC140 AB205:AC207 AB311:AC316 AB337:AC358 AB360:AC360 AB362:AC375 AB380:AC389 AB391:AC393 AB61:AC62 AB64:AC70 AB107:AC110 AB116:AC116 E38:E39 AH188:AJ189 B45:C47 AH377:AJ380 V79:W82 B211:C213 M205:Q213 B98:K98 AH98 B57:C61 B112:C116 B118:C120 C168 B14:C14 AH77:AH82 V162:W169 C97 D157:I157 B156:C157 E173:F174 E428:E441 AH364:AJ375 AH385:AJ397 B31:C32 E9:K11 E457:E481 H62:K68 M57:Q68 B169:K169 AI305:AJ305 G150 F196:I196 M191:P196 R191:T196 V192:Z198 F32:G32 O31:P32 F224:K224 M222:T226" name="maria" securityDescriptor="O:WDG:WDD:(A;;CC;;;S-1-5-21-3048853270-2157241324-869001692-3245)(A;;CC;;;S-1-5-21-3048853270-2157241324-869001692-1007)"/>
    <protectedRange sqref="R4:AH4 AA5:AA11 R12:T13 AA14 AB5:AC5 AH44 AH173:AH174 AE12:AE13 AH12:AH13 V12:W13 Y12:AC13 AG5:AG481" name="maria_1_1_1" securityDescriptor="O:WDG:WDD:(A;;CC;;;S-1-5-21-3048853270-2157241324-869001692-3245)(A;;CC;;;S-1-5-21-3048853270-2157241324-869001692-1007)"/>
    <protectedRange sqref="AE5:AE6 S5:T6 V5:W6 Y5:Z6 AB6:AC6 E168 AH168 E5:K5 AH381:AH382 M14:O14 M5:O11 AH6 AH5:AJ5 B5:C5 AI6:AJ180" name="maria_3" securityDescriptor="O:WDG:WDD:(A;;CC;;;S-1-5-21-3048853270-2157241324-869001692-3245)(A;;CC;;;S-1-5-21-3048853270-2157241324-869001692-1007)"/>
    <protectedRange sqref="P5:Q6 Q168 Q50 Q94 Q123:Q124 Q204 Q295 Q352:Q354 Q375 P7:P11 Q192:Q196 P14" name="maria_1_3" securityDescriptor="O:WDG:WDD:(A;;CC;;;S-1-5-21-3048853270-2157241324-869001692-3245)(A;;CC;;;S-1-5-21-3048853270-2157241324-869001692-1007)"/>
    <protectedRange sqref="R5:R11 R14 AD5:AD14 AF5:AF14 U5:U14 X5:X14 X16:X75 AD16:AD36 AF16:AF36 U16:U75 X77:X149 U77:U149 U151:U181 X151:X181" name="maria_1_1_2" securityDescriptor="O:WDG:WDD:(A;;CC;;;S-1-5-21-3048853270-2157241324-869001692-3245)(A;;CC;;;S-1-5-21-3048853270-2157241324-869001692-1007)"/>
    <protectedRange sqref="AE16 S16:T16 V16:W16 Y16:AA16 E19:K19 AA17:AA18 M16:O16 B19:C19 N17:O18 E6 E16:K16 AE19 S19:T19 V19:W19 Y19:AA19 M19:O20 B16:C16" name="maria_4" securityDescriptor="O:WDG:WDD:(A;;CC;;;S-1-5-21-3048853270-2157241324-869001692-3245)(A;;CC;;;S-1-5-21-3048853270-2157241324-869001692-1007)"/>
    <protectedRange sqref="P16:Q16 Q17:Q18 P19:Q19 Q7:Q11 Q23:Q29 Q14 Q31:Q32 Q20 Q34:Q36" name="maria_1_4" securityDescriptor="O:WDG:WDD:(A;;CC;;;S-1-5-21-3048853270-2157241324-869001692-3245)(A;;CC;;;S-1-5-21-3048853270-2157241324-869001692-1007)"/>
    <protectedRange sqref="AH16 R16:R19 AH19" name="maria_1_1_3" securityDescriptor="O:WDG:WDD:(A;;CC;;;S-1-5-21-3048853270-2157241324-869001692-3245)(A;;CC;;;S-1-5-21-3048853270-2157241324-869001692-1007)"/>
    <protectedRange sqref="E21 T22 D18 D7:E8 D58:D59 D77:D78 D94 D104 D191 D197 D205 D208:E208 D177 D222:D223 D72 D225:D226 D159:D160 M22:O22 AB22:AC22 Y22:Z22 V22:W22 B21 AE22 D125:D127 D184 D189 D27:D29 D211:D213 D100:D101 D118:D120 D193:D195 D130 D51:D55 D209 D146:D147 D217:D220 D106:D110 D41 D151 D149 B22:K22 D134:D140 D179:D182 D163:D166 D31 D112:D116 AE73:AE75 S73:T75 V73:W75 Y73:Z75 AB74:AC75 AH73:AH76 E73:K74 M73:O75 E75:F75 H75:K75 D35:D36 D171:D174 D61:D70 B73:C75" name="maria_5" securityDescriptor="O:WDG:WDD:(A;;CC;;;S-1-5-21-3048853270-2157241324-869001692-3245)(A;;CC;;;S-1-5-21-3048853270-2157241324-869001692-1007)"/>
    <protectedRange sqref="P22:Q22 P73:Q75 AD73:AD75" name="maria_1_5" securityDescriptor="O:WDG:WDD:(A;;CC;;;S-1-5-21-3048853270-2157241324-869001692-3245)(A;;CC;;;S-1-5-21-3048853270-2157241324-869001692-1007)"/>
    <protectedRange sqref="AA31:AA32 F21:G21 AA22:AA23 R22:S22 AA34:AA36 V23 Y23 AH21 I21:K21 AA27:AA29 R27:R29 S34:S36 V34:V36 Y34:Y36 S31:S32 V31:V32 Y31:Y32 M21:T21 R73:R75 AA73:AA75 AF73:AF75 AE21 V21:W21 Y21:AA21 C21" name="maria_1_1_4" securityDescriptor="O:WDG:WDD:(A;;CC;;;S-1-5-21-3048853270-2157241324-869001692-3245)(A;;CC;;;S-1-5-21-3048853270-2157241324-869001692-1007)"/>
    <protectedRange sqref="B33:C33 H34:H36 H183 H45:H47 H31:H32 E33:K33 E37:K37 M33:O33 F38:K39 M37:O39 B37:C39" name="maria_6" securityDescriptor="O:WDG:WDD:(A;;CC;;;S-1-5-21-3048853270-2157241324-869001692-3245)(A;;CC;;;S-1-5-21-3048853270-2157241324-869001692-1007)"/>
    <protectedRange sqref="P33:Q33 Q40 Q42 P37:Q39" name="maria_1_6" securityDescriptor="O:WDG:WDD:(A;;CC;;;S-1-5-21-3048853270-2157241324-869001692-3245)(A;;CC;;;S-1-5-21-3048853270-2157241324-869001692-1007)"/>
    <protectedRange sqref="Z34:Z36 R26:T26 R33:T33 AH22 AH33:AH39 AH26:AH29 AA41:AA43 AD41:AD43 R41:R43 AF41:AF43 W34:W36 T34:T36 R34:R36 Z31:Z32 W31:W32 T31:T32 AE26 AE31:AE36 V26:W26 V33:W33 V37:W39 Y26:AC26 Y33:AA33 Y39:AF39 R37:T39 Y37:AA38 AD37:AF38 R31:R32" name="maria_1_1_5" securityDescriptor="O:WDG:WDD:(A;;CC;;;S-1-5-21-3048853270-2157241324-869001692-3245)(A;;CC;;;S-1-5-21-3048853270-2157241324-869001692-1007)"/>
    <protectedRange sqref="M48:O48 E48:K48 N49:N55 B48:C48" name="maria_8" securityDescriptor="O:WDG:WDD:(A;;CC;;;S-1-5-21-3048853270-2157241324-869001692-3245)(A;;CC;;;S-1-5-21-3048853270-2157241324-869001692-1007)"/>
    <protectedRange sqref="P48:Q48" name="maria_1_8" securityDescriptor="O:WDG:WDD:(A;;CC;;;S-1-5-21-3048853270-2157241324-869001692-3245)(A;;CC;;;S-1-5-21-3048853270-2157241324-869001692-1007)"/>
    <protectedRange sqref="R48:T48 V48:W48 AB48:AF48 AH48 AF168 AF377:AF396 AF229:AF230 AF443:AF481 AF398:AF412 AF133:AF140 AF144:AF149 AF170:AF182 AF415:AF426 AF319:AF375 AF49:AF72 AF184:AF189 AF234:AF317 AF151:AF166 Y48:Z48 AF78:AF128 AF428:AF441 AF191:AF226" name="maria_1_1_7" securityDescriptor="O:WDG:WDD:(A;;CC;;;S-1-5-21-3048853270-2157241324-869001692-3245)(A;;CC;;;S-1-5-21-3048853270-2157241324-869001692-1007)"/>
    <protectedRange sqref="AE49:AE50 S49:T50 V49:W50 Y49:Z50 AB49:AC50 O49:O50 E49:K50 AH49:AH55 G51:G55 M49:M55 B49:C50" name="maria_9" securityDescriptor="O:WDG:WDD:(A;;CC;;;S-1-5-21-3048853270-2157241324-869001692-3245)(A;;CC;;;S-1-5-21-3048853270-2157241324-869001692-1007)"/>
    <protectedRange sqref="P49:Q49 P50:P55" name="maria_1_9" securityDescriptor="O:WDG:WDD:(A;;CC;;;S-1-5-21-3048853270-2157241324-869001692-3245)(A;;CC;;;S-1-5-21-3048853270-2157241324-869001692-1007)"/>
    <protectedRange sqref="AD71:AD72 R49:R55 AD49:AD55" name="maria_1_1_8" securityDescriptor="O:WDG:WDD:(A;;CC;;;S-1-5-21-3048853270-2157241324-869001692-3245)(A;;CC;;;S-1-5-21-3048853270-2157241324-869001692-1007)"/>
    <protectedRange sqref="AH56 AE56 S56:T56 V56:W56 Y56:Z56 M56:O56 AB56:AC56 E56:K56 B56:C56" name="maria_10" securityDescriptor="O:WDG:WDD:(A;;CC;;;S-1-5-21-3048853270-2157241324-869001692-3245)(A;;CC;;;S-1-5-21-3048853270-2157241324-869001692-1007)"/>
    <protectedRange sqref="P56:Q56 Q51:Q55" name="maria_1_10" securityDescriptor="O:WDG:WDD:(A;;CC;;;S-1-5-21-3048853270-2157241324-869001692-3245)(A;;CC;;;S-1-5-21-3048853270-2157241324-869001692-1007)"/>
    <protectedRange sqref="AD56:AD70 R56:R68 AD78:AD82" name="maria_1_1_9" securityDescriptor="O:WDG:WDD:(A;;CC;;;S-1-5-21-3048853270-2157241324-869001692-3245)(A;;CC;;;S-1-5-21-3048853270-2157241324-869001692-1007)"/>
    <protectedRange sqref="AH83:AH85 AE83:AE85 S83:T85 V83:W85 Y83:Z85 M83:O85 AB83:AC85 E83:K83 F84:G85 I84:K85 C83:C85" name="maria_11" securityDescriptor="O:WDG:WDD:(A;;CC;;;S-1-5-21-3048853270-2157241324-869001692-3245)(A;;CC;;;S-1-5-21-3048853270-2157241324-869001692-1007)"/>
    <protectedRange sqref="Q69 Q77:Q78 Q118:Q120 P83:Q85" name="maria_1_11" securityDescriptor="O:WDG:WDD:(A;;CC;;;S-1-5-21-3048853270-2157241324-869001692-3245)(A;;CC;;;S-1-5-21-3048853270-2157241324-869001692-1007)"/>
    <protectedRange sqref="R83:R92 AD83:AD92" name="maria_1_1_10" securityDescriptor="O:WDG:WDD:(A;;CC;;;S-1-5-21-3048853270-2157241324-869001692-3245)(A;;CC;;;S-1-5-21-3048853270-2157241324-869001692-1007)"/>
    <protectedRange sqref="M86:Q86 V86:W86 AH86 S86:T86 Y86:Z86 AE86 E86:K86 B86:C86" name="maria_12" securityDescriptor="O:WDG:WDD:(A;;CC;;;S-1-5-21-3048853270-2157241324-869001692-3245)(A;;CC;;;S-1-5-21-3048853270-2157241324-869001692-1007)"/>
    <protectedRange sqref="AH87 AE87 S87:T87 V87:W87 Y87:Z87 M87:O87 E87:K87 B87:C87" name="maria_13" securityDescriptor="O:WDG:WDD:(A;;CC;;;S-1-5-21-3048853270-2157241324-869001692-3245)(A;;CC;;;S-1-5-21-3048853270-2157241324-869001692-1007)"/>
    <protectedRange sqref="P87:Q87" name="maria_1_12" securityDescriptor="O:WDG:WDD:(A;;CC;;;S-1-5-21-3048853270-2157241324-869001692-3245)(A;;CC;;;S-1-5-21-3048853270-2157241324-869001692-1007)"/>
    <protectedRange sqref="S88:T92 V88:W92 Y88:Z92 AB88:AC92 B88:C92 AH88:AH91 E109:E110 E88:K90 F91:K92 M88:O92 AE88:AE92 E84:E85 E80:E82" name="maria_14" securityDescriptor="O:WDG:WDD:(A;;CC;;;S-1-5-21-3048853270-2157241324-869001692-3245)(A;;CC;;;S-1-5-21-3048853270-2157241324-869001692-1007)"/>
    <protectedRange sqref="P88:Q92" name="maria_1_13" securityDescriptor="O:WDG:WDD:(A;;CC;;;S-1-5-21-3048853270-2157241324-869001692-3245)(A;;CC;;;S-1-5-21-3048853270-2157241324-869001692-1007)"/>
    <protectedRange sqref="AE93 S93:T93 V93:W93 Y93:Z93 M93:O93 AB93:AC93 E93:K93 AH92:AH93 B93:C93" name="maria_15" securityDescriptor="O:WDG:WDD:(A;;CC;;;S-1-5-21-3048853270-2157241324-869001692-3245)(A;;CC;;;S-1-5-21-3048853270-2157241324-869001692-1007)"/>
    <protectedRange sqref="P93:Q93" name="maria_1_14" securityDescriptor="O:WDG:WDD:(A;;CC;;;S-1-5-21-3048853270-2157241324-869001692-3245)(A;;CC;;;S-1-5-21-3048853270-2157241324-869001692-1007)"/>
    <protectedRange sqref="AD93:AD96 R93:R96 R98 AD98" name="maria_1_1_13" securityDescriptor="O:WDG:WDD:(A;;CC;;;S-1-5-21-3048853270-2157241324-869001692-3245)(A;;CC;;;S-1-5-21-3048853270-2157241324-869001692-1007)"/>
    <protectedRange sqref="AE99 Y99:Z99 V99:W99 N100:N101 E99:K99 K161 K214 AH99:AH100 H100:H101 M99:T99 P100:R101 B99:C99" name="maria_16" securityDescriptor="O:WDG:WDD:(A;;CC;;;S-1-5-21-3048853270-2157241324-869001692-3245)(A;;CC;;;S-1-5-21-3048853270-2157241324-869001692-1007)"/>
    <protectedRange sqref="AD99:AD101" name="maria_1_15" securityDescriptor="O:WDG:WDD:(A;;CC;;;S-1-5-21-3048853270-2157241324-869001692-3245)(A;;CC;;;S-1-5-21-3048853270-2157241324-869001692-1007)"/>
    <protectedRange sqref="V111:W111 AD111:AE111 N112:R113 AD377:AD396 AH111:AH113 B111:C111 N114:O114 E111:K111 K238 AD398:AD412 AD229:AD230 AD144:AD149 AD97 AD319:AD375 AD184:AD189 AD234:AD317 Q114:R116 M111:T111 AD415:AD441 AD112:AD140 Y111:Z111 AD151:AD182 AD443:AD481 AD191:AD226" name="maria_17" securityDescriptor="O:WDG:WDD:(A;;CC;;;S-1-5-21-3048853270-2157241324-869001692-3245)(A;;CC;;;S-1-5-21-3048853270-2157241324-869001692-1007)"/>
    <protectedRange sqref="M102:O105 E102:K102 B102:C102" name="maria_18" securityDescriptor="O:WDG:WDD:(A;;CC;;;S-1-5-21-3048853270-2157241324-869001692-3245)(A;;CC;;;S-1-5-21-3048853270-2157241324-869001692-1007)"/>
    <protectedRange sqref="P102:Q105" name="maria_1_16" securityDescriptor="O:WDG:WDD:(A;;CC;;;S-1-5-21-3048853270-2157241324-869001692-3245)(A;;CC;;;S-1-5-21-3048853270-2157241324-869001692-1007)"/>
    <protectedRange sqref="R102:T102 V102:W102 AD102:AE102 AH102:AH105 R103:R110 AD103:AD110 Y102:Z102" name="maria_1_1_14" securityDescriptor="O:WDG:WDD:(A;;CC;;;S-1-5-21-3048853270-2157241324-869001692-3245)(A;;CC;;;S-1-5-21-3048853270-2157241324-869001692-1007)"/>
    <protectedRange sqref="AH121 AE121 S121:T121 V121:W121 Y121:Z121 M121:O121 N122:O124 E121:K121 N125:N127 C121" name="maria_19" securityDescriptor="O:WDG:WDD:(A;;CC;;;S-1-5-21-3048853270-2157241324-869001692-3245)(A;;CC;;;S-1-5-21-3048853270-2157241324-869001692-1007)"/>
    <protectedRange sqref="P121:Q121" name="maria_1_17" securityDescriptor="O:WDG:WDD:(A;;CC;;;S-1-5-21-3048853270-2157241324-869001692-3245)(A;;CC;;;S-1-5-21-3048853270-2157241324-869001692-1007)"/>
    <protectedRange sqref="R121:R127 S125:S127" name="maria_1_1_15" securityDescriptor="O:WDG:WDD:(A;;CC;;;S-1-5-21-3048853270-2157241324-869001692-3245)(A;;CC;;;S-1-5-21-3048853270-2157241324-869001692-1007)"/>
    <protectedRange sqref="AE117 S117:T117 V117:W117 Y117:Z117 B121 E117:K117 G119:G120 AH117:AH120 N118:O120 M117:O117 B117:C117" name="maria_20" securityDescriptor="O:WDG:WDD:(A;;CC;;;S-1-5-21-3048853270-2157241324-869001692-3245)(A;;CC;;;S-1-5-21-3048853270-2157241324-869001692-1007)"/>
    <protectedRange sqref="P117:Q117 P118:P120" name="maria_1_18" securityDescriptor="O:WDG:WDD:(A;;CC;;;S-1-5-21-3048853270-2157241324-869001692-3245)(A;;CC;;;S-1-5-21-3048853270-2157241324-869001692-1007)"/>
    <protectedRange sqref="Y119:Y120 S119:S120 R117:R120" name="maria_1_1_16" securityDescriptor="O:WDG:WDD:(A;;CC;;;S-1-5-21-3048853270-2157241324-869001692-3245)(A;;CC;;;S-1-5-21-3048853270-2157241324-869001692-1007)"/>
    <protectedRange sqref="M133:O133 B152 B155 B158 B144:B145 E133:K133 G135:G136 O135 B133:C133" name="maria_21" securityDescriptor="O:WDG:WDD:(A;;CC;;;S-1-5-21-3048853270-2157241324-869001692-3245)(A;;CC;;;S-1-5-21-3048853270-2157241324-869001692-1007)"/>
    <protectedRange sqref="P133:Q133 P135:P140 P131:P132" name="maria_1_19" securityDescriptor="O:WDG:WDD:(A;;CC;;;S-1-5-21-3048853270-2157241324-869001692-3245)(A;;CC;;;S-1-5-21-3048853270-2157241324-869001692-1007)"/>
    <protectedRange sqref="R133:T133 V133:W133 AE133 AH133 W135 R134:R135 T135 Z135 R136:T136 V136:W136 AB136:AC136 AH135:AH140 R137:R140 AE135:AE140 Y133:Z133 Y136:Z136" name="maria_1_1_17" securityDescriptor="O:WDG:WDD:(A;;CC;;;S-1-5-21-3048853270-2157241324-869001692-3245)(A;;CC;;;S-1-5-21-3048853270-2157241324-869001692-1007)"/>
    <protectedRange sqref="M128 O128 E128:K128 B128:C128" name="maria_22" securityDescriptor="O:WDG:WDD:(A;;CC;;;S-1-5-21-3048853270-2157241324-869001692-3245)(A;;CC;;;S-1-5-21-3048853270-2157241324-869001692-1007)"/>
    <protectedRange sqref="P128:Q128" name="maria_1_20" securityDescriptor="O:WDG:WDD:(A;;CC;;;S-1-5-21-3048853270-2157241324-869001692-3245)(A;;CC;;;S-1-5-21-3048853270-2157241324-869001692-1007)"/>
    <protectedRange sqref="R128:T128 V128:W128 AH128 AE128:AE132 R129:R132 Y128:Z128" name="maria_1_1_18" securityDescriptor="O:WDG:WDD:(A;;CC;;;S-1-5-21-3048853270-2157241324-869001692-3245)(A;;CC;;;S-1-5-21-3048853270-2157241324-869001692-1007)"/>
    <protectedRange sqref="AE144:AE145 T144:T145 V144:W145 Y144:Z145 AB145:AC145 E146 M144:O145 E144:K145 AH144:AH145 N146:N149 C144:C145" name="maria_23" securityDescriptor="O:WDG:WDD:(A;;CC;;;S-1-5-21-3048853270-2157241324-869001692-3245)(A;;CC;;;S-1-5-21-3048853270-2157241324-869001692-1007)"/>
    <protectedRange sqref="Q43 Q151 P144:Q149" name="maria_1_21" securityDescriptor="O:WDG:WDD:(A;;CC;;;S-1-5-21-3048853270-2157241324-869001692-3245)(A;;CC;;;S-1-5-21-3048853270-2157241324-869001692-1007)"/>
    <protectedRange sqref="R144:S145 R146:R149 R151:R154 R156:R157" name="maria_1_1_19" securityDescriptor="O:WDG:WDD:(A;;CC;;;S-1-5-21-3048853270-2157241324-869001692-3245)(A;;CC;;;S-1-5-21-3048853270-2157241324-869001692-1007)"/>
    <protectedRange sqref="AH158 AE158 S158:T158 V158:W158 Y158:Z158 M158:O158 AH155 AE155 S155:T155 V155:W155 Y155:Z155 M155:O155 AB155:AC155 AE152 Z156 E155 E158:K158 N156:O156 T156 W156 C158" name="maria_24" securityDescriptor="O:WDG:WDD:(A;;CC;;;S-1-5-21-3048853270-2157241324-869001692-3245)(A;;CC;;;S-1-5-21-3048853270-2157241324-869001692-1007)"/>
    <protectedRange sqref="P158:Q158 P155:Q156 Q152:Q154" name="maria_1_22" securityDescriptor="O:WDG:WDD:(A;;CC;;;S-1-5-21-3048853270-2157241324-869001692-3245)(A;;CC;;;S-1-5-21-3048853270-2157241324-869001692-1007)"/>
    <protectedRange sqref="R155 R158:R160 R164:R166" name="maria_1_1_20" securityDescriptor="O:WDG:WDD:(A;;CC;;;S-1-5-21-3048853270-2157241324-869001692-3245)(A;;CC;;;S-1-5-21-3048853270-2157241324-869001692-1007)"/>
    <protectedRange sqref="S170:T170 V170:W170 Y170:Z170 M170:O174 B175 B182 B191 B197:B199 B203 B210 B207 G171 E171 AE170:AE171 AH170:AH171 E170:K170 E182 B188:B189 H171:H172 G173:H174 B170:C170" name="maria_25" securityDescriptor="O:WDG:WDD:(A;;CC;;;S-1-5-21-3048853270-2157241324-869001692-3245)(A;;CC;;;S-1-5-21-3048853270-2157241324-869001692-1007)"/>
    <protectedRange sqref="P170:Q170 P171:P172 Q172 P173:Q174" name="maria_1_23" securityDescriptor="O:WDG:WDD:(A;;CC;;;S-1-5-21-3048853270-2157241324-869001692-3245)(A;;CC;;;S-1-5-21-3048853270-2157241324-869001692-1007)"/>
    <protectedRange sqref="R170:R174" name="maria_1_1_21" securityDescriptor="O:WDG:WDD:(A;;CC;;;S-1-5-21-3048853270-2157241324-869001692-3245)(A;;CC;;;S-1-5-21-3048853270-2157241324-869001692-1007)"/>
    <protectedRange sqref="AE44 S44:T44 V44:W44 Y44:AA44 AA234:AA242 AA40 E44:K44 G183 M183 AA72 Q44:Q47 G45:G47 O183 AA229:AA230 Q183:Q184 AA188:AA189 B44:C44 AA144:AA146 AA77:AA96 AA170:AA184 M44:O47 AA98:AA140 AA152:AA166 AH45 AA45:AA70 AA191:AA226" name="maria_26" securityDescriptor="O:WDG:WDD:(A;;CC;;;S-1-5-21-3048853270-2157241324-869001692-3245)(A;;CC;;;S-1-5-21-3048853270-2157241324-869001692-1007)"/>
    <protectedRange sqref="P183 P44:P47" name="maria_1_24" securityDescriptor="O:WDG:WDD:(A;;CC;;;S-1-5-21-3048853270-2157241324-869001692-3245)(A;;CC;;;S-1-5-21-3048853270-2157241324-869001692-1007)"/>
    <protectedRange sqref="V119:V120 U182:U184 V69 R40 AD40 AF40 V191 V78 U229:U230 R183 AD183 AF183 AF44:AF47 X183:X184 AD44:AD47 R44:R47 U188:U189 U191:U226" name="maria_1_1_22" securityDescriptor="O:WDG:WDD:(A;;CC;;;S-1-5-21-3048853270-2157241324-869001692-3245)(A;;CC;;;S-1-5-21-3048853270-2157241324-869001692-1007)"/>
    <protectedRange sqref="R215:R221 V214:Z214 AE214 AH214 M214:T214 E97 E214:J214 B214:C214 X215:X221" name="maria_28" securityDescriptor="O:WDG:WDD:(A;;CC;;;S-1-5-21-3048853270-2157241324-869001692-3245)(A;;CC;;;S-1-5-21-3048853270-2157241324-869001692-1007)"/>
    <protectedRange sqref="S215:T221 V215:W221 Y215:Z221 F218:K221 E51 E77:E78 E59:E70 E215:K217 AB219:AC219 AH215:AH216 E118:E120 E130 M215:O221 AB221:AC221 B215:C221 AH217:AJ221 AE215:AE221" name="maria_29" securityDescriptor="O:WDG:WDD:(A;;CC;;;S-1-5-21-3048853270-2157241324-869001692-3245)(A;;CC;;;S-1-5-21-3048853270-2157241324-869001692-1007)"/>
    <protectedRange sqref="Q125:Q127 Q131:Q132 Q134:Q140 P215:Q221" name="maria_1_25" securityDescriptor="O:WDG:WDD:(A;;CC;;;S-1-5-21-3048853270-2157241324-869001692-3245)(A;;CC;;;S-1-5-21-3048853270-2157241324-869001692-1007)"/>
    <protectedRange sqref="AH199 AE199 S199:T199 V199:W199 Y199:Z199 AH191:AJ196 E199:K199 J191:J196 N200:N202 M199:O199 C199" name="maria_30" securityDescriptor="O:WDG:WDD:(A;;CC;;;S-1-5-21-3048853270-2157241324-869001692-3245)(A;;CC;;;S-1-5-21-3048853270-2157241324-869001692-1007)"/>
    <protectedRange sqref="P199:Q199 Q191 Q200:Q202" name="maria_1_26" securityDescriptor="O:WDG:WDD:(A;;CC;;;S-1-5-21-3048853270-2157241324-869001692-3245)(A;;CC;;;S-1-5-21-3048853270-2157241324-869001692-1007)"/>
    <protectedRange sqref="R199:R213 X199:X213" name="maria_1_1_24" securityDescriptor="O:WDG:WDD:(A;;CC;;;S-1-5-21-3048853270-2157241324-869001692-3245)(A;;CC;;;S-1-5-21-3048853270-2157241324-869001692-1007)"/>
    <protectedRange sqref="AH175 AE175 S175:T175 V175:W175 Y175:Z175 M177:O181 E175:K175 G177 M175:O175 C175" name="maria_31" securityDescriptor="O:WDG:WDD:(A;;CC;;;S-1-5-21-3048853270-2157241324-869001692-3245)(A;;CC;;;S-1-5-21-3048853270-2157241324-869001692-1007)"/>
    <protectedRange sqref="P175:Q175 Q108 P177:Q181" name="maria_1_27" securityDescriptor="O:WDG:WDD:(A;;CC;;;S-1-5-21-3048853270-2157241324-869001692-3245)(A;;CC;;;S-1-5-21-3048853270-2157241324-869001692-1007)"/>
    <protectedRange sqref="R162 R175:R181" name="maria_1_1_25" securityDescriptor="O:WDG:WDD:(A;;CC;;;S-1-5-21-3048853270-2157241324-869001692-3245)(A;;CC;;;S-1-5-21-3048853270-2157241324-869001692-1007)"/>
    <protectedRange sqref="B161 E161" name="maria_32" securityDescriptor="O:WDG:WDD:(A;;CC;;;S-1-5-21-3048853270-2157241324-869001692-3245)(A;;CC;;;S-1-5-21-3048853270-2157241324-869001692-1007)"/>
    <protectedRange sqref="Y161:Z161 F161:G161 V161:W161 AE161 AH161 R163 N162:O162 G162:G163 O163 I161:J161 M161:T161 C161" name="maria_1_28" securityDescriptor="O:WDG:WDD:(A;;CC;;;S-1-5-21-3048853270-2157241324-869001692-3245)(A;;CC;;;S-1-5-21-3048853270-2157241324-869001692-1007)"/>
    <protectedRange sqref="D278:G278 I270:K270 S236:T282 V252:W282 Y252:Z282 H235:K237 AE234:AE282 AB243:AC243 V235:Z251 M236:Q282 M235:T235 C330:C331 AA168 B168 R168 I278:K282 B391:B397 U377:U396 R377:R396 B377:B389 AA377:AA396 X377:X396 H239:K269 H238:J238 AH234 X398:X412 U398:U412 R398:R412 R414 X414 T151 R418:AC426 R97 B97 AA97 R336:R375 B332:B375 AA319:AA375 X320:X375 U319:U375 B30 AA30 R30 B185:B187 U185:U187 X185:X187 AA185:AA187 R185:R187 R236:R334 AA243:AA317 X252:X317 U235:U317 B235:B328 AA398:AA412 R427 U427 X427 AA427 M234:Z234 R428:AC433 Y444 AA443:AC444 Y443:Z443 R443:X444 R434:AA434 AB248:AC248 AB270:AC270 R415:AA417 R435:AC441 D235:G270 D271:K277 G292 G304 G408:G410 G416 G418 R445:AC468 D279:H282 R469:R481 U469:X481 AA469:AC481 B234:K234 C235:C282 AH235:AJ282 A401:A471" name="maria_33" securityDescriptor="O:WDG:WDD:(A;;CC;;;S-1-5-21-3048853270-2157241324-869001692-3245)(A;;CC;;;S-1-5-21-3048853270-2157241324-869001692-1007)"/>
    <protectedRange sqref="AH283 AE283 S283:T283 V283:W283 Y283:Z283 AB283:AC283 M283:O283 D349:D352 C283:K283" name="maria_34" securityDescriptor="O:WDG:WDD:(A;;CC;;;S-1-5-21-3048853270-2157241324-869001692-3245)(A;;CC;;;S-1-5-21-3048853270-2157241324-869001692-1007)"/>
    <protectedRange sqref="P283:Q283" name="maria_1_29" securityDescriptor="O:WDG:WDD:(A;;CC;;;S-1-5-21-3048853270-2157241324-869001692-3245)(A;;CC;;;S-1-5-21-3048853270-2157241324-869001692-1007)"/>
    <protectedRange sqref="E30:K30 M186 Q186:Q187 AE186:AE187 S186:T187 V186:W187 Y187:Z187 Q97 Q340:Q341 Q343:Q344 M187:N187 C30 E186:K187 AH186:AH187 AH97 Q30 AE30 S30:T30 V30:W30 Y30:Z30 M30:O30 AH30:AH32 Z186 AH101 AB191:AC191 AB204:AC204 AB208:AC208 AB213:AC217 AB220:AC220 AB222:AC222 AB234:AC242 AB244:AC247 AB271:AC282 AB305:AC305 AB310:AC310 AB317:AC317 AB336:AC336 AB359:AC359 AB361:AC361 AB376:AC376 AB378:AC379 AB390:AC390 AB415:AC417 AB434:AC434 AB16:AC16 AB19:AC19 AB21:AC21 AB30:AC30 AB33:AC33 AB37:AC38 AB44:AC44 AB60:AC60 AB63:AC63 AB73:AC73 AB86:AC87 AB97:AC97 AB99:AC99 AB102:AC102 AB106:AC106 AB111:AC111 AB115:AC115 AB117:AC117 AB121:AC123 AB133:AC135 AB139:AC139 AB144:AC144 AB158:AC158 AB161:AC161 AB166:AC166 AB168:AC168 AB170:AC171 AB175:AC175 AB186:AC187 AB128:AC130 AB249:AC269 N31:N32 C186:C187" name="maria_35" securityDescriptor="O:WDG:WDD:(A;;CC;;;S-1-5-21-3048853270-2157241324-869001692-3245)(A;;CC;;;S-1-5-21-3048853270-2157241324-869001692-1007)"/>
    <protectedRange sqref="P186:P187 P30" name="maria_1_30" securityDescriptor="O:WDG:WDD:(A;;CC;;;S-1-5-21-3048853270-2157241324-869001692-3245)(A;;CC;;;S-1-5-21-3048853270-2157241324-869001692-1007)"/>
    <protectedRange sqref="Y186" name="maria_1_1_27" securityDescriptor="O:WDG:WDD:(A;;CC;;;S-1-5-21-3048853270-2157241324-869001692-3245)(A;;CC;;;S-1-5-21-3048853270-2157241324-869001692-1007)"/>
    <protectedRange sqref="AE284:AE291 S284:T291 V284:W291 Y284:Z291 AB284:AC291 M284:O291 D295 D300:D302 D306:D307 D309 D311:D315 D318 D326:D328 D334 D342:D343 D345:D348 D374:D375 D378:D385 D353:D359 D210 D207 D203:D204 D192 D176 D162 D152 D123:D124 D105 D50 D45 D34 D17 D6 D103 D389 D369:D372 D391:D396 D188 AH284:AH291 D23:D26 D408:D409 D412:E412 D9:D11 D14 D42:D43 D148 D221 D420:D426 D185 D361:D367 D131:D132 D20 D38:D40 D428:D441 D443:D454 D457:D481 C284:K291" name="maria_36" securityDescriptor="O:WDG:WDD:(A;;CC;;;S-1-5-21-3048853270-2157241324-869001692-3245)(A;;CC;;;S-1-5-21-3048853270-2157241324-869001692-1007)"/>
    <protectedRange sqref="P284:Q291" name="maria_1_31" securityDescriptor="O:WDG:WDD:(A;;CC;;;S-1-5-21-3048853270-2157241324-869001692-3245)(A;;CC;;;S-1-5-21-3048853270-2157241324-869001692-1007)"/>
    <protectedRange sqref="AE292:AE293 S292:T293 V292:W293 Y293 Z292:Z293 D293:K293 AB292:AC293 M292:O293 AE304 S304:T304 V304:W304 Z304 AB304:AC304 AH304:AJ304 D303 D305 M304:O305 AH305 D316 D308 AH293 D410 D292:F292 H292:K292 H304:K304 C304:F304 C292:C293 AH292:AJ292" name="maria_37" securityDescriptor="O:WDG:WDD:(A;;CC;;;S-1-5-21-3048853270-2157241324-869001692-3245)(A;;CC;;;S-1-5-21-3048853270-2157241324-869001692-1007)"/>
    <protectedRange sqref="P292:Q293 P304:Q305" name="maria_1_32" securityDescriptor="O:WDG:WDD:(A;;CC;;;S-1-5-21-3048853270-2157241324-869001692-3245)(A;;CC;;;S-1-5-21-3048853270-2157241324-869001692-1007)"/>
    <protectedRange sqref="Y292 Y304" name="maria_1_1_29" securityDescriptor="O:WDG:WDD:(A;;CC;;;S-1-5-21-3048853270-2157241324-869001692-3245)(A;;CC;;;S-1-5-21-3048853270-2157241324-869001692-1007)"/>
    <protectedRange sqref="AE294:AE295 S294:T295 V294:W295 Y295:Z295 AB294:AC295 D294:K294 M294:O295 E295:K295 AH294:AH295 C294:C295" name="maria_38" securityDescriptor="O:WDG:WDD:(A;;CC;;;S-1-5-21-3048853270-2157241324-869001692-3245)(A;;CC;;;S-1-5-21-3048853270-2157241324-869001692-1007)"/>
    <protectedRange sqref="P294:Q294 P295" name="maria_1_33" securityDescriptor="O:WDG:WDD:(A;;CC;;;S-1-5-21-3048853270-2157241324-869001692-3245)(A;;CC;;;S-1-5-21-3048853270-2157241324-869001692-1007)"/>
    <protectedRange sqref="G298:H298 F296:H297 AE296:AE298 S296:T298 V296:W298 Y296:Z298 I296:K298 AB296:AC298 M303:O303 M296:O298 AH296:AH297 C296:E298 AH298:AJ298" name="maria_39" securityDescriptor="O:WDG:WDD:(A;;CC;;;S-1-5-21-3048853270-2157241324-869001692-3245)(A;;CC;;;S-1-5-21-3048853270-2157241324-869001692-1007)"/>
    <protectedRange sqref="P296:Q298 Q303" name="maria_1_34" securityDescriptor="O:WDG:WDD:(A;;CC;;;S-1-5-21-3048853270-2157241324-869001692-3245)(A;;CC;;;S-1-5-21-3048853270-2157241324-869001692-1007)"/>
    <protectedRange sqref="AE299:AE300 S299:T300 V299:W300 D299:K299 AB299:AC300 Y299:Z301 AH301:AJ301 M299:O302 AH306 M306:O306 AH302 E300:K300 E301:E302 E306:E307 E318 AH300 C299:C300 AH299:AJ299" name="maria_40" securityDescriptor="O:WDG:WDD:(A;;CC;;;S-1-5-21-3048853270-2157241324-869001692-3245)(A;;CC;;;S-1-5-21-3048853270-2157241324-869001692-1007)"/>
    <protectedRange sqref="P299:Q302 P306:Q306 Q307:Q309" name="maria_1_35" securityDescriptor="O:WDG:WDD:(A;;CC;;;S-1-5-21-3048853270-2157241324-869001692-3245)(A;;CC;;;S-1-5-21-3048853270-2157241324-869001692-1007)"/>
    <protectedRange sqref="AE122:AE124 S122:T124 V122:W124 Y122:Z124 AB124:AC124 E122:K124 AH122:AH126 M122:M124 C122:C124" name="maria_42" securityDescriptor="O:WDG:WDD:(A;;CC;;;S-1-5-21-3048853270-2157241324-869001692-3245)(A;;CC;;;S-1-5-21-3048853270-2157241324-869001692-1007)"/>
    <protectedRange sqref="P122:Q122 P123:P124" name="maria_1_37" securityDescriptor="O:WDG:WDD:(A;;CC;;;S-1-5-21-3048853270-2157241324-869001692-3245)(A;;CC;;;S-1-5-21-3048853270-2157241324-869001692-1007)"/>
    <protectedRange sqref="S376:T376 V376:W376 AE376 Y376:Z376 M376:O376 AH376 E376:K376 E377 E386:E388 C376" name="maria_7" securityDescriptor="O:WDG:WDD:(A;;CC;;;S-1-5-21-3048853270-2157241324-869001692-3245)(A;;CC;;;S-1-5-21-3048853270-2157241324-869001692-1007)"/>
    <protectedRange sqref="P376" name="maria_1_7" securityDescriptor="O:WDG:WDD:(A;;CC;;;S-1-5-21-3048853270-2157241324-869001692-3245)(A;;CC;;;S-1-5-21-3048853270-2157241324-869001692-1007)"/>
    <protectedRange sqref="AF376" name="maria_1_1_7_1" securityDescriptor="O:WDG:WDD:(A;;CC;;;S-1-5-21-3048853270-2157241324-869001692-3245)(A;;CC;;;S-1-5-21-3048853270-2157241324-869001692-1007)"/>
    <protectedRange sqref="AD376" name="maria_17_1" securityDescriptor="O:WDG:WDD:(A;;CC;;;S-1-5-21-3048853270-2157241324-869001692-3245)(A;;CC;;;S-1-5-21-3048853270-2157241324-869001692-1007)"/>
    <protectedRange sqref="U376 X376 AA376 B376 R376" name="maria_33_1" securityDescriptor="O:WDG:WDD:(A;;CC;;;S-1-5-21-3048853270-2157241324-869001692-3245)(A;;CC;;;S-1-5-21-3048853270-2157241324-869001692-1007)"/>
    <protectedRange sqref="D376:D377 D386:D388" name="maria_36_1" securityDescriptor="O:WDG:WDD:(A;;CC;;;S-1-5-21-3048853270-2157241324-869001692-3245)(A;;CC;;;S-1-5-21-3048853270-2157241324-869001692-1007)"/>
    <protectedRange sqref="S413:T413 V413:W413 AE413 Y413:Z413 AB413:AC413 C413 E413:F413 AH413:AJ413" name="maria_27" securityDescriptor="O:WDG:WDD:(A;;CC;;;S-1-5-21-3048853270-2157241324-869001692-3245)(A;;CC;;;S-1-5-21-3048853270-2157241324-869001692-1007)"/>
    <protectedRange sqref="AF413:AF414" name="maria_1_1_7_2" securityDescriptor="O:WDG:WDD:(A;;CC;;;S-1-5-21-3048853270-2157241324-869001692-3245)(A;;CC;;;S-1-5-21-3048853270-2157241324-869001692-1007)"/>
    <protectedRange sqref="AD413:AD414" name="maria_17_2" securityDescriptor="O:WDG:WDD:(A;;CC;;;S-1-5-21-3048853270-2157241324-869001692-3245)(A;;CC;;;S-1-5-21-3048853270-2157241324-869001692-1007)"/>
    <protectedRange sqref="X413 B413 R413 AA413:AA414 U413:U414" name="maria_33_2" securityDescriptor="O:WDG:WDD:(A;;CC;;;S-1-5-21-3048853270-2157241324-869001692-3245)(A;;CC;;;S-1-5-21-3048853270-2157241324-869001692-1007)"/>
    <protectedRange sqref="N413:O413" name="maria_10_1" securityDescriptor="O:WDG:WDD:(A;;CC;;;S-1-5-21-3048853270-2157241324-869001692-3245)(A;;CC;;;S-1-5-21-3048853270-2157241324-869001692-1007)"/>
    <protectedRange sqref="F129:G132 B129:C132" name="maria_41" securityDescriptor="O:WDG:WDD:(A;;CC;;;S-1-5-21-3048853270-2157241324-869001692-3245)(A;;CC;;;S-1-5-21-3048853270-2157241324-869001692-1007)"/>
    <protectedRange sqref="E129" name="maria_22_1" securityDescriptor="O:WDG:WDD:(A;;CC;;;S-1-5-21-3048853270-2157241324-869001692-3245)(A;;CC;;;S-1-5-21-3048853270-2157241324-869001692-1007)"/>
    <protectedRange sqref="I129:I132" name="maria_43" securityDescriptor="O:WDG:WDD:(A;;CC;;;S-1-5-21-3048853270-2157241324-869001692-3245)(A;;CC;;;S-1-5-21-3048853270-2157241324-869001692-1007)"/>
    <protectedRange sqref="H129:H132" name="maria_22_2" securityDescriptor="O:WDG:WDD:(A;;CC;;;S-1-5-21-3048853270-2157241324-869001692-3245)(A;;CC;;;S-1-5-21-3048853270-2157241324-869001692-1007)"/>
    <protectedRange sqref="J129:K132" name="maria_44" securityDescriptor="O:WDG:WDD:(A;;CC;;;S-1-5-21-3048853270-2157241324-869001692-3245)(A;;CC;;;S-1-5-21-3048853270-2157241324-869001692-1007)"/>
    <protectedRange sqref="O129 M129:M132" name="maria_22_3" securityDescriptor="O:WDG:WDD:(A;;CC;;;S-1-5-21-3048853270-2157241324-869001692-3245)(A;;CC;;;S-1-5-21-3048853270-2157241324-869001692-1007)"/>
    <protectedRange sqref="P129:Q130" name="maria_1_20_1" securityDescriptor="O:WDG:WDD:(A;;CC;;;S-1-5-21-3048853270-2157241324-869001692-3245)(A;;CC;;;S-1-5-21-3048853270-2157241324-869001692-1007)"/>
    <protectedRange sqref="S129:T132" name="maria_45" securityDescriptor="O:WDG:WDD:(A;;CC;;;S-1-5-21-3048853270-2157241324-869001692-3245)(A;;CC;;;S-1-5-21-3048853270-2157241324-869001692-1007)"/>
    <protectedRange sqref="V129:W132" name="maria_46" securityDescriptor="O:WDG:WDD:(A;;CC;;;S-1-5-21-3048853270-2157241324-869001692-3245)(A;;CC;;;S-1-5-21-3048853270-2157241324-869001692-1007)"/>
    <protectedRange sqref="Y129:Z132" name="maria_47" securityDescriptor="O:WDG:WDD:(A;;CC;;;S-1-5-21-3048853270-2157241324-869001692-3245)(A;;CC;;;S-1-5-21-3048853270-2157241324-869001692-1007)"/>
    <protectedRange sqref="AF129:AF132" name="maria_1_1_7_3" securityDescriptor="O:WDG:WDD:(A;;CC;;;S-1-5-21-3048853270-2157241324-869001692-3245)(A;;CC;;;S-1-5-21-3048853270-2157241324-869001692-1007)"/>
    <protectedRange sqref="V397:W397 AE397 AB397:AC397 N443:O481 S397:T397 Y397:Z397 E397:K397 N401:O401 M397:O400 Q397:Q400 Q402:Q405 M402:O412 N43:O43 N151:O151 N414:O441 N442 C397" name="maria_48" securityDescriptor="O:WDG:WDD:(A;;CC;;;S-1-5-21-3048853270-2157241324-869001692-3245)(A;;CC;;;S-1-5-21-3048853270-2157241324-869001692-1007)"/>
    <protectedRange sqref="P397:P412" name="maria_1_36" securityDescriptor="O:WDG:WDD:(A;;CC;;;S-1-5-21-3048853270-2157241324-869001692-3245)(A;;CC;;;S-1-5-21-3048853270-2157241324-869001692-1007)"/>
    <protectedRange sqref="AF397" name="maria_1_1_7_4" securityDescriptor="O:WDG:WDD:(A;;CC;;;S-1-5-21-3048853270-2157241324-869001692-3245)(A;;CC;;;S-1-5-21-3048853270-2157241324-869001692-1007)"/>
    <protectedRange sqref="AD397" name="maria_17_3" securityDescriptor="O:WDG:WDD:(A;;CC;;;S-1-5-21-3048853270-2157241324-869001692-3245)(A;;CC;;;S-1-5-21-3048853270-2157241324-869001692-1007)"/>
    <protectedRange sqref="X397 AA397 R397 U397" name="maria_33_3" securityDescriptor="O:WDG:WDD:(A;;CC;;;S-1-5-21-3048853270-2157241324-869001692-3245)(A;;CC;;;S-1-5-21-3048853270-2157241324-869001692-1007)"/>
    <protectedRange sqref="D397" name="maria_36_2" securityDescriptor="O:WDG:WDD:(A;;CC;;;S-1-5-21-3048853270-2157241324-869001692-3245)(A;;CC;;;S-1-5-21-3048853270-2157241324-869001692-1007)"/>
    <protectedRange sqref="D373" name="maria_1_4_1" securityDescriptor="O:WDG:WDD:(A;;CC;;;S-1-5-21-3048853270-2157241324-869001692-3245)(A;;CC;;;S-1-5-21-3048853270-2157241324-869001692-1007)"/>
    <protectedRange sqref="D401" name="maria_1_1" securityDescriptor="O:WDG:WDD:(A;;CC;;;S-1-5-21-3048853270-2157241324-869001692-3245)(A;;CC;;;S-1-5-21-3048853270-2157241324-869001692-1007)"/>
    <protectedRange sqref="E401" name="maria_49" securityDescriptor="O:WDG:WDD:(A;;CC;;;S-1-5-21-3048853270-2157241324-869001692-3245)(A;;CC;;;S-1-5-21-3048853270-2157241324-869001692-1007)"/>
    <protectedRange sqref="M401" name="maria_2_1" securityDescriptor="O:WDG:WDD:(A;;CC;;;S-1-5-21-3048853270-2157241324-869001692-3245)(A;;CC;;;S-1-5-21-3048853270-2157241324-869001692-1007)"/>
    <protectedRange sqref="Q401 Q406:Q412" name="maria_3_1" securityDescriptor="O:WDG:WDD:(A;;CC;;;S-1-5-21-3048853270-2157241324-869001692-3245)(A;;CC;;;S-1-5-21-3048853270-2157241324-869001692-1007)"/>
    <protectedRange sqref="AI283:AJ283" name="maria_34_2" securityDescriptor="O:WDG:WDD:(A;;CC;;;S-1-5-21-3048853270-2157241324-869001692-3245)(A;;CC;;;S-1-5-21-3048853270-2157241324-869001692-1007)"/>
    <protectedRange sqref="AI284:AJ284" name="maria_36_4" securityDescriptor="O:WDG:WDD:(A;;CC;;;S-1-5-21-3048853270-2157241324-869001692-3245)(A;;CC;;;S-1-5-21-3048853270-2157241324-869001692-1007)"/>
    <protectedRange sqref="AI285:AJ285" name="maria_36_6" securityDescriptor="O:WDG:WDD:(A;;CC;;;S-1-5-21-3048853270-2157241324-869001692-3245)(A;;CC;;;S-1-5-21-3048853270-2157241324-869001692-1007)"/>
    <protectedRange sqref="AI286:AJ286" name="maria_36_7" securityDescriptor="O:WDG:WDD:(A;;CC;;;S-1-5-21-3048853270-2157241324-869001692-3245)(A;;CC;;;S-1-5-21-3048853270-2157241324-869001692-1007)"/>
    <protectedRange sqref="AI287:AJ287" name="maria_36_8" securityDescriptor="O:WDG:WDD:(A;;CC;;;S-1-5-21-3048853270-2157241324-869001692-3245)(A;;CC;;;S-1-5-21-3048853270-2157241324-869001692-1007)"/>
    <protectedRange sqref="AI288:AJ288" name="maria_36_9" securityDescriptor="O:WDG:WDD:(A;;CC;;;S-1-5-21-3048853270-2157241324-869001692-3245)(A;;CC;;;S-1-5-21-3048853270-2157241324-869001692-1007)"/>
    <protectedRange sqref="AI289:AJ289" name="maria_36_10" securityDescriptor="O:WDG:WDD:(A;;CC;;;S-1-5-21-3048853270-2157241324-869001692-3245)(A;;CC;;;S-1-5-21-3048853270-2157241324-869001692-1007)"/>
    <protectedRange sqref="AI290:AJ290" name="maria_36_12" securityDescriptor="O:WDG:WDD:(A;;CC;;;S-1-5-21-3048853270-2157241324-869001692-3245)(A;;CC;;;S-1-5-21-3048853270-2157241324-869001692-1007)"/>
    <protectedRange sqref="AI291:AJ291" name="maria_36_14" securityDescriptor="O:WDG:WDD:(A;;CC;;;S-1-5-21-3048853270-2157241324-869001692-3245)(A;;CC;;;S-1-5-21-3048853270-2157241324-869001692-1007)"/>
    <protectedRange sqref="AI293:AJ293" name="maria_37_1" securityDescriptor="O:WDG:WDD:(A;;CC;;;S-1-5-21-3048853270-2157241324-869001692-3245)(A;;CC;;;S-1-5-21-3048853270-2157241324-869001692-1007)"/>
    <protectedRange sqref="AI294:AJ294" name="maria_38_1" securityDescriptor="O:WDG:WDD:(A;;CC;;;S-1-5-21-3048853270-2157241324-869001692-3245)(A;;CC;;;S-1-5-21-3048853270-2157241324-869001692-1007)"/>
    <protectedRange sqref="AI295:AJ295" name="maria_38_3" securityDescriptor="O:WDG:WDD:(A;;CC;;;S-1-5-21-3048853270-2157241324-869001692-3245)(A;;CC;;;S-1-5-21-3048853270-2157241324-869001692-1007)"/>
    <protectedRange sqref="AI296:AJ296" name="maria_39_2" securityDescriptor="O:WDG:WDD:(A;;CC;;;S-1-5-21-3048853270-2157241324-869001692-3245)(A;;CC;;;S-1-5-21-3048853270-2157241324-869001692-1007)"/>
    <protectedRange sqref="AI297:AJ297" name="maria_39_3" securityDescriptor="O:WDG:WDD:(A;;CC;;;S-1-5-21-3048853270-2157241324-869001692-3245)(A;;CC;;;S-1-5-21-3048853270-2157241324-869001692-1007)"/>
    <protectedRange sqref="AI300:AJ300" name="maria_40_1" securityDescriptor="O:WDG:WDD:(A;;CC;;;S-1-5-21-3048853270-2157241324-869001692-3245)(A;;CC;;;S-1-5-21-3048853270-2157241324-869001692-1007)"/>
    <protectedRange sqref="AI302:AJ302" name="maria_40_2" securityDescriptor="O:WDG:WDD:(A;;CC;;;S-1-5-21-3048853270-2157241324-869001692-3245)(A;;CC;;;S-1-5-21-3048853270-2157241324-869001692-1007)"/>
    <protectedRange sqref="AI306:AJ306" name="maria_40_4" securityDescriptor="O:WDG:WDD:(A;;CC;;;S-1-5-21-3048853270-2157241324-869001692-3245)(A;;CC;;;S-1-5-21-3048853270-2157241324-869001692-1007)"/>
    <protectedRange sqref="AI307:AJ307" name="maria_50" securityDescriptor="O:WDG:WDD:(A;;CC;;;S-1-5-21-3048853270-2157241324-869001692-3245)(A;;CC;;;S-1-5-21-3048853270-2157241324-869001692-1007)"/>
    <protectedRange sqref="AI309:AJ309" name="maria_51" securityDescriptor="O:WDG:WDD:(A;;CC;;;S-1-5-21-3048853270-2157241324-869001692-3245)(A;;CC;;;S-1-5-21-3048853270-2157241324-869001692-1007)"/>
    <protectedRange sqref="AI311:AJ311" name="maria_52" securityDescriptor="O:WDG:WDD:(A;;CC;;;S-1-5-21-3048853270-2157241324-869001692-3245)(A;;CC;;;S-1-5-21-3048853270-2157241324-869001692-1007)"/>
    <protectedRange sqref="AI312:AJ312" name="maria_53" securityDescriptor="O:WDG:WDD:(A;;CC;;;S-1-5-21-3048853270-2157241324-869001692-3245)(A;;CC;;;S-1-5-21-3048853270-2157241324-869001692-1007)"/>
    <protectedRange sqref="AI313:AJ313" name="maria_54" securityDescriptor="O:WDG:WDD:(A;;CC;;;S-1-5-21-3048853270-2157241324-869001692-3245)(A;;CC;;;S-1-5-21-3048853270-2157241324-869001692-1007)"/>
    <protectedRange sqref="AI314:AJ314" name="maria_55" securityDescriptor="O:WDG:WDD:(A;;CC;;;S-1-5-21-3048853270-2157241324-869001692-3245)(A;;CC;;;S-1-5-21-3048853270-2157241324-869001692-1007)"/>
    <protectedRange sqref="AI315:AJ315" name="maria_57" securityDescriptor="O:WDG:WDD:(A;;CC;;;S-1-5-21-3048853270-2157241324-869001692-3245)(A;;CC;;;S-1-5-21-3048853270-2157241324-869001692-1007)"/>
    <protectedRange sqref="AI318:AJ318" name="maria_58" securityDescriptor="O:WDG:WDD:(A;;CC;;;S-1-5-21-3048853270-2157241324-869001692-3245)(A;;CC;;;S-1-5-21-3048853270-2157241324-869001692-1007)"/>
    <protectedRange sqref="AI319:AJ319" name="maria_60" securityDescriptor="O:WDG:WDD:(A;;CC;;;S-1-5-21-3048853270-2157241324-869001692-3245)(A;;CC;;;S-1-5-21-3048853270-2157241324-869001692-1007)"/>
    <protectedRange sqref="AI322:AJ322" name="maria_62" securityDescriptor="O:WDG:WDD:(A;;CC;;;S-1-5-21-3048853270-2157241324-869001692-3245)(A;;CC;;;S-1-5-21-3048853270-2157241324-869001692-1007)"/>
    <protectedRange sqref="AI323:AJ323" name="maria_64" securityDescriptor="O:WDG:WDD:(A;;CC;;;S-1-5-21-3048853270-2157241324-869001692-3245)(A;;CC;;;S-1-5-21-3048853270-2157241324-869001692-1007)"/>
    <protectedRange sqref="AI324:AJ324" name="maria_65" securityDescriptor="O:WDG:WDD:(A;;CC;;;S-1-5-21-3048853270-2157241324-869001692-3245)(A;;CC;;;S-1-5-21-3048853270-2157241324-869001692-1007)"/>
    <protectedRange sqref="AI326:AJ326" name="maria_66" securityDescriptor="O:WDG:WDD:(A;;CC;;;S-1-5-21-3048853270-2157241324-869001692-3245)(A;;CC;;;S-1-5-21-3048853270-2157241324-869001692-1007)"/>
    <protectedRange sqref="AI327:AJ327" name="maria_68" securityDescriptor="O:WDG:WDD:(A;;CC;;;S-1-5-21-3048853270-2157241324-869001692-3245)(A;;CC;;;S-1-5-21-3048853270-2157241324-869001692-1007)"/>
    <protectedRange sqref="AI328:AJ328" name="maria_69" securityDescriptor="O:WDG:WDD:(A;;CC;;;S-1-5-21-3048853270-2157241324-869001692-3245)(A;;CC;;;S-1-5-21-3048853270-2157241324-869001692-1007)"/>
    <protectedRange sqref="AI330:AJ330" name="maria_70" securityDescriptor="O:WDG:WDD:(A;;CC;;;S-1-5-21-3048853270-2157241324-869001692-3245)(A;;CC;;;S-1-5-21-3048853270-2157241324-869001692-1007)"/>
    <protectedRange sqref="AI331:AJ331" name="maria_71" securityDescriptor="O:WDG:WDD:(A;;CC;;;S-1-5-21-3048853270-2157241324-869001692-3245)(A;;CC;;;S-1-5-21-3048853270-2157241324-869001692-1007)"/>
    <protectedRange sqref="AI333:AJ333" name="maria_72" securityDescriptor="O:WDG:WDD:(A;;CC;;;S-1-5-21-3048853270-2157241324-869001692-3245)(A;;CC;;;S-1-5-21-3048853270-2157241324-869001692-1007)"/>
    <protectedRange sqref="AI335:AJ335" name="maria_74" securityDescriptor="O:WDG:WDD:(A;;CC;;;S-1-5-21-3048853270-2157241324-869001692-3245)(A;;CC;;;S-1-5-21-3048853270-2157241324-869001692-1007)"/>
    <protectedRange sqref="AI338:AJ338" name="maria_76" securityDescriptor="O:WDG:WDD:(A;;CC;;;S-1-5-21-3048853270-2157241324-869001692-3245)(A;;CC;;;S-1-5-21-3048853270-2157241324-869001692-1007)"/>
    <protectedRange sqref="AI339:AJ339" name="maria_77" securityDescriptor="O:WDG:WDD:(A;;CC;;;S-1-5-21-3048853270-2157241324-869001692-3245)(A;;CC;;;S-1-5-21-3048853270-2157241324-869001692-1007)"/>
    <protectedRange sqref="AI340:AJ340" name="maria_78" securityDescriptor="O:WDG:WDD:(A;;CC;;;S-1-5-21-3048853270-2157241324-869001692-3245)(A;;CC;;;S-1-5-21-3048853270-2157241324-869001692-1007)"/>
    <protectedRange sqref="AI341:AJ341" name="maria_79" securityDescriptor="O:WDG:WDD:(A;;CC;;;S-1-5-21-3048853270-2157241324-869001692-3245)(A;;CC;;;S-1-5-21-3048853270-2157241324-869001692-1007)"/>
    <protectedRange sqref="AI342:AJ342" name="maria_80" securityDescriptor="O:WDG:WDD:(A;;CC;;;S-1-5-21-3048853270-2157241324-869001692-3245)(A;;CC;;;S-1-5-21-3048853270-2157241324-869001692-1007)"/>
    <protectedRange sqref="AI343:AJ343" name="maria_81" securityDescriptor="O:WDG:WDD:(A;;CC;;;S-1-5-21-3048853270-2157241324-869001692-3245)(A;;CC;;;S-1-5-21-3048853270-2157241324-869001692-1007)"/>
    <protectedRange sqref="AI345:AJ345" name="maria_82" securityDescriptor="O:WDG:WDD:(A;;CC;;;S-1-5-21-3048853270-2157241324-869001692-3245)(A;;CC;;;S-1-5-21-3048853270-2157241324-869001692-1007)"/>
    <protectedRange sqref="AI346:AJ346" name="maria_83" securityDescriptor="O:WDG:WDD:(A;;CC;;;S-1-5-21-3048853270-2157241324-869001692-3245)(A;;CC;;;S-1-5-21-3048853270-2157241324-869001692-1007)"/>
    <protectedRange sqref="AI348:AJ348" name="maria_84" securityDescriptor="O:WDG:WDD:(A;;CC;;;S-1-5-21-3048853270-2157241324-869001692-3245)(A;;CC;;;S-1-5-21-3048853270-2157241324-869001692-1007)"/>
    <protectedRange sqref="AI349:AJ349" name="maria_85" securityDescriptor="O:WDG:WDD:(A;;CC;;;S-1-5-21-3048853270-2157241324-869001692-3245)(A;;CC;;;S-1-5-21-3048853270-2157241324-869001692-1007)"/>
    <protectedRange sqref="AI350:AJ350" name="maria_87" securityDescriptor="O:WDG:WDD:(A;;CC;;;S-1-5-21-3048853270-2157241324-869001692-3245)(A;;CC;;;S-1-5-21-3048853270-2157241324-869001692-1007)"/>
    <protectedRange sqref="AI351:AJ351" name="maria_88" securityDescriptor="O:WDG:WDD:(A;;CC;;;S-1-5-21-3048853270-2157241324-869001692-3245)(A;;CC;;;S-1-5-21-3048853270-2157241324-869001692-1007)"/>
    <protectedRange sqref="AI352:AJ352" name="maria_89" securityDescriptor="O:WDG:WDD:(A;;CC;;;S-1-5-21-3048853270-2157241324-869001692-3245)(A;;CC;;;S-1-5-21-3048853270-2157241324-869001692-1007)"/>
    <protectedRange sqref="AI354:AJ354" name="maria_91" securityDescriptor="O:WDG:WDD:(A;;CC;;;S-1-5-21-3048853270-2157241324-869001692-3245)(A;;CC;;;S-1-5-21-3048853270-2157241324-869001692-1007)"/>
    <protectedRange sqref="AI355:AJ355" name="maria_92" securityDescriptor="O:WDG:WDD:(A;;CC;;;S-1-5-21-3048853270-2157241324-869001692-3245)(A;;CC;;;S-1-5-21-3048853270-2157241324-869001692-1007)"/>
    <protectedRange sqref="AI356:AJ356" name="maria_93" securityDescriptor="O:WDG:WDD:(A;;CC;;;S-1-5-21-3048853270-2157241324-869001692-3245)(A;;CC;;;S-1-5-21-3048853270-2157241324-869001692-1007)"/>
    <protectedRange sqref="AI357:AJ357" name="maria_95" securityDescriptor="O:WDG:WDD:(A;;CC;;;S-1-5-21-3048853270-2157241324-869001692-3245)(A;;CC;;;S-1-5-21-3048853270-2157241324-869001692-1007)"/>
    <protectedRange sqref="AI358:AJ358" name="maria_96" securityDescriptor="O:WDG:WDD:(A;;CC;;;S-1-5-21-3048853270-2157241324-869001692-3245)(A;;CC;;;S-1-5-21-3048853270-2157241324-869001692-1007)"/>
    <protectedRange sqref="AI362:AJ362" name="maria_98" securityDescriptor="O:WDG:WDD:(A;;CC;;;S-1-5-21-3048853270-2157241324-869001692-3245)(A;;CC;;;S-1-5-21-3048853270-2157241324-869001692-1007)"/>
    <protectedRange sqref="AI363:AJ363" name="maria_99" securityDescriptor="O:WDG:WDD:(A;;CC;;;S-1-5-21-3048853270-2157241324-869001692-3245)(A;;CC;;;S-1-5-21-3048853270-2157241324-869001692-1007)"/>
    <protectedRange sqref="AI376:AJ376" name="maria_7_1" securityDescriptor="O:WDG:WDD:(A;;CC;;;S-1-5-21-3048853270-2157241324-869001692-3245)(A;;CC;;;S-1-5-21-3048853270-2157241324-869001692-1007)"/>
    <protectedRange sqref="AI199:AJ199" name="maria_30_1" securityDescriptor="O:WDG:WDD:(A;;CC;;;S-1-5-21-3048853270-2157241324-869001692-3245)(A;;CC;;;S-1-5-21-3048853270-2157241324-869001692-1007)"/>
    <protectedRange sqref="AI214:AJ214" name="maria_28_1" securityDescriptor="O:WDG:WDD:(A;;CC;;;S-1-5-21-3048853270-2157241324-869001692-3245)(A;;CC;;;S-1-5-21-3048853270-2157241324-869001692-1007)"/>
    <protectedRange sqref="AI215:AJ215" name="maria_29_1" securityDescriptor="O:WDG:WDD:(A;;CC;;;S-1-5-21-3048853270-2157241324-869001692-3245)(A;;CC;;;S-1-5-21-3048853270-2157241324-869001692-1007)"/>
    <protectedRange sqref="AI216:AJ216" name="maria_29_2" securityDescriptor="O:WDG:WDD:(A;;CC;;;S-1-5-21-3048853270-2157241324-869001692-3245)(A;;CC;;;S-1-5-21-3048853270-2157241324-869001692-1007)"/>
    <protectedRange sqref="AI186:AJ186" name="maria_35_3" securityDescriptor="O:WDG:WDD:(A;;CC;;;S-1-5-21-3048853270-2157241324-869001692-3245)(A;;CC;;;S-1-5-21-3048853270-2157241324-869001692-1007)"/>
    <protectedRange sqref="AI187:AJ187" name="maria_35_4" securityDescriptor="O:WDG:WDD:(A;;CC;;;S-1-5-21-3048853270-2157241324-869001692-3245)(A;;CC;;;S-1-5-21-3048853270-2157241324-869001692-1007)"/>
    <protectedRange sqref="AI234:AJ234" name="maria_33_4" securityDescriptor="O:WDG:WDD:(A;;CC;;;S-1-5-21-3048853270-2157241324-869001692-3245)(A;;CC;;;S-1-5-21-3048853270-2157241324-869001692-1007)"/>
    <protectedRange sqref="E227:E230 P227:Q230" name="maria_56" securityDescriptor="O:WDG:WDD:(A;;CC;;;S-1-5-21-3048853270-2157241324-869001692-3245)(A;;CC;;;S-1-5-21-3048853270-2157241324-869001692-1007)"/>
    <protectedRange sqref="D227:D230" name="maria_5_1" securityDescriptor="O:WDG:WDD:(A;;CC;;;S-1-5-21-3048853270-2157241324-869001692-3245)(A;;CC;;;S-1-5-21-3048853270-2157241324-869001692-1007)"/>
    <protectedRange sqref="AF227:AF228" name="maria_1_1_7_5" securityDescriptor="O:WDG:WDD:(A;;CC;;;S-1-5-21-3048853270-2157241324-869001692-3245)(A;;CC;;;S-1-5-21-3048853270-2157241324-869001692-1007)"/>
    <protectedRange sqref="AD227:AD228" name="maria_17_4" securityDescriptor="O:WDG:WDD:(A;;CC;;;S-1-5-21-3048853270-2157241324-869001692-3245)(A;;CC;;;S-1-5-21-3048853270-2157241324-869001692-1007)"/>
    <protectedRange sqref="R227:AC228" name="maria_33_5" securityDescriptor="O:WDG:WDD:(A;;CC;;;S-1-5-21-3048853270-2157241324-869001692-3245)(A;;CC;;;S-1-5-21-3048853270-2157241324-869001692-1007)"/>
    <protectedRange sqref="M227:O228" name="maria_48_1" securityDescriptor="O:WDG:WDD:(A;;CC;;;S-1-5-21-3048853270-2157241324-869001692-3245)(A;;CC;;;S-1-5-21-3048853270-2157241324-869001692-1007)"/>
    <protectedRange sqref="AE231:AE233 F231:G233 M231:O233 R231:T233 V231:Z233 AB231:AC233 I231:K233 B231:C233 AH231:AJ233" name="maria_59" securityDescriptor="O:WDG:WDD:(A;;CC;;;S-1-5-21-3048853270-2157241324-869001692-3245)(A;;CC;;;S-1-5-21-3048853270-2157241324-869001692-1007)"/>
    <protectedRange sqref="AF231:AF233" name="maria_1_1_7_6" securityDescriptor="O:WDG:WDD:(A;;CC;;;S-1-5-21-3048853270-2157241324-869001692-3245)(A;;CC;;;S-1-5-21-3048853270-2157241324-869001692-1007)"/>
    <protectedRange sqref="AD231:AD233" name="maria_17_5" securityDescriptor="O:WDG:WDD:(A;;CC;;;S-1-5-21-3048853270-2157241324-869001692-3245)(A;;CC;;;S-1-5-21-3048853270-2157241324-869001692-1007)"/>
    <protectedRange sqref="AA231:AA233" name="maria_26_2" securityDescriptor="O:WDG:WDD:(A;;CC;;;S-1-5-21-3048853270-2157241324-869001692-3245)(A;;CC;;;S-1-5-21-3048853270-2157241324-869001692-1007)"/>
    <protectedRange sqref="U231:U233" name="maria_1_1_22_1" securityDescriptor="O:WDG:WDD:(A;;CC;;;S-1-5-21-3048853270-2157241324-869001692-3245)(A;;CC;;;S-1-5-21-3048853270-2157241324-869001692-1007)"/>
    <protectedRange sqref="E231:E233 P231:Q233" name="maria_56_1" securityDescriptor="O:WDG:WDD:(A;;CC;;;S-1-5-21-3048853270-2157241324-869001692-3245)(A;;CC;;;S-1-5-21-3048853270-2157241324-869001692-1007)"/>
    <protectedRange sqref="D231:D233" name="maria_5_1_1" securityDescriptor="O:WDG:WDD:(A;;CC;;;S-1-5-21-3048853270-2157241324-869001692-3245)(A;;CC;;;S-1-5-21-3048853270-2157241324-869001692-1007)"/>
    <protectedRange sqref="V110"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62" name="Aurelian" securityDescriptor="O:WDG:WDD:(A;;CC;;;S-1-5-21-3048853270-2157241324-869001692-3245)"/>
    <protectedRange algorithmName="SHA-512" hashValue="lGxgJO7OrK4RnR9Q5GyLdphtXSoKHWuU/DeqTwJZs4H1lZxtBvfwyidbkva9W10WZdVConxSMgW/uAS6mxdKPg==" saltValue="rUT2GzIQhp6pti72S74yRQ==" spinCount="100000" sqref="C63:C64" name="Aurelian_1" securityDescriptor="O:WDG:WDD:(A;;CC;;;S-1-5-21-3048853270-2157241324-869001692-3245)"/>
    <protectedRange algorithmName="SHA-512" hashValue="lGxgJO7OrK4RnR9Q5GyLdphtXSoKHWuU/DeqTwJZs4H1lZxtBvfwyidbkva9W10WZdVConxSMgW/uAS6mxdKPg==" saltValue="rUT2GzIQhp6pti72S74yRQ==" spinCount="100000" sqref="C65:C68" name="Aurelian_2" securityDescriptor="O:WDG:WDD:(A;;CC;;;S-1-5-21-3048853270-2157241324-869001692-3245)"/>
    <protectedRange algorithmName="SHA-512" hashValue="lGxgJO7OrK4RnR9Q5GyLdphtXSoKHWuU/DeqTwJZs4H1lZxtBvfwyidbkva9W10WZdVConxSMgW/uAS6mxdKPg==" saltValue="rUT2GzIQhp6pti72S74yRQ==" spinCount="100000" sqref="F62" name="Aurelian_3" securityDescriptor="O:WDG:WDD:(A;;CC;;;S-1-5-21-3048853270-2157241324-869001692-3245)"/>
    <protectedRange algorithmName="SHA-512" hashValue="lGxgJO7OrK4RnR9Q5GyLdphtXSoKHWuU/DeqTwJZs4H1lZxtBvfwyidbkva9W10WZdVConxSMgW/uAS6mxdKPg==" saltValue="rUT2GzIQhp6pti72S74yRQ==" spinCount="100000" sqref="F63:F64" name="Aurelian_4" securityDescriptor="O:WDG:WDD:(A;;CC;;;S-1-5-21-3048853270-2157241324-869001692-3245)"/>
    <protectedRange algorithmName="SHA-512" hashValue="lGxgJO7OrK4RnR9Q5GyLdphtXSoKHWuU/DeqTwJZs4H1lZxtBvfwyidbkva9W10WZdVConxSMgW/uAS6mxdKPg==" saltValue="rUT2GzIQhp6pti72S74yRQ==" spinCount="100000" sqref="F65:F68" name="Aurelian_5" securityDescriptor="O:WDG:WDD:(A;;CC;;;S-1-5-21-3048853270-2157241324-869001692-3245)"/>
    <protectedRange algorithmName="SHA-512" hashValue="lGxgJO7OrK4RnR9Q5GyLdphtXSoKHWuU/DeqTwJZs4H1lZxtBvfwyidbkva9W10WZdVConxSMgW/uAS6mxdKPg==" saltValue="rUT2GzIQhp6pti72S74yRQ==" spinCount="100000" sqref="G62" name="Aurelian_6" securityDescriptor="O:WDG:WDD:(A;;CC;;;S-1-5-21-3048853270-2157241324-869001692-3245)"/>
    <protectedRange algorithmName="SHA-512" hashValue="lGxgJO7OrK4RnR9Q5GyLdphtXSoKHWuU/DeqTwJZs4H1lZxtBvfwyidbkva9W10WZdVConxSMgW/uAS6mxdKPg==" saltValue="rUT2GzIQhp6pti72S74yRQ==" spinCount="100000" sqref="G63:G64" name="Aurelian_7" securityDescriptor="O:WDG:WDD:(A;;CC;;;S-1-5-21-3048853270-2157241324-869001692-3245)"/>
    <protectedRange algorithmName="SHA-512" hashValue="lGxgJO7OrK4RnR9Q5GyLdphtXSoKHWuU/DeqTwJZs4H1lZxtBvfwyidbkva9W10WZdVConxSMgW/uAS6mxdKPg==" saltValue="rUT2GzIQhp6pti72S74yRQ==" spinCount="100000" sqref="G65:G68" name="Aurelian_8" securityDescriptor="O:WDG:WDD:(A;;CC;;;S-1-5-21-3048853270-2157241324-869001692-3245)"/>
    <protectedRange sqref="D141:E142 V141:W143 Y141:AF143 G141:J143 M141:O143 AH141:AH143 R141:T143 B141:C143" name="maria_67" securityDescriptor="O:WDG:WDD:(A;;CC;;;S-1-5-21-3048853270-2157241324-869001692-3245)(A;;CC;;;S-1-5-21-3048853270-2157241324-869001692-1007)"/>
    <protectedRange sqref="P141:Q143" name="maria_1_2_2" securityDescriptor="O:WDG:WDD:(A;;CC;;;S-1-5-21-3048853270-2157241324-869001692-3245)(A;;CC;;;S-1-5-21-3048853270-2157241324-869001692-1007)"/>
    <protectedRange sqref="G190 R190:AF190 M190:O190 I190:K190 B190:E190 AH190:AJ190" name="maria_1" securityDescriptor="O:WDG:WDD:(A;;CC;;;S-1-5-21-3048853270-2157241324-869001692-3245)(A;;CC;;;S-1-5-21-3048853270-2157241324-869001692-1007)"/>
    <protectedRange sqref="P190:Q190" name="maria_1_2_1" securityDescriptor="O:WDG:WDD:(A;;CC;;;S-1-5-21-3048853270-2157241324-869001692-3245)(A;;CC;;;S-1-5-21-3048853270-2157241324-869001692-1007)"/>
    <protectedRange sqref="R442:AF442 O442:P442 AH442 B442:K442" name="maria_73" securityDescriptor="O:WDG:WDD:(A;;CC;;;S-1-5-21-3048853270-2157241324-869001692-3245)(A;;CC;;;S-1-5-21-3048853270-2157241324-869001692-1007)"/>
    <protectedRange sqref="Q442" name="maria_1_2_4" securityDescriptor="O:WDG:WDD:(A;;CC;;;S-1-5-21-3048853270-2157241324-869001692-3245)(A;;CC;;;S-1-5-21-3048853270-2157241324-869001692-1007)"/>
    <protectedRange sqref="J157:K157" name="maria_1_38" securityDescriptor="O:WDG:WDD:(A;;CC;;;S-1-5-21-3048853270-2157241324-869001692-3245)(A;;CC;;;S-1-5-21-3048853270-2157241324-869001692-1007)"/>
    <protectedRange sqref="M157:O157" name="maria_3_2" securityDescriptor="O:WDG:WDD:(A;;CC;;;S-1-5-21-3048853270-2157241324-869001692-3245)(A;;CC;;;S-1-5-21-3048853270-2157241324-869001692-1007)"/>
    <protectedRange sqref="P157" name="maria_1_3_1" securityDescriptor="O:WDG:WDD:(A;;CC;;;S-1-5-21-3048853270-2157241324-869001692-3245)(A;;CC;;;S-1-5-21-3048853270-2157241324-869001692-1007)"/>
    <protectedRange sqref="Q157" name="maria_1_4_2" securityDescriptor="O:WDG:WDD:(A;;CC;;;S-1-5-21-3048853270-2157241324-869001692-3245)(A;;CC;;;S-1-5-21-3048853270-2157241324-869001692-1007)"/>
    <protectedRange sqref="S157:T157" name="maria_1_39" securityDescriptor="O:WDG:WDD:(A;;CC;;;S-1-5-21-3048853270-2157241324-869001692-3245)(A;;CC;;;S-1-5-21-3048853270-2157241324-869001692-1007)"/>
    <protectedRange sqref="V157:W157" name="maria_1_40" securityDescriptor="O:WDG:WDD:(A;;CC;;;S-1-5-21-3048853270-2157241324-869001692-3245)(A;;CC;;;S-1-5-21-3048853270-2157241324-869001692-1007)"/>
    <protectedRange sqref="Y157:Z157" name="maria_1_41" securityDescriptor="O:WDG:WDD:(A;;CC;;;S-1-5-21-3048853270-2157241324-869001692-3245)(A;;CC;;;S-1-5-21-3048853270-2157241324-869001692-1007)"/>
    <protectedRange sqref="E455:E456" name="maria_2" securityDescriptor="O:WDG:WDD:(A;;CC;;;S-1-5-21-3048853270-2157241324-869001692-3245)(A;;CC;;;S-1-5-21-3048853270-2157241324-869001692-1007)"/>
    <protectedRange sqref="D455:D456" name="maria_36_1_1" securityDescriptor="O:WDG:WDD:(A;;CC;;;S-1-5-21-3048853270-2157241324-869001692-3245)(A;;CC;;;S-1-5-21-3048853270-2157241324-869001692-1007)"/>
    <protectedRange sqref="G455:G456" name="maria_1_42" securityDescriptor="O:WDG:WDD:(A;;CC;;;S-1-5-21-3048853270-2157241324-869001692-3245)(A;;CC;;;S-1-5-21-3048853270-2157241324-869001692-1007)"/>
    <protectedRange sqref="J467:K467" name="maria_1_44" securityDescriptor="O:WDG:WDD:(A;;CC;;;S-1-5-21-3048853270-2157241324-869001692-3245)(A;;CC;;;S-1-5-21-3048853270-2157241324-869001692-1007)"/>
    <protectedRange sqref="I467" name="maria_1_48" securityDescriptor="O:WDG:WDD:(A;;CC;;;S-1-5-21-3048853270-2157241324-869001692-3245)(A;;CC;;;S-1-5-21-3048853270-2157241324-869001692-1007)"/>
    <protectedRange sqref="J469:K481" name="maria_1_2" securityDescriptor="O:WDG:WDD:(A;;CC;;;S-1-5-21-3048853270-2157241324-869001692-3245)(A;;CC;;;S-1-5-21-3048853270-2157241324-869001692-1007)"/>
    <protectedRange sqref="S469:T478" name="maria_1_43" securityDescriptor="O:WDG:WDD:(A;;CC;;;S-1-5-21-3048853270-2157241324-869001692-3245)(A;;CC;;;S-1-5-21-3048853270-2157241324-869001692-1007)"/>
    <protectedRange sqref="Y469:Z481" name="maria_1_45" securityDescriptor="O:WDG:WDD:(A;;CC;;;S-1-5-21-3048853270-2157241324-869001692-3245)(A;;CC;;;S-1-5-21-3048853270-2157241324-869001692-1007)"/>
    <protectedRange sqref="B473:C481" name="maria_1_46" securityDescriptor="O:WDG:WDD:(A;;CC;;;S-1-5-21-3048853270-2157241324-869001692-3245)(A;;CC;;;S-1-5-21-3048853270-2157241324-869001692-1007)"/>
    <protectedRange sqref="F473:I476 H477:H481" name="maria_1_47" securityDescriptor="O:WDG:WDD:(A;;CC;;;S-1-5-21-3048853270-2157241324-869001692-3245)(A;;CC;;;S-1-5-21-3048853270-2157241324-869001692-1007)"/>
    <protectedRange sqref="F477:G481" name="maria_1_49" securityDescriptor="O:WDG:WDD:(A;;CC;;;S-1-5-21-3048853270-2157241324-869001692-3245)(A;;CC;;;S-1-5-21-3048853270-2157241324-869001692-1007)"/>
    <protectedRange sqref="I477:I481" name="maria_1_50" securityDescriptor="O:WDG:WDD:(A;;CC;;;S-1-5-21-3048853270-2157241324-869001692-3245)(A;;CC;;;S-1-5-21-3048853270-2157241324-869001692-1007)"/>
    <protectedRange sqref="S479:T481" name="maria_1_51" securityDescriptor="O:WDG:WDD:(A;;CC;;;S-1-5-21-3048853270-2157241324-869001692-3245)(A;;CC;;;S-1-5-21-3048853270-2157241324-869001692-1007)"/>
    <protectedRange sqref="G15" name="maria_63" securityDescriptor="O:WDG:WDD:(A;;CC;;;S-1-5-21-3048853270-2157241324-869001692-3245)(A;;CC;;;S-1-5-21-3048853270-2157241324-869001692-1007)"/>
    <protectedRange sqref="H15:K15 M15:O15 E15:F15 B15:C15" name="maria_5_2" securityDescriptor="O:WDG:WDD:(A;;CC;;;S-1-5-21-3048853270-2157241324-869001692-3245)(A;;CC;;;S-1-5-21-3048853270-2157241324-869001692-1007)"/>
    <protectedRange sqref="P15:Q15" name="maria_1_5_1" securityDescriptor="O:WDG:WDD:(A;;CC;;;S-1-5-21-3048853270-2157241324-869001692-3245)(A;;CC;;;S-1-5-21-3048853270-2157241324-869001692-1007)"/>
    <protectedRange sqref="U15 X15" name="maria_1_1_2_1" securityDescriptor="O:WDG:WDD:(A;;CC;;;S-1-5-21-3048853270-2157241324-869001692-3245)(A;;CC;;;S-1-5-21-3048853270-2157241324-869001692-1007)"/>
    <protectedRange sqref="AE15 S15:T15 V15:W15 Y15:Z15 AB15:AC15" name="maria_5_3" securityDescriptor="O:WDG:WDD:(A;;CC;;;S-1-5-21-3048853270-2157241324-869001692-3245)(A;;CC;;;S-1-5-21-3048853270-2157241324-869001692-1007)"/>
    <protectedRange sqref="AD15" name="maria_1_5_2" securityDescriptor="O:WDG:WDD:(A;;CC;;;S-1-5-21-3048853270-2157241324-869001692-3245)(A;;CC;;;S-1-5-21-3048853270-2157241324-869001692-1007)"/>
    <protectedRange sqref="R15 AA15 AF15" name="maria_1_1_4_1" securityDescriptor="O:WDG:WDD:(A;;CC;;;S-1-5-21-3048853270-2157241324-869001692-3245)(A;;CC;;;S-1-5-21-3048853270-2157241324-869001692-1007)"/>
    <protectedRange sqref="G76" name="maria_75" securityDescriptor="O:WDG:WDD:(A;;CC;;;S-1-5-21-3048853270-2157241324-869001692-3245)(A;;CC;;;S-1-5-21-3048853270-2157241324-869001692-1007)"/>
    <protectedRange sqref="U76 X76" name="maria_1_1_2_2" securityDescriptor="O:WDG:WDD:(A;;CC;;;S-1-5-21-3048853270-2157241324-869001692-3245)(A;;CC;;;S-1-5-21-3048853270-2157241324-869001692-1007)"/>
    <protectedRange sqref="AE76 S76:T76 V76:W76 Y76:Z76 AB76:AC76 H76:K76 M76:O76 E76:F76 B76:C76" name="maria_5_4" securityDescriptor="O:WDG:WDD:(A;;CC;;;S-1-5-21-3048853270-2157241324-869001692-3245)(A;;CC;;;S-1-5-21-3048853270-2157241324-869001692-1007)"/>
    <protectedRange sqref="P76:Q76 AD76" name="maria_1_5_3" securityDescriptor="O:WDG:WDD:(A;;CC;;;S-1-5-21-3048853270-2157241324-869001692-3245)(A;;CC;;;S-1-5-21-3048853270-2157241324-869001692-1007)"/>
    <protectedRange sqref="R76 AA76 AF76" name="maria_1_1_4_2" securityDescriptor="O:WDG:WDD:(A;;CC;;;S-1-5-21-3048853270-2157241324-869001692-3245)(A;;CC;;;S-1-5-21-3048853270-2157241324-869001692-1007)"/>
    <protectedRange sqref="U150 X150" name="maria_1_1_2_3" securityDescriptor="O:WDG:WDD:(A;;CC;;;S-1-5-21-3048853270-2157241324-869001692-3245)(A;;CC;;;S-1-5-21-3048853270-2157241324-869001692-1007)"/>
    <protectedRange sqref="AE150 S150:T150 V150:W150 Y150:Z150 AB150:AC150 H150:K150 M150:O150 E150:F150 B150:C150" name="maria_5_5" securityDescriptor="O:WDG:WDD:(A;;CC;;;S-1-5-21-3048853270-2157241324-869001692-3245)(A;;CC;;;S-1-5-21-3048853270-2157241324-869001692-1007)"/>
    <protectedRange sqref="P150:Q150 AD150" name="maria_1_5_4" securityDescriptor="O:WDG:WDD:(A;;CC;;;S-1-5-21-3048853270-2157241324-869001692-3245)(A;;CC;;;S-1-5-21-3048853270-2157241324-869001692-1007)"/>
    <protectedRange sqref="R150 AA150 AF150" name="maria_1_1_4_3" securityDescriptor="O:WDG:WDD:(A;;CC;;;S-1-5-21-3048853270-2157241324-869001692-3245)(A;;CC;;;S-1-5-21-3048853270-2157241324-869001692-1007)"/>
    <protectedRange sqref="E196" name="maria_5_6" securityDescriptor="O:WDG:WDD:(A;;CC;;;S-1-5-21-3048853270-2157241324-869001692-3245)(A;;CC;;;S-1-5-21-3048853270-2157241324-869001692-1007)"/>
    <protectedRange sqref="E143" name="maria_5_7" securityDescriptor="O:WDG:WDD:(A;;CC;;;S-1-5-21-3048853270-2157241324-869001692-3245)(A;;CC;;;S-1-5-21-3048853270-2157241324-869001692-1007)"/>
    <protectedRange sqref="E32" name="maria_5_8" securityDescriptor="O:WDG:WDD:(A;;CC;;;S-1-5-21-3048853270-2157241324-869001692-3245)(A;;CC;;;S-1-5-21-3048853270-2157241324-869001692-1007)"/>
    <protectedRange sqref="E224" name="maria_5_9" securityDescriptor="O:WDG:WDD:(A;;CC;;;S-1-5-21-3048853270-2157241324-869001692-3245)(A;;CC;;;S-1-5-21-3048853270-2157241324-869001692-1007)"/>
  </protectedRanges>
  <autoFilter ref="A3:AM482" xr:uid="{97AA19F3-50EA-461D-8C2B-33666DDF0045}"/>
  <mergeCells count="38">
    <mergeCell ref="AA2:AA3"/>
    <mergeCell ref="AG1:AG3"/>
    <mergeCell ref="AI1:AJ1"/>
    <mergeCell ref="AK2:AK3"/>
    <mergeCell ref="AB1:AC1"/>
    <mergeCell ref="AC2:AC3"/>
    <mergeCell ref="AB2:AB3"/>
    <mergeCell ref="AI2:AI3"/>
    <mergeCell ref="AJ2:AJ3"/>
    <mergeCell ref="AE1:AE3"/>
    <mergeCell ref="AF1:AF3"/>
    <mergeCell ref="AH1:AH3"/>
    <mergeCell ref="AK1:AL1"/>
    <mergeCell ref="Q1:Q3"/>
    <mergeCell ref="Z2:Z3"/>
    <mergeCell ref="Y2:Y3"/>
    <mergeCell ref="R2:W2"/>
    <mergeCell ref="X2:X3"/>
    <mergeCell ref="L1:L3"/>
    <mergeCell ref="M1:M3"/>
    <mergeCell ref="N1:N3"/>
    <mergeCell ref="O1:O3"/>
    <mergeCell ref="P1:P3"/>
    <mergeCell ref="AM1:AM3"/>
    <mergeCell ref="AL2:AL3"/>
    <mergeCell ref="K1:K3"/>
    <mergeCell ref="A1:A3"/>
    <mergeCell ref="B1:B3"/>
    <mergeCell ref="C1:C3"/>
    <mergeCell ref="D1:D3"/>
    <mergeCell ref="E1:E3"/>
    <mergeCell ref="F1:F3"/>
    <mergeCell ref="G1:G3"/>
    <mergeCell ref="H1:H3"/>
    <mergeCell ref="I1:I3"/>
    <mergeCell ref="J1:J3"/>
    <mergeCell ref="R1:AA1"/>
    <mergeCell ref="AD1:AD3"/>
  </mergeCells>
  <pageMargins left="0.70866141732283472" right="0.70866141732283472" top="0.74803149606299213" bottom="0.74803149606299213" header="0.31496062992125984" footer="0.31496062992125984"/>
  <pageSetup paperSize="8" scale="2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mircea.pavel</dc:creator>
  <cp:lastModifiedBy>mircea.pavel</cp:lastModifiedBy>
  <cp:lastPrinted>2020-04-03T08:53:02Z</cp:lastPrinted>
  <dcterms:created xsi:type="dcterms:W3CDTF">2020-04-03T08:25:38Z</dcterms:created>
  <dcterms:modified xsi:type="dcterms:W3CDTF">2020-05-05T07:56:14Z</dcterms:modified>
</cp:coreProperties>
</file>